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autoCompressPictures="0"/>
  <workbookProtection workbookPassword="E985" lockStructure="1"/>
  <bookViews>
    <workbookView xWindow="0" yWindow="60" windowWidth="19200" windowHeight="7275" tabRatio="792" activeTab="4"/>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Reference List" sheetId="14" r:id="rId8"/>
    <sheet name="L" sheetId="13" state="hidden" r:id="rId9"/>
    <sheet name="C" sheetId="15" state="hidden" r:id="rId10"/>
    <sheet name="Sheet1" sheetId="17" state="hidden" r:id="rId11"/>
  </sheets>
  <externalReferences>
    <externalReference r:id="rId12"/>
    <externalReference r:id="rId13"/>
  </externalReferences>
  <definedNames>
    <definedName name="_xlnm._FilterDatabase" localSheetId="5" hidden="1">Checker!$B$3:$C$67</definedName>
    <definedName name="_xlnm._FilterDatabase" localSheetId="4" hidden="1">'Smelter List'!$B$4:$Q$4</definedName>
    <definedName name="_xlnm._FilterDatabase" localSheetId="7" hidden="1">'Smelter Reference List'!$A$4:$T$537</definedName>
    <definedName name="CL" comment="CountryList">'C'!$A$2:$A$239</definedName>
    <definedName name="_xlnm.Print_Area" localSheetId="3">Declaration!$A$1:$L$90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List'!$T$3:$W$3</definedName>
    <definedName name="MetalSmelter">'Smelter Reference List'!$J$5:$J$1010</definedName>
    <definedName name="SL" comment="Selected Lanruage">Declaration!$P$3</definedName>
    <definedName name="SmelterID">'Smelter Reference List'!$L$5:$L$333</definedName>
    <definedName name="SmelterIdetifiedForMetal">'Smelter List'!$B$5:$B$2504</definedName>
    <definedName name="SN" comment="smelter list for dropdown">OFFSET('Smelter Reference List'!$B$4,MATCH(!$B1,'Smelter Reference List'!$A:$A,0)-4,0,COUNTIF('Smelter Reference List'!$A:$A,!$B1),1)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List'!$S:$V</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C1904" i="16" l="1"/>
  <c r="C1903" i="16"/>
  <c r="C1902" i="16"/>
  <c r="C1901" i="16"/>
  <c r="C1900" i="16"/>
  <c r="C1899" i="16"/>
  <c r="C1898" i="16"/>
  <c r="C1897" i="16"/>
  <c r="C1896" i="16"/>
  <c r="C1895" i="16"/>
  <c r="C1894" i="16"/>
  <c r="C1893" i="16"/>
  <c r="C1892" i="16"/>
  <c r="C1891" i="16"/>
  <c r="C1890" i="16"/>
  <c r="C1889" i="16"/>
  <c r="C1888" i="16"/>
  <c r="C1887" i="16"/>
  <c r="C1886" i="16"/>
  <c r="C1885" i="16"/>
  <c r="C1884" i="16"/>
  <c r="C1883" i="16"/>
  <c r="C1882" i="16"/>
  <c r="C1881" i="16"/>
  <c r="C1880" i="16"/>
  <c r="C1879" i="16"/>
  <c r="C1878" i="16"/>
  <c r="C1877" i="16"/>
  <c r="C1876" i="16"/>
  <c r="C1875" i="16"/>
  <c r="C1874" i="16"/>
  <c r="C1872" i="16"/>
  <c r="C1871" i="16"/>
  <c r="C1870" i="16"/>
  <c r="C1869" i="16"/>
  <c r="C1868" i="16"/>
  <c r="C1867" i="16"/>
  <c r="C1864" i="16"/>
  <c r="C1863" i="16"/>
  <c r="C1862" i="16"/>
  <c r="C1860" i="16"/>
  <c r="C1858" i="16"/>
  <c r="C1857" i="16"/>
  <c r="C1856" i="16"/>
  <c r="C1854" i="16"/>
  <c r="C1853" i="16"/>
  <c r="C1852" i="16"/>
  <c r="C1850" i="16"/>
  <c r="C1849" i="16"/>
  <c r="C1848" i="16"/>
  <c r="C1847" i="16"/>
  <c r="C1846" i="16"/>
  <c r="C1845" i="16"/>
  <c r="C1844" i="16"/>
  <c r="C1842" i="16"/>
  <c r="C1840" i="16"/>
  <c r="C1839" i="16"/>
  <c r="C1838" i="16"/>
  <c r="C1837" i="16"/>
  <c r="C1835" i="16"/>
  <c r="C1834" i="16"/>
  <c r="C1833" i="16"/>
  <c r="C1832" i="16"/>
  <c r="C1828" i="16"/>
  <c r="C1827" i="16"/>
  <c r="C1826" i="16"/>
  <c r="C1825" i="16"/>
  <c r="C1823" i="16"/>
  <c r="C1820" i="16"/>
  <c r="C1819" i="16"/>
  <c r="C1818" i="16"/>
  <c r="C1817" i="16"/>
  <c r="C1815" i="16"/>
  <c r="C1814" i="16"/>
  <c r="C1813" i="16"/>
  <c r="C1812" i="16"/>
  <c r="C1811" i="16"/>
  <c r="C1810" i="16"/>
  <c r="C1809" i="16"/>
  <c r="C1808" i="16"/>
  <c r="C1807" i="16"/>
  <c r="C1805" i="16"/>
  <c r="C1804" i="16"/>
  <c r="C1802" i="16"/>
  <c r="C1801" i="16"/>
  <c r="C1800" i="16"/>
  <c r="C1799" i="16"/>
  <c r="C1798" i="16"/>
  <c r="C1797" i="16"/>
  <c r="C1796" i="16"/>
  <c r="C1795" i="16"/>
  <c r="C1794" i="16"/>
  <c r="C1793" i="16"/>
  <c r="C1792" i="16"/>
  <c r="C1791" i="16"/>
  <c r="C1790" i="16"/>
  <c r="C1789" i="16"/>
  <c r="C1788" i="16"/>
  <c r="C1787" i="16"/>
  <c r="C1786" i="16"/>
  <c r="C1785" i="16"/>
  <c r="C1784" i="16"/>
  <c r="C1783" i="16"/>
  <c r="C1782" i="16"/>
  <c r="C1781" i="16"/>
  <c r="C1780" i="16"/>
  <c r="C1779" i="16"/>
  <c r="C1777" i="16"/>
  <c r="C1776" i="16"/>
  <c r="C1775" i="16"/>
  <c r="C1774" i="16"/>
  <c r="C1773" i="16"/>
  <c r="C1772" i="16"/>
  <c r="C1771" i="16"/>
  <c r="C1770" i="16"/>
  <c r="C1769" i="16"/>
  <c r="C1768" i="16"/>
  <c r="C1766" i="16"/>
  <c r="C1762" i="16"/>
  <c r="C1761" i="16"/>
  <c r="C1760" i="16"/>
  <c r="C1759" i="16"/>
  <c r="C1757" i="16"/>
  <c r="C1756" i="16"/>
  <c r="C1755" i="16"/>
  <c r="C1754" i="16"/>
  <c r="C1753" i="16"/>
  <c r="C1752" i="16"/>
  <c r="C1751" i="16"/>
  <c r="C1750" i="16"/>
  <c r="C1749" i="16"/>
  <c r="C1748" i="16"/>
  <c r="C1747" i="16"/>
  <c r="C1746" i="16"/>
  <c r="C1745" i="16"/>
  <c r="C1744" i="16"/>
  <c r="C1743" i="16"/>
  <c r="C1742" i="16"/>
  <c r="C1741" i="16"/>
  <c r="C1740" i="16"/>
  <c r="C1739" i="16"/>
  <c r="C1738" i="16"/>
  <c r="C1737" i="16"/>
  <c r="C1736" i="16"/>
  <c r="C1735" i="16"/>
  <c r="C1734" i="16"/>
  <c r="C1733" i="16"/>
  <c r="C1732" i="16"/>
  <c r="C1731" i="16"/>
  <c r="C1730" i="16"/>
  <c r="C1729" i="16"/>
  <c r="C1728" i="16"/>
  <c r="C1727" i="16"/>
  <c r="C1726" i="16"/>
  <c r="C1725" i="16"/>
  <c r="C1724" i="16"/>
  <c r="C1723" i="16"/>
  <c r="C1722" i="16"/>
  <c r="C1721" i="16"/>
  <c r="C1720" i="16"/>
  <c r="C1719" i="16"/>
  <c r="C1718" i="16"/>
  <c r="C1717" i="16"/>
  <c r="C1716" i="16"/>
  <c r="C1715" i="16"/>
  <c r="C1714" i="16"/>
  <c r="C1713" i="16"/>
  <c r="C1712" i="16"/>
  <c r="C1711" i="16"/>
  <c r="C1709" i="16"/>
  <c r="C1708" i="16"/>
  <c r="C1707" i="16"/>
  <c r="C1706" i="16"/>
  <c r="C1705" i="16"/>
  <c r="C1704" i="16"/>
  <c r="C1703" i="16"/>
  <c r="C1702" i="16"/>
  <c r="C1701" i="16"/>
  <c r="C1700" i="16"/>
  <c r="C1699" i="16"/>
  <c r="C1698" i="16"/>
  <c r="C1697" i="16"/>
  <c r="C1696" i="16"/>
  <c r="C1695" i="16"/>
  <c r="C1694" i="16"/>
  <c r="C1693" i="16"/>
  <c r="C1692" i="16"/>
  <c r="C1691" i="16"/>
  <c r="C1690" i="16"/>
  <c r="C1689" i="16"/>
  <c r="C1688" i="16"/>
  <c r="C1687" i="16"/>
  <c r="C1686" i="16"/>
  <c r="C1684" i="16"/>
  <c r="C1683" i="16"/>
  <c r="C1681" i="16"/>
  <c r="C1680" i="16"/>
  <c r="C1679" i="16"/>
  <c r="C1678" i="16"/>
  <c r="C1677" i="16"/>
  <c r="C1676" i="16"/>
  <c r="C1675" i="16"/>
  <c r="C1674" i="16"/>
  <c r="C1673" i="16"/>
  <c r="C1672" i="16"/>
  <c r="C1671" i="16"/>
  <c r="C1670" i="16"/>
  <c r="C1669" i="16"/>
  <c r="C1668" i="16"/>
  <c r="C1667" i="16"/>
  <c r="C1666" i="16"/>
  <c r="C1665" i="16"/>
  <c r="C1664" i="16"/>
  <c r="C1663" i="16"/>
  <c r="C1662" i="16"/>
  <c r="C1661" i="16"/>
  <c r="C1660" i="16"/>
  <c r="C1659" i="16"/>
  <c r="C1658" i="16"/>
  <c r="C1657" i="16"/>
  <c r="C1656" i="16"/>
  <c r="C1655" i="16"/>
  <c r="C1654" i="16"/>
  <c r="C1653" i="16"/>
  <c r="C1652" i="16"/>
  <c r="C1651" i="16"/>
  <c r="C1650" i="16"/>
  <c r="C1649" i="16"/>
  <c r="C1647" i="16"/>
  <c r="C1646" i="16"/>
  <c r="C1645" i="16"/>
  <c r="C1644" i="16"/>
  <c r="C1643" i="16"/>
  <c r="C1642" i="16"/>
  <c r="C1639" i="16"/>
  <c r="C1638" i="16"/>
  <c r="C1637" i="16"/>
  <c r="C1635" i="16"/>
  <c r="C1634" i="16"/>
  <c r="C1633" i="16"/>
  <c r="C1631" i="16"/>
  <c r="C1630" i="16"/>
  <c r="C1628" i="16"/>
  <c r="C1627" i="16"/>
  <c r="C1626" i="16"/>
  <c r="C1625" i="16"/>
  <c r="C1624" i="16"/>
  <c r="C1623" i="16"/>
  <c r="C1622" i="16"/>
  <c r="C1621" i="16"/>
  <c r="C1620" i="16"/>
  <c r="C1619" i="16"/>
  <c r="C1618" i="16"/>
  <c r="C1617" i="16"/>
  <c r="C1616" i="16"/>
  <c r="C1615" i="16"/>
  <c r="C1613" i="16"/>
  <c r="C1612" i="16"/>
  <c r="C1611" i="16"/>
  <c r="C1610" i="16"/>
  <c r="C1609" i="16"/>
  <c r="C1608" i="16"/>
  <c r="C1607" i="16"/>
  <c r="C1606" i="16"/>
  <c r="C1605" i="16"/>
  <c r="C1604" i="16"/>
  <c r="C1603" i="16"/>
  <c r="C1602" i="16"/>
  <c r="C1601" i="16"/>
  <c r="C1600" i="16"/>
  <c r="C1599" i="16"/>
  <c r="C1598" i="16"/>
  <c r="C1597" i="16"/>
  <c r="C1596" i="16"/>
  <c r="C1595" i="16"/>
  <c r="C1594" i="16"/>
  <c r="C1593" i="16"/>
  <c r="C1592" i="16"/>
  <c r="C1591" i="16"/>
  <c r="C1590" i="16"/>
  <c r="C1589" i="16"/>
  <c r="C1588" i="16"/>
  <c r="C1587" i="16"/>
  <c r="C1586" i="16"/>
  <c r="C1585" i="16"/>
  <c r="C1584" i="16"/>
  <c r="C1583" i="16"/>
  <c r="C1582" i="16"/>
  <c r="C1581" i="16"/>
  <c r="C1580" i="16"/>
  <c r="C1579" i="16"/>
  <c r="C1578" i="16"/>
  <c r="C1577" i="16"/>
  <c r="C1576" i="16"/>
  <c r="C1575" i="16"/>
  <c r="C1574" i="16"/>
  <c r="C1573" i="16"/>
  <c r="C1572" i="16"/>
  <c r="C1571" i="16"/>
  <c r="C1570" i="16"/>
  <c r="C1569" i="16"/>
  <c r="C1568" i="16"/>
  <c r="C1567" i="16"/>
  <c r="C1566" i="16"/>
  <c r="C1565" i="16"/>
  <c r="C1564" i="16"/>
  <c r="C1563" i="16"/>
  <c r="C1562" i="16"/>
  <c r="C1561" i="16"/>
  <c r="C1560" i="16"/>
  <c r="C1559" i="16"/>
  <c r="C1558" i="16"/>
  <c r="C1557" i="16"/>
  <c r="C1556" i="16"/>
  <c r="C1555" i="16"/>
  <c r="C1554" i="16"/>
  <c r="C1553" i="16"/>
  <c r="C1552" i="16"/>
  <c r="C1551" i="16"/>
  <c r="C1550" i="16"/>
  <c r="C1549" i="16"/>
  <c r="C1548" i="16"/>
  <c r="C1547" i="16"/>
  <c r="C1546" i="16"/>
  <c r="C1545" i="16"/>
  <c r="C1544" i="16"/>
  <c r="C1543" i="16"/>
  <c r="C1542" i="16"/>
  <c r="C1541" i="16"/>
  <c r="C1540" i="16"/>
  <c r="C1539" i="16"/>
  <c r="C1538" i="16"/>
  <c r="C1537" i="16"/>
  <c r="C1536" i="16"/>
  <c r="C1535" i="16"/>
  <c r="C1533" i="16"/>
  <c r="C1532" i="16"/>
  <c r="C1531" i="16"/>
  <c r="C1530" i="16"/>
  <c r="C1529" i="16"/>
  <c r="C1528" i="16"/>
  <c r="C1527" i="16"/>
  <c r="C1526" i="16"/>
  <c r="C1525" i="16"/>
  <c r="C1524" i="16"/>
  <c r="C1523" i="16"/>
  <c r="C1522" i="16"/>
  <c r="C1521" i="16"/>
  <c r="C1520" i="16"/>
  <c r="C1519" i="16"/>
  <c r="C1518" i="16"/>
  <c r="C1517" i="16"/>
  <c r="C1516" i="16"/>
  <c r="C1515" i="16"/>
  <c r="C1514" i="16"/>
  <c r="C1513" i="16"/>
  <c r="C1511" i="16"/>
  <c r="C1510" i="16"/>
  <c r="C1509" i="16"/>
  <c r="C1508" i="16"/>
  <c r="C1507" i="16"/>
  <c r="C1505" i="16"/>
  <c r="C1504" i="16"/>
  <c r="C1503" i="16"/>
  <c r="C1501" i="16"/>
  <c r="C1500" i="16"/>
  <c r="C1499" i="16"/>
  <c r="C1498" i="16"/>
  <c r="C1497" i="16"/>
  <c r="C1496" i="16"/>
  <c r="C1495" i="16"/>
  <c r="C1494" i="16"/>
  <c r="C1493" i="16"/>
  <c r="C1491" i="16"/>
  <c r="C1490" i="16"/>
  <c r="C1489" i="16"/>
  <c r="C1488" i="16"/>
  <c r="C1487" i="16"/>
  <c r="C1486" i="16"/>
  <c r="C1485" i="16"/>
  <c r="C1484" i="16"/>
  <c r="C1483" i="16"/>
  <c r="C1482" i="16"/>
  <c r="C1481" i="16"/>
  <c r="C1480" i="16"/>
  <c r="C1479" i="16"/>
  <c r="C1478" i="16"/>
  <c r="C1477" i="16"/>
  <c r="C1476" i="16"/>
  <c r="C1475" i="16"/>
  <c r="C1474" i="16"/>
  <c r="C1473" i="16"/>
  <c r="C1472" i="16"/>
  <c r="C1471" i="16"/>
  <c r="C1470" i="16"/>
  <c r="C1469" i="16"/>
  <c r="C1468" i="16"/>
  <c r="C1467" i="16"/>
  <c r="C1466" i="16"/>
  <c r="C1465" i="16"/>
  <c r="C1464" i="16"/>
  <c r="C1463" i="16"/>
  <c r="C1462" i="16"/>
  <c r="C1461" i="16"/>
  <c r="C1460" i="16"/>
  <c r="C1459" i="16"/>
  <c r="C1458" i="16"/>
  <c r="C1457" i="16"/>
  <c r="C1456" i="16"/>
  <c r="C1455" i="16"/>
  <c r="C1454" i="16"/>
  <c r="C1453" i="16"/>
  <c r="C1452" i="16"/>
  <c r="C1451" i="16"/>
  <c r="C1450" i="16"/>
  <c r="C1449" i="16"/>
  <c r="C1448" i="16"/>
  <c r="C1447" i="16"/>
  <c r="C1446" i="16"/>
  <c r="C1445" i="16"/>
  <c r="C1444" i="16"/>
  <c r="C1443" i="16"/>
  <c r="C1442" i="16"/>
  <c r="C1441" i="16"/>
  <c r="C1440" i="16"/>
  <c r="C1439" i="16"/>
  <c r="C1438" i="16"/>
  <c r="C1437" i="16"/>
  <c r="C1436" i="16"/>
  <c r="C1435" i="16"/>
  <c r="C1434" i="16"/>
  <c r="C1433" i="16"/>
  <c r="C1432" i="16"/>
  <c r="C1431" i="16"/>
  <c r="C1430" i="16"/>
  <c r="C1429" i="16"/>
  <c r="C1428" i="16"/>
  <c r="C1427" i="16"/>
  <c r="C1426" i="16"/>
  <c r="C1425" i="16"/>
  <c r="C1424" i="16"/>
  <c r="C1423" i="16"/>
  <c r="C1422" i="16"/>
  <c r="C1421" i="16"/>
  <c r="C1420" i="16"/>
  <c r="C1419" i="16"/>
  <c r="C1418" i="16"/>
  <c r="C1417" i="16"/>
  <c r="C1416" i="16"/>
  <c r="C1415" i="16"/>
  <c r="C1414" i="16"/>
  <c r="C1413" i="16"/>
  <c r="C1412" i="16"/>
  <c r="C1411" i="16"/>
  <c r="C1410" i="16"/>
  <c r="C1409" i="16"/>
  <c r="C1408" i="16"/>
  <c r="C1407" i="16"/>
  <c r="C1406" i="16"/>
  <c r="C1402" i="16"/>
  <c r="C1400" i="16"/>
  <c r="C1397" i="16"/>
  <c r="C1396" i="16"/>
  <c r="C1395" i="16"/>
  <c r="C1394" i="16"/>
  <c r="C1393" i="16"/>
  <c r="C1392" i="16"/>
  <c r="C1391" i="16"/>
  <c r="C1390" i="16"/>
  <c r="C1389" i="16"/>
  <c r="C1388" i="16"/>
  <c r="C1387" i="16"/>
  <c r="C1386" i="16"/>
  <c r="C1385" i="16"/>
  <c r="C1384" i="16"/>
  <c r="C1383" i="16"/>
  <c r="C1382" i="16"/>
  <c r="C1381" i="16"/>
  <c r="C1380" i="16"/>
  <c r="C1379" i="16"/>
  <c r="C1378" i="16"/>
  <c r="C1377" i="16"/>
  <c r="C1376" i="16"/>
  <c r="C1375" i="16"/>
  <c r="C1373" i="16"/>
  <c r="C1372" i="16"/>
  <c r="C1371" i="16"/>
  <c r="C1370" i="16"/>
  <c r="C1368" i="16"/>
  <c r="C1367" i="16"/>
  <c r="C1366" i="16"/>
  <c r="C1365" i="16"/>
  <c r="C1364" i="16"/>
  <c r="C1363" i="16"/>
  <c r="C1362" i="16"/>
  <c r="C1361" i="16"/>
  <c r="C1360" i="16"/>
  <c r="C1359" i="16"/>
  <c r="C1358" i="16"/>
  <c r="C1357" i="16"/>
  <c r="C1356" i="16"/>
  <c r="C1355" i="16"/>
  <c r="C1354" i="16"/>
  <c r="C1353" i="16"/>
  <c r="C1352" i="16"/>
  <c r="C1351" i="16"/>
  <c r="C1350" i="16"/>
  <c r="C1349" i="16"/>
  <c r="C1348" i="16"/>
  <c r="C1347" i="16"/>
  <c r="C1346" i="16"/>
  <c r="C1345" i="16"/>
  <c r="C1344" i="16"/>
  <c r="C1343" i="16"/>
  <c r="C1342" i="16"/>
  <c r="C1341" i="16"/>
  <c r="C1340" i="16"/>
  <c r="C1339" i="16"/>
  <c r="C1338" i="16"/>
  <c r="C1337" i="16"/>
  <c r="C1336" i="16"/>
  <c r="C1335" i="16"/>
  <c r="C1334" i="16"/>
  <c r="C1333" i="16"/>
  <c r="C1332" i="16"/>
  <c r="C1331" i="16"/>
  <c r="C1330" i="16"/>
  <c r="C1329" i="16"/>
  <c r="C1328" i="16"/>
  <c r="C1327" i="16"/>
  <c r="C1326" i="16"/>
  <c r="C1325" i="16"/>
  <c r="C1324" i="16"/>
  <c r="C1323" i="16"/>
  <c r="C1322" i="16"/>
  <c r="C1321" i="16"/>
  <c r="C1320" i="16"/>
  <c r="C1319" i="16"/>
  <c r="C1318" i="16"/>
  <c r="C1317" i="16"/>
  <c r="C1316" i="16"/>
  <c r="C1315" i="16"/>
  <c r="C1314" i="16"/>
  <c r="C1313" i="16"/>
  <c r="C1312" i="16"/>
  <c r="C1311" i="16"/>
  <c r="C1310" i="16"/>
  <c r="C1309" i="16"/>
  <c r="C1308" i="16"/>
  <c r="C1307" i="16"/>
  <c r="C1306" i="16"/>
  <c r="C1305" i="16"/>
  <c r="C1304" i="16"/>
  <c r="C1303" i="16"/>
  <c r="C1302" i="16"/>
  <c r="C1301" i="16"/>
  <c r="C1300" i="16"/>
  <c r="C1299" i="16"/>
  <c r="C1298" i="16"/>
  <c r="C1297" i="16"/>
  <c r="C1296" i="16"/>
  <c r="C1295" i="16"/>
  <c r="C1294" i="16"/>
  <c r="C1293" i="16"/>
  <c r="C1292" i="16"/>
  <c r="C1291" i="16"/>
  <c r="C1290" i="16"/>
  <c r="C1289" i="16"/>
  <c r="C1288" i="16"/>
  <c r="C1287" i="16"/>
  <c r="C1286" i="16"/>
  <c r="C1285" i="16"/>
  <c r="C1284" i="16"/>
  <c r="C1283" i="16"/>
  <c r="C1282" i="16"/>
  <c r="C1281" i="16"/>
  <c r="C1280" i="16"/>
  <c r="C1279" i="16"/>
  <c r="C1278" i="16"/>
  <c r="C1277" i="16"/>
  <c r="C1276" i="16"/>
  <c r="C1275" i="16"/>
  <c r="C1274" i="16"/>
  <c r="C1273" i="16"/>
  <c r="C1272" i="16"/>
  <c r="C1271" i="16"/>
  <c r="C1270" i="16"/>
  <c r="C1269" i="16"/>
  <c r="C1268" i="16"/>
  <c r="C1267" i="16"/>
  <c r="C1266" i="16"/>
  <c r="C1265" i="16"/>
  <c r="C1264" i="16"/>
  <c r="C1263" i="16"/>
  <c r="C1262" i="16"/>
  <c r="C1261" i="16"/>
  <c r="C1260" i="16"/>
  <c r="C1259" i="16"/>
  <c r="C1258" i="16"/>
  <c r="C1257" i="16"/>
  <c r="C1256" i="16"/>
  <c r="C1255" i="16"/>
  <c r="C1254" i="16"/>
  <c r="C1252" i="16"/>
  <c r="C1251" i="16"/>
  <c r="C1250" i="16"/>
  <c r="C1248" i="16"/>
  <c r="C1247" i="16"/>
  <c r="C1246" i="16"/>
  <c r="C1245" i="16"/>
  <c r="C1244" i="16"/>
  <c r="C1243" i="16"/>
  <c r="C1242" i="16"/>
  <c r="C1241" i="16"/>
  <c r="C1240" i="16"/>
  <c r="C1239" i="16"/>
  <c r="C1238" i="16"/>
  <c r="C1237" i="16"/>
  <c r="C1236" i="16"/>
  <c r="C1235" i="16"/>
  <c r="C1234" i="16"/>
  <c r="C1233" i="16"/>
  <c r="C1232" i="16"/>
  <c r="C1231" i="16"/>
  <c r="C1230" i="16"/>
  <c r="C1229" i="16"/>
  <c r="C1228" i="16"/>
  <c r="C1227" i="16"/>
  <c r="C1226" i="16"/>
  <c r="C1225" i="16"/>
  <c r="C1224" i="16"/>
  <c r="C1223" i="16"/>
  <c r="C1222" i="16"/>
  <c r="C1221" i="16"/>
  <c r="C1219" i="16"/>
  <c r="C1218" i="16"/>
  <c r="C1217" i="16"/>
  <c r="C1216" i="16"/>
  <c r="C1215" i="16"/>
  <c r="C1214" i="16"/>
  <c r="C1213" i="16"/>
  <c r="C1212" i="16"/>
  <c r="C1211" i="16"/>
  <c r="C1210" i="16"/>
  <c r="C1209" i="16"/>
  <c r="C1208" i="16"/>
  <c r="C1207" i="16"/>
  <c r="C1206" i="16"/>
  <c r="C1205" i="16"/>
  <c r="C1204" i="16"/>
  <c r="C1203" i="16"/>
  <c r="C1202" i="16"/>
  <c r="C1201" i="16"/>
  <c r="C1200" i="16"/>
  <c r="C1199" i="16"/>
  <c r="C1198" i="16"/>
  <c r="C1197" i="16"/>
  <c r="C1196" i="16"/>
  <c r="C1195" i="16"/>
  <c r="C1194" i="16"/>
  <c r="C1193" i="16"/>
  <c r="C1192" i="16"/>
  <c r="C1191" i="16"/>
  <c r="C1190" i="16"/>
  <c r="C1189" i="16"/>
  <c r="C1188" i="16"/>
  <c r="C1187" i="16"/>
  <c r="C1186" i="16"/>
  <c r="C1185" i="16"/>
  <c r="C1183" i="16"/>
  <c r="C1182" i="16"/>
  <c r="C1181" i="16"/>
  <c r="C1179" i="16"/>
  <c r="C1178" i="16"/>
  <c r="C1177" i="16"/>
  <c r="C1176" i="16"/>
  <c r="C1175" i="16"/>
  <c r="C1174" i="16"/>
  <c r="C1173" i="16"/>
  <c r="C1172" i="16"/>
  <c r="C1171" i="16"/>
  <c r="C1170" i="16"/>
  <c r="C1169" i="16"/>
  <c r="C1168" i="16"/>
  <c r="C1167" i="16"/>
  <c r="C1166" i="16"/>
  <c r="C1165" i="16"/>
  <c r="C1164" i="16"/>
  <c r="C1163" i="16"/>
  <c r="C1162" i="16"/>
  <c r="C1161" i="16"/>
  <c r="C1160" i="16"/>
  <c r="C1159" i="16"/>
  <c r="C1158" i="16"/>
  <c r="C1157" i="16"/>
  <c r="C1156" i="16"/>
  <c r="C1155" i="16"/>
  <c r="C1154" i="16"/>
  <c r="C1153" i="16"/>
  <c r="C1152" i="16"/>
  <c r="C1150" i="16"/>
  <c r="C1149" i="16"/>
  <c r="C1148" i="16"/>
  <c r="C1147" i="16"/>
  <c r="C1145" i="16"/>
  <c r="C1144" i="16"/>
  <c r="C1143" i="16"/>
  <c r="C1142" i="16"/>
  <c r="C1141" i="16"/>
  <c r="C1140" i="16"/>
  <c r="C1139" i="16"/>
  <c r="C1138" i="16"/>
  <c r="C1137" i="16"/>
  <c r="C1136" i="16"/>
  <c r="C1135" i="16"/>
  <c r="C1134" i="16"/>
  <c r="C1133" i="16"/>
  <c r="C1132" i="16"/>
  <c r="C1131" i="16"/>
  <c r="C1130" i="16"/>
  <c r="C1129" i="16"/>
  <c r="C1128" i="16"/>
  <c r="C1127" i="16"/>
  <c r="C1126" i="16"/>
  <c r="C1125" i="16"/>
  <c r="C1124" i="16"/>
  <c r="C1123" i="16"/>
  <c r="C1122" i="16"/>
  <c r="C1121" i="16"/>
  <c r="C1120" i="16"/>
  <c r="C1119" i="16"/>
  <c r="C1118" i="16"/>
  <c r="C1117" i="16"/>
  <c r="C1116" i="16"/>
  <c r="C1115" i="16"/>
  <c r="C1114" i="16"/>
  <c r="C1113" i="16"/>
  <c r="C1112" i="16"/>
  <c r="C1111" i="16"/>
  <c r="C1110" i="16"/>
  <c r="C1109" i="16"/>
  <c r="C1108" i="16"/>
  <c r="C1107" i="16"/>
  <c r="C1106" i="16"/>
  <c r="C1105" i="16"/>
  <c r="C1104" i="16"/>
  <c r="C1103" i="16"/>
  <c r="C1101" i="16"/>
  <c r="C1100" i="16"/>
  <c r="C1099" i="16"/>
  <c r="C1098" i="16"/>
  <c r="C1097" i="16"/>
  <c r="C1096" i="16"/>
  <c r="C1095" i="16"/>
  <c r="C1094" i="16"/>
  <c r="C1093" i="16"/>
  <c r="C1092" i="16"/>
  <c r="C1091" i="16"/>
  <c r="C1090" i="16"/>
  <c r="C1089" i="16"/>
  <c r="C1088" i="16"/>
  <c r="C1087" i="16"/>
  <c r="C1086" i="16"/>
  <c r="C1084" i="16"/>
  <c r="C1083" i="16"/>
  <c r="C1082" i="16"/>
  <c r="C1081" i="16"/>
  <c r="C1080" i="16"/>
  <c r="C1079" i="16"/>
  <c r="C1078" i="16"/>
  <c r="C1077" i="16"/>
  <c r="C1076" i="16"/>
  <c r="C1075" i="16"/>
  <c r="C1074" i="16"/>
  <c r="C1073" i="16"/>
  <c r="C1072" i="16"/>
  <c r="C1071" i="16"/>
  <c r="C1070" i="16"/>
  <c r="C1069" i="16"/>
  <c r="C1068" i="16"/>
  <c r="C1067" i="16"/>
  <c r="C1066" i="16"/>
  <c r="C1065" i="16"/>
  <c r="C1064" i="16"/>
  <c r="C1063" i="16"/>
  <c r="C1062" i="16"/>
  <c r="C1061" i="16"/>
  <c r="C1060" i="16"/>
  <c r="C1059" i="16"/>
  <c r="C1058" i="16"/>
  <c r="C1057" i="16"/>
  <c r="C1056" i="16"/>
  <c r="C1055" i="16"/>
  <c r="C1054" i="16"/>
  <c r="C1053" i="16"/>
  <c r="C1052" i="16"/>
  <c r="C1051" i="16"/>
  <c r="C1050" i="16"/>
  <c r="C1049" i="16"/>
  <c r="C1048" i="16"/>
  <c r="C1047" i="16"/>
  <c r="C1046" i="16"/>
  <c r="C1045" i="16"/>
  <c r="C1044" i="16"/>
  <c r="C1043" i="16"/>
  <c r="C1042" i="16"/>
  <c r="C1041" i="16"/>
  <c r="C1040" i="16"/>
  <c r="C1039" i="16"/>
  <c r="C1038" i="16"/>
  <c r="C1037" i="16"/>
  <c r="C1036" i="16"/>
  <c r="C1035" i="16"/>
  <c r="C1034" i="16"/>
  <c r="C1033" i="16"/>
  <c r="C1032" i="16"/>
  <c r="C1031" i="16"/>
  <c r="C1030" i="16"/>
  <c r="C1029" i="16"/>
  <c r="C1028" i="16"/>
  <c r="C1027" i="16"/>
  <c r="C1026" i="16"/>
  <c r="C1025" i="16"/>
  <c r="C1024" i="16"/>
  <c r="C1023" i="16"/>
  <c r="C1022" i="16"/>
  <c r="C1021" i="16"/>
  <c r="C1020" i="16"/>
  <c r="C1019" i="16"/>
  <c r="C1018" i="16"/>
  <c r="C1017" i="16"/>
  <c r="C1016" i="16"/>
  <c r="C1015" i="16"/>
  <c r="C1014" i="16"/>
  <c r="C1013" i="16"/>
  <c r="C1011" i="16"/>
  <c r="C1010" i="16"/>
  <c r="C1009" i="16"/>
  <c r="C1008" i="16"/>
  <c r="C1006" i="16"/>
  <c r="C1005" i="16"/>
  <c r="C1004" i="16"/>
  <c r="C1003" i="16"/>
  <c r="C1002" i="16"/>
  <c r="C1001" i="16"/>
  <c r="C1000" i="16"/>
  <c r="C999" i="16"/>
  <c r="C998" i="16"/>
  <c r="C997" i="16"/>
  <c r="C996" i="16"/>
  <c r="C995" i="16"/>
  <c r="C994" i="16"/>
  <c r="C993" i="16"/>
  <c r="C992" i="16"/>
  <c r="C991" i="16"/>
  <c r="C990" i="16"/>
  <c r="C989" i="16"/>
  <c r="C988" i="16"/>
  <c r="C987" i="16"/>
  <c r="C986" i="16"/>
  <c r="C985" i="16"/>
  <c r="C984" i="16"/>
  <c r="C983" i="16"/>
  <c r="C982" i="16"/>
  <c r="C981" i="16"/>
  <c r="C980" i="16"/>
  <c r="C979" i="16"/>
  <c r="C978" i="16"/>
  <c r="C977" i="16"/>
  <c r="C976" i="16"/>
  <c r="C975" i="16"/>
  <c r="C974" i="16"/>
  <c r="C973" i="16"/>
  <c r="C972" i="16"/>
  <c r="C971" i="16"/>
  <c r="C970" i="16"/>
  <c r="C969" i="16"/>
  <c r="C968" i="16"/>
  <c r="C967" i="16"/>
  <c r="C966" i="16"/>
  <c r="C965" i="16"/>
  <c r="C964" i="16"/>
  <c r="C963" i="16"/>
  <c r="C962" i="16"/>
  <c r="C961" i="16"/>
  <c r="C960" i="16"/>
  <c r="C959" i="16"/>
  <c r="C958" i="16"/>
  <c r="C957" i="16"/>
  <c r="C956" i="16"/>
  <c r="C955" i="16"/>
  <c r="C954" i="16"/>
  <c r="C953" i="16"/>
  <c r="C952" i="16"/>
  <c r="C951" i="16"/>
  <c r="C950" i="16"/>
  <c r="C949" i="16"/>
  <c r="C948" i="16"/>
  <c r="C947" i="16"/>
  <c r="C946" i="16"/>
  <c r="C945" i="16"/>
  <c r="C944" i="16"/>
  <c r="C943" i="16"/>
  <c r="C942" i="16"/>
  <c r="C941" i="16"/>
  <c r="C940" i="16"/>
  <c r="C939" i="16"/>
  <c r="C938" i="16"/>
  <c r="C937" i="16"/>
  <c r="C936" i="16"/>
  <c r="C935" i="16"/>
  <c r="C934" i="16"/>
  <c r="C933" i="16"/>
  <c r="C932" i="16"/>
  <c r="C931" i="16"/>
  <c r="C930" i="16"/>
  <c r="C929" i="16"/>
  <c r="C928" i="16"/>
  <c r="C927" i="16"/>
  <c r="C926" i="16"/>
  <c r="C925" i="16"/>
  <c r="C924" i="16"/>
  <c r="C923" i="16"/>
  <c r="C922" i="16"/>
  <c r="C921" i="16"/>
  <c r="C920" i="16"/>
  <c r="C919" i="16"/>
  <c r="C918" i="16"/>
  <c r="C917" i="16"/>
  <c r="C916" i="16"/>
  <c r="C915" i="16"/>
  <c r="C914" i="16"/>
  <c r="C913" i="16"/>
  <c r="C912" i="16"/>
  <c r="C911" i="16"/>
  <c r="C909" i="16"/>
  <c r="C908" i="16"/>
  <c r="C907" i="16"/>
  <c r="C906" i="16"/>
  <c r="C904" i="16"/>
  <c r="C903" i="16"/>
  <c r="C902" i="16"/>
  <c r="C901" i="16"/>
  <c r="C900" i="16"/>
  <c r="C899" i="16"/>
  <c r="C898" i="16"/>
  <c r="C897" i="16"/>
  <c r="C896" i="16"/>
  <c r="C895" i="16"/>
  <c r="C894" i="16"/>
  <c r="C893" i="16"/>
  <c r="C892" i="16"/>
  <c r="C891" i="16"/>
  <c r="C890" i="16"/>
  <c r="C889" i="16"/>
  <c r="C888" i="16"/>
  <c r="C887" i="16"/>
  <c r="C886" i="16"/>
  <c r="C885" i="16"/>
  <c r="C884" i="16"/>
  <c r="C883" i="16"/>
  <c r="C882" i="16"/>
  <c r="C881" i="16"/>
  <c r="C880" i="16"/>
  <c r="C879" i="16"/>
  <c r="C878" i="16"/>
  <c r="C877" i="16"/>
  <c r="C876" i="16"/>
  <c r="C875" i="16"/>
  <c r="C874" i="16"/>
  <c r="C873" i="16"/>
  <c r="C872" i="16"/>
  <c r="C871" i="16"/>
  <c r="C870" i="16"/>
  <c r="C868" i="16"/>
  <c r="C867" i="16"/>
  <c r="C866" i="16"/>
  <c r="C865" i="16"/>
  <c r="C864" i="16"/>
  <c r="C863" i="16"/>
  <c r="C862" i="16"/>
  <c r="C861" i="16"/>
  <c r="C860" i="16"/>
  <c r="C859" i="16"/>
  <c r="C858" i="16"/>
  <c r="C857" i="16"/>
  <c r="C856" i="16"/>
  <c r="C855" i="16"/>
  <c r="C854" i="16"/>
  <c r="C853" i="16"/>
  <c r="C852" i="16"/>
  <c r="C851" i="16"/>
  <c r="C850" i="16"/>
  <c r="C849" i="16"/>
  <c r="C848" i="16"/>
  <c r="C847" i="16"/>
  <c r="C846" i="16"/>
  <c r="C845" i="16"/>
  <c r="C844" i="16"/>
  <c r="C843" i="16"/>
  <c r="C842" i="16"/>
  <c r="C841" i="16"/>
  <c r="C840" i="16"/>
  <c r="C839" i="16"/>
  <c r="C838" i="16"/>
  <c r="C837" i="16"/>
  <c r="C836" i="16"/>
  <c r="C834" i="16"/>
  <c r="C833" i="16"/>
  <c r="C832" i="16"/>
  <c r="C831" i="16"/>
  <c r="C829" i="16"/>
  <c r="C828" i="16"/>
  <c r="C827" i="16"/>
  <c r="C826" i="16"/>
  <c r="C825" i="16"/>
  <c r="C824" i="16"/>
  <c r="C823" i="16"/>
  <c r="C822" i="16"/>
  <c r="C821" i="16"/>
  <c r="C820" i="16"/>
  <c r="C819" i="16"/>
  <c r="C818" i="16"/>
  <c r="C817" i="16"/>
  <c r="C815" i="16"/>
  <c r="C814" i="16"/>
  <c r="C813" i="16"/>
  <c r="C811" i="16"/>
  <c r="C810" i="16"/>
  <c r="C809" i="16"/>
  <c r="C808" i="16"/>
  <c r="C807" i="16"/>
  <c r="C806" i="16"/>
  <c r="C805" i="16"/>
  <c r="C804" i="16"/>
  <c r="C802" i="16"/>
  <c r="C801" i="16"/>
  <c r="C800" i="16"/>
  <c r="C799" i="16"/>
  <c r="C798" i="16"/>
  <c r="C797" i="16"/>
  <c r="C796" i="16"/>
  <c r="B452" i="16" l="1"/>
  <c r="B503" i="16" l="1"/>
  <c r="C502" i="16"/>
  <c r="B499" i="16"/>
  <c r="C498" i="16"/>
  <c r="B495" i="16"/>
  <c r="C494" i="16"/>
  <c r="B491" i="16"/>
  <c r="C490" i="16"/>
  <c r="B487" i="16"/>
  <c r="C486" i="16"/>
  <c r="B483" i="16"/>
  <c r="C482" i="16"/>
  <c r="B479" i="16"/>
  <c r="C478" i="16"/>
  <c r="C474" i="16"/>
  <c r="C471" i="16"/>
  <c r="C468" i="16"/>
  <c r="B467" i="16"/>
  <c r="B464" i="16"/>
  <c r="B461" i="16"/>
  <c r="C458" i="16"/>
  <c r="C455" i="16"/>
  <c r="C452" i="16"/>
  <c r="B502" i="16"/>
  <c r="C501" i="16"/>
  <c r="B498" i="16"/>
  <c r="C497" i="16"/>
  <c r="B494" i="16"/>
  <c r="C493" i="16"/>
  <c r="B490" i="16"/>
  <c r="C489" i="16"/>
  <c r="B486" i="16"/>
  <c r="C485" i="16"/>
  <c r="B482" i="16"/>
  <c r="C481" i="16"/>
  <c r="B478" i="16"/>
  <c r="C477" i="16"/>
  <c r="C475" i="16"/>
  <c r="C472" i="16"/>
  <c r="B471" i="16"/>
  <c r="B468" i="16"/>
  <c r="B465" i="16"/>
  <c r="C462" i="16"/>
  <c r="C459" i="16"/>
  <c r="C456" i="16"/>
  <c r="B455" i="16"/>
  <c r="B283" i="16"/>
  <c r="C286" i="16"/>
  <c r="B287" i="16"/>
  <c r="C290" i="16"/>
  <c r="B291" i="16"/>
  <c r="C294" i="16"/>
  <c r="B295" i="16"/>
  <c r="C298" i="16"/>
  <c r="B299" i="16"/>
  <c r="C302" i="16"/>
  <c r="B303" i="16"/>
  <c r="C306" i="16"/>
  <c r="B307" i="16"/>
  <c r="C310" i="16"/>
  <c r="B311" i="16"/>
  <c r="C314" i="16"/>
  <c r="B315" i="16"/>
  <c r="C318" i="16"/>
  <c r="B319" i="16"/>
  <c r="C284" i="16"/>
  <c r="B285" i="16"/>
  <c r="C288" i="16"/>
  <c r="B289" i="16"/>
  <c r="C292" i="16"/>
  <c r="B293" i="16"/>
  <c r="C296" i="16"/>
  <c r="B297" i="16"/>
  <c r="C300" i="16"/>
  <c r="B301" i="16"/>
  <c r="C304" i="16"/>
  <c r="B305" i="16"/>
  <c r="C308" i="16"/>
  <c r="B309" i="16"/>
  <c r="C312" i="16"/>
  <c r="B313" i="16"/>
  <c r="C285" i="16"/>
  <c r="B286" i="16"/>
  <c r="C289" i="16"/>
  <c r="B290" i="16"/>
  <c r="C293" i="16"/>
  <c r="B294" i="16"/>
  <c r="C297" i="16"/>
  <c r="B298" i="16"/>
  <c r="C301" i="16"/>
  <c r="B302" i="16"/>
  <c r="C305" i="16"/>
  <c r="B306" i="16"/>
  <c r="C309" i="16"/>
  <c r="B310" i="16"/>
  <c r="C313" i="16"/>
  <c r="B314" i="16"/>
  <c r="C317" i="16"/>
  <c r="B318" i="16"/>
  <c r="C283" i="16"/>
  <c r="B292" i="16"/>
  <c r="C299" i="16"/>
  <c r="B308" i="16"/>
  <c r="C315" i="16"/>
  <c r="C316" i="16"/>
  <c r="B317" i="16"/>
  <c r="C321" i="16"/>
  <c r="B322" i="16"/>
  <c r="C325" i="16"/>
  <c r="B326" i="16"/>
  <c r="C329" i="16"/>
  <c r="B330" i="16"/>
  <c r="C333" i="16"/>
  <c r="B334" i="16"/>
  <c r="C337" i="16"/>
  <c r="B338" i="16"/>
  <c r="C341" i="16"/>
  <c r="B342" i="16"/>
  <c r="C345" i="16"/>
  <c r="B346" i="16"/>
  <c r="C287" i="16"/>
  <c r="B296" i="16"/>
  <c r="C303" i="16"/>
  <c r="B312" i="16"/>
  <c r="C319" i="16"/>
  <c r="B320" i="16"/>
  <c r="C322" i="16"/>
  <c r="B323" i="16"/>
  <c r="C326" i="16"/>
  <c r="B327" i="16"/>
  <c r="C330" i="16"/>
  <c r="B331" i="16"/>
  <c r="C334" i="16"/>
  <c r="B335" i="16"/>
  <c r="C338" i="16"/>
  <c r="B288" i="16"/>
  <c r="C295" i="16"/>
  <c r="B304" i="16"/>
  <c r="C311" i="16"/>
  <c r="B316" i="16"/>
  <c r="B321" i="16"/>
  <c r="C324" i="16"/>
  <c r="B325" i="16"/>
  <c r="C328" i="16"/>
  <c r="B329" i="16"/>
  <c r="C332" i="16"/>
  <c r="B333" i="16"/>
  <c r="C336" i="16"/>
  <c r="B337" i="16"/>
  <c r="C340" i="16"/>
  <c r="B341" i="16"/>
  <c r="C344" i="16"/>
  <c r="B345" i="16"/>
  <c r="B284" i="16"/>
  <c r="C291" i="16"/>
  <c r="B328" i="16"/>
  <c r="C335" i="16"/>
  <c r="C343" i="16"/>
  <c r="B344" i="16"/>
  <c r="B300" i="16"/>
  <c r="C307" i="16"/>
  <c r="C323" i="16"/>
  <c r="B332" i="16"/>
  <c r="B339" i="16"/>
  <c r="C346" i="16"/>
  <c r="B347" i="16"/>
  <c r="C350" i="16"/>
  <c r="B351" i="16"/>
  <c r="C354" i="16"/>
  <c r="B355" i="16"/>
  <c r="C358" i="16"/>
  <c r="B359" i="16"/>
  <c r="C362" i="16"/>
  <c r="B363" i="16"/>
  <c r="C327" i="16"/>
  <c r="B336" i="16"/>
  <c r="C339" i="16"/>
  <c r="B340" i="16"/>
  <c r="C347" i="16"/>
  <c r="B348" i="16"/>
  <c r="C351" i="16"/>
  <c r="B352" i="16"/>
  <c r="C355" i="16"/>
  <c r="B356" i="16"/>
  <c r="C359" i="16"/>
  <c r="B360" i="16"/>
  <c r="C363" i="16"/>
  <c r="B364" i="16"/>
  <c r="C367" i="16"/>
  <c r="B368" i="16"/>
  <c r="C371" i="16"/>
  <c r="B372" i="16"/>
  <c r="C320" i="16"/>
  <c r="B324" i="16"/>
  <c r="C331" i="16"/>
  <c r="C342" i="16"/>
  <c r="B343" i="16"/>
  <c r="C348" i="16"/>
  <c r="B349" i="16"/>
  <c r="C352" i="16"/>
  <c r="B353" i="16"/>
  <c r="C356" i="16"/>
  <c r="B357" i="16"/>
  <c r="C360" i="16"/>
  <c r="B361" i="16"/>
  <c r="C364" i="16"/>
  <c r="B365" i="16"/>
  <c r="C368" i="16"/>
  <c r="B369" i="16"/>
  <c r="B350" i="16"/>
  <c r="C357" i="16"/>
  <c r="C369" i="16"/>
  <c r="C372" i="16"/>
  <c r="C376" i="16"/>
  <c r="B377" i="16"/>
  <c r="C380" i="16"/>
  <c r="B381" i="16"/>
  <c r="C384" i="16"/>
  <c r="B385" i="16"/>
  <c r="C388" i="16"/>
  <c r="B389" i="16"/>
  <c r="C392" i="16"/>
  <c r="B393" i="16"/>
  <c r="C396" i="16"/>
  <c r="B397" i="16"/>
  <c r="C400" i="16"/>
  <c r="B401" i="16"/>
  <c r="B354" i="16"/>
  <c r="C361" i="16"/>
  <c r="B371" i="16"/>
  <c r="B374" i="16"/>
  <c r="C377" i="16"/>
  <c r="B378" i="16"/>
  <c r="C381" i="16"/>
  <c r="B382" i="16"/>
  <c r="C385" i="16"/>
  <c r="B386" i="16"/>
  <c r="C389" i="16"/>
  <c r="B390" i="16"/>
  <c r="C393" i="16"/>
  <c r="B394" i="16"/>
  <c r="C397" i="16"/>
  <c r="B398" i="16"/>
  <c r="C349" i="16"/>
  <c r="B358" i="16"/>
  <c r="C365" i="16"/>
  <c r="B366" i="16"/>
  <c r="B370" i="16"/>
  <c r="B373" i="16"/>
  <c r="C374" i="16"/>
  <c r="B375" i="16"/>
  <c r="C378" i="16"/>
  <c r="B379" i="16"/>
  <c r="C382" i="16"/>
  <c r="B383" i="16"/>
  <c r="C353" i="16"/>
  <c r="B362" i="16"/>
  <c r="C366" i="16"/>
  <c r="B367" i="16"/>
  <c r="C370" i="16"/>
  <c r="C373" i="16"/>
  <c r="C375" i="16"/>
  <c r="B376" i="16"/>
  <c r="C379" i="16"/>
  <c r="B380" i="16"/>
  <c r="C383" i="16"/>
  <c r="B384" i="16"/>
  <c r="C387" i="16"/>
  <c r="B388" i="16"/>
  <c r="C391" i="16"/>
  <c r="B392" i="16"/>
  <c r="C395" i="16"/>
  <c r="B396" i="16"/>
  <c r="C399" i="16"/>
  <c r="B400" i="16"/>
  <c r="C403" i="16"/>
  <c r="B404" i="16"/>
  <c r="C407" i="16"/>
  <c r="B408" i="16"/>
  <c r="C411" i="16"/>
  <c r="B412" i="16"/>
  <c r="C415" i="16"/>
  <c r="B387" i="16"/>
  <c r="C394" i="16"/>
  <c r="C401" i="16"/>
  <c r="B403" i="16"/>
  <c r="B406" i="16"/>
  <c r="B409" i="16"/>
  <c r="C410" i="16"/>
  <c r="C413" i="16"/>
  <c r="C418" i="16"/>
  <c r="B419" i="16"/>
  <c r="C422" i="16"/>
  <c r="B423" i="16"/>
  <c r="C426" i="16"/>
  <c r="B427" i="16"/>
  <c r="C430" i="16"/>
  <c r="B431" i="16"/>
  <c r="C434" i="16"/>
  <c r="B435" i="16"/>
  <c r="C438" i="16"/>
  <c r="B439" i="16"/>
  <c r="C442" i="16"/>
  <c r="B443" i="16"/>
  <c r="C446" i="16"/>
  <c r="B447" i="16"/>
  <c r="C450" i="16"/>
  <c r="B451" i="16"/>
  <c r="B391" i="16"/>
  <c r="C398" i="16"/>
  <c r="B402" i="16"/>
  <c r="B405" i="16"/>
  <c r="C406" i="16"/>
  <c r="C409" i="16"/>
  <c r="C412" i="16"/>
  <c r="B415" i="16"/>
  <c r="B416" i="16"/>
  <c r="C419" i="16"/>
  <c r="B420" i="16"/>
  <c r="C423" i="16"/>
  <c r="B424" i="16"/>
  <c r="C427" i="16"/>
  <c r="B428" i="16"/>
  <c r="C431" i="16"/>
  <c r="B432" i="16"/>
  <c r="C435" i="16"/>
  <c r="B436" i="16"/>
  <c r="C439" i="16"/>
  <c r="B440" i="16"/>
  <c r="C443" i="16"/>
  <c r="B444" i="16"/>
  <c r="C447" i="16"/>
  <c r="B448" i="16"/>
  <c r="C451" i="16"/>
  <c r="C386" i="16"/>
  <c r="B395" i="16"/>
  <c r="C402" i="16"/>
  <c r="C405" i="16"/>
  <c r="C408" i="16"/>
  <c r="B411" i="16"/>
  <c r="B414" i="16"/>
  <c r="C416" i="16"/>
  <c r="B417" i="16"/>
  <c r="C420" i="16"/>
  <c r="B421" i="16"/>
  <c r="C424" i="16"/>
  <c r="B425" i="16"/>
  <c r="C428" i="16"/>
  <c r="B429" i="16"/>
  <c r="C432" i="16"/>
  <c r="B433" i="16"/>
  <c r="C436" i="16"/>
  <c r="B437" i="16"/>
  <c r="C440" i="16"/>
  <c r="B441" i="16"/>
  <c r="C444" i="16"/>
  <c r="B445" i="16"/>
  <c r="C448" i="16"/>
  <c r="B449" i="16"/>
  <c r="C390" i="16"/>
  <c r="B399" i="16"/>
  <c r="C404" i="16"/>
  <c r="B407" i="16"/>
  <c r="B410" i="16"/>
  <c r="B413" i="16"/>
  <c r="C414" i="16"/>
  <c r="C417" i="16"/>
  <c r="B418" i="16"/>
  <c r="C421" i="16"/>
  <c r="B422" i="16"/>
  <c r="C425" i="16"/>
  <c r="B426" i="16"/>
  <c r="C429" i="16"/>
  <c r="B430" i="16"/>
  <c r="C433" i="16"/>
  <c r="B434" i="16"/>
  <c r="C437" i="16"/>
  <c r="B438" i="16"/>
  <c r="C441" i="16"/>
  <c r="B442" i="16"/>
  <c r="C445" i="16"/>
  <c r="B446" i="16"/>
  <c r="C449" i="16"/>
  <c r="B450" i="16"/>
  <c r="C453" i="16"/>
  <c r="B454" i="16"/>
  <c r="C457" i="16"/>
  <c r="B458" i="16"/>
  <c r="C461" i="16"/>
  <c r="B462" i="16"/>
  <c r="C465" i="16"/>
  <c r="B466" i="16"/>
  <c r="C469" i="16"/>
  <c r="B470" i="16"/>
  <c r="C473" i="16"/>
  <c r="B474" i="16"/>
  <c r="B501" i="16"/>
  <c r="C500" i="16"/>
  <c r="B497" i="16"/>
  <c r="C496" i="16"/>
  <c r="B493" i="16"/>
  <c r="C492" i="16"/>
  <c r="B489" i="16"/>
  <c r="C488" i="16"/>
  <c r="B485" i="16"/>
  <c r="C484" i="16"/>
  <c r="B481" i="16"/>
  <c r="C480" i="16"/>
  <c r="B477" i="16"/>
  <c r="C476" i="16"/>
  <c r="B475" i="16"/>
  <c r="B472" i="16"/>
  <c r="B469" i="16"/>
  <c r="C466" i="16"/>
  <c r="C463" i="16"/>
  <c r="C460" i="16"/>
  <c r="B459" i="16"/>
  <c r="B456" i="16"/>
  <c r="B453" i="16"/>
  <c r="C503" i="16"/>
  <c r="B500" i="16"/>
  <c r="C499" i="16"/>
  <c r="B496" i="16"/>
  <c r="C495" i="16"/>
  <c r="B492" i="16"/>
  <c r="C491" i="16"/>
  <c r="B488" i="16"/>
  <c r="C487" i="16"/>
  <c r="B484" i="16"/>
  <c r="C483" i="16"/>
  <c r="B480" i="16"/>
  <c r="C479" i="16"/>
  <c r="B476" i="16"/>
  <c r="B473" i="16"/>
  <c r="C470" i="16"/>
  <c r="C467" i="16"/>
  <c r="C464" i="16"/>
  <c r="B463" i="16"/>
  <c r="B460" i="16"/>
  <c r="B457" i="16"/>
  <c r="C454" i="16"/>
  <c r="S468" i="16"/>
  <c r="S543" i="16"/>
  <c r="S546" i="16"/>
  <c r="S547" i="16"/>
  <c r="S551" i="16"/>
  <c r="S558" i="16"/>
  <c r="S559" i="16"/>
  <c r="S567" i="16"/>
  <c r="S569" i="16"/>
  <c r="S570" i="16"/>
  <c r="S571" i="16"/>
  <c r="S575" i="16"/>
  <c r="S578" i="16"/>
  <c r="S579" i="16"/>
  <c r="S588" i="16"/>
  <c r="S593" i="16"/>
  <c r="S594" i="16"/>
  <c r="S599" i="16"/>
  <c r="S605" i="16"/>
  <c r="S606" i="16"/>
  <c r="S610" i="16"/>
  <c r="S613" i="16"/>
  <c r="S622" i="16"/>
  <c r="S625" i="16"/>
  <c r="S626" i="16"/>
  <c r="S627" i="16"/>
  <c r="S629" i="16"/>
  <c r="S632" i="16"/>
  <c r="S634" i="16"/>
  <c r="S639" i="16"/>
  <c r="S641" i="16"/>
  <c r="S642" i="16"/>
  <c r="S644" i="16"/>
  <c r="S651" i="16"/>
  <c r="S652" i="16"/>
  <c r="S653" i="16"/>
  <c r="S656" i="16"/>
  <c r="S662" i="16"/>
  <c r="S663" i="16"/>
  <c r="S665" i="16"/>
  <c r="S666" i="16"/>
  <c r="S667" i="16"/>
  <c r="S668" i="16"/>
  <c r="S675" i="16"/>
  <c r="S676" i="16"/>
  <c r="S679" i="16"/>
  <c r="S682" i="16"/>
  <c r="S684" i="16"/>
  <c r="S685" i="16"/>
  <c r="S688" i="16"/>
  <c r="S689" i="16"/>
  <c r="S692" i="16"/>
  <c r="S695" i="16"/>
  <c r="S697" i="16"/>
  <c r="S699" i="16"/>
  <c r="S700" i="16"/>
  <c r="S707" i="16"/>
  <c r="S710" i="16"/>
  <c r="S712" i="16"/>
  <c r="S713" i="16"/>
  <c r="S714" i="16"/>
  <c r="S715" i="16"/>
  <c r="S716" i="16"/>
  <c r="S717" i="16"/>
  <c r="S718" i="16"/>
  <c r="S723" i="16"/>
  <c r="S724" i="16"/>
  <c r="S726" i="16"/>
  <c r="S728" i="16"/>
  <c r="S732" i="16"/>
  <c r="S735" i="16"/>
  <c r="S737" i="16"/>
  <c r="S745" i="16"/>
  <c r="S747" i="16"/>
  <c r="S751" i="16"/>
  <c r="S758" i="16"/>
  <c r="S760" i="16"/>
  <c r="S762" i="16"/>
  <c r="S764" i="16"/>
  <c r="S767" i="16"/>
  <c r="S768" i="16"/>
  <c r="S772" i="16"/>
  <c r="S775" i="16"/>
  <c r="S776" i="16"/>
  <c r="S779" i="16"/>
  <c r="S780" i="16"/>
  <c r="S792" i="16"/>
  <c r="S796" i="16"/>
  <c r="S797" i="16"/>
  <c r="S798" i="16"/>
  <c r="S803" i="16"/>
  <c r="S804" i="16"/>
  <c r="S807" i="16"/>
  <c r="S812" i="16"/>
  <c r="S814" i="16"/>
  <c r="S815" i="16"/>
  <c r="S821" i="16"/>
  <c r="S823" i="16"/>
  <c r="S824" i="16"/>
  <c r="S829" i="16"/>
  <c r="S830" i="16"/>
  <c r="S831" i="16"/>
  <c r="S835" i="16"/>
  <c r="S836" i="16"/>
  <c r="S838" i="16"/>
  <c r="S841" i="16"/>
  <c r="S845" i="16"/>
  <c r="S848" i="16"/>
  <c r="S850" i="16"/>
  <c r="S851" i="16"/>
  <c r="S852" i="16"/>
  <c r="S856" i="16"/>
  <c r="S861" i="16"/>
  <c r="S863" i="16"/>
  <c r="S864" i="16"/>
  <c r="S867" i="16"/>
  <c r="S872" i="16"/>
  <c r="S875" i="16"/>
  <c r="S876" i="16"/>
  <c r="S878" i="16"/>
  <c r="S880" i="16"/>
  <c r="S881" i="16"/>
  <c r="S887" i="16"/>
  <c r="S889" i="16"/>
  <c r="S891" i="16"/>
  <c r="S893" i="16"/>
  <c r="S898" i="16"/>
  <c r="S899" i="16"/>
  <c r="S900" i="16"/>
  <c r="S903" i="16"/>
  <c r="S908" i="16"/>
  <c r="S909" i="16"/>
  <c r="S912" i="16"/>
  <c r="S914" i="16"/>
  <c r="S915" i="16"/>
  <c r="S917" i="16"/>
  <c r="S919" i="16"/>
  <c r="S926" i="16"/>
  <c r="S927" i="16"/>
  <c r="S929" i="16"/>
  <c r="S933" i="16"/>
  <c r="S935" i="16"/>
  <c r="S936" i="16"/>
  <c r="S940" i="16"/>
  <c r="S941" i="16"/>
  <c r="S943" i="16"/>
  <c r="S947" i="16"/>
  <c r="S949" i="16"/>
  <c r="S951" i="16"/>
  <c r="S953" i="16"/>
  <c r="S954" i="16"/>
  <c r="S959" i="16"/>
  <c r="S961" i="16"/>
  <c r="S966" i="16"/>
  <c r="S967" i="16"/>
  <c r="S968" i="16"/>
  <c r="S970" i="16"/>
  <c r="S976" i="16"/>
  <c r="S977" i="16"/>
  <c r="S979" i="16"/>
  <c r="S980" i="16"/>
  <c r="S983" i="16"/>
  <c r="S984" i="16"/>
  <c r="S986" i="16"/>
  <c r="S991" i="16"/>
  <c r="S992" i="16"/>
  <c r="S996" i="16"/>
  <c r="S1000" i="16"/>
  <c r="S1002" i="16"/>
  <c r="S1005" i="16"/>
  <c r="S1019" i="16"/>
  <c r="S1020" i="16"/>
  <c r="S1021" i="16"/>
  <c r="S1022" i="16"/>
  <c r="S1023" i="16"/>
  <c r="S1026" i="16"/>
  <c r="S1028" i="16"/>
  <c r="S1029" i="16"/>
  <c r="S1031" i="16"/>
  <c r="S1032" i="16"/>
  <c r="S1033" i="16"/>
  <c r="S1034" i="16"/>
  <c r="S1035" i="16"/>
  <c r="S1036" i="16"/>
  <c r="S1039" i="16"/>
  <c r="S1041" i="16"/>
  <c r="S1045" i="16"/>
  <c r="S1047" i="16"/>
  <c r="S1053" i="16"/>
  <c r="S1055" i="16"/>
  <c r="S1056" i="16"/>
  <c r="S1059" i="16"/>
  <c r="S1061" i="16"/>
  <c r="S1064" i="16"/>
  <c r="S1066" i="16"/>
  <c r="S1069" i="16"/>
  <c r="S1070" i="16"/>
  <c r="S1079" i="16"/>
  <c r="S1081" i="16"/>
  <c r="S1084" i="16"/>
  <c r="S1085" i="16"/>
  <c r="S1088" i="16"/>
  <c r="S1090" i="16"/>
  <c r="S1091" i="16"/>
  <c r="S1098" i="16"/>
  <c r="S1103" i="16"/>
  <c r="S1106" i="16"/>
  <c r="S1108" i="16"/>
  <c r="S1111" i="16"/>
  <c r="S1115" i="16"/>
  <c r="S1117" i="16"/>
  <c r="S1123" i="16"/>
  <c r="S1125" i="16"/>
  <c r="S1135" i="16"/>
  <c r="S1138" i="16"/>
  <c r="S1139" i="16"/>
  <c r="S1141" i="16"/>
  <c r="S1143" i="16"/>
  <c r="S1144" i="16"/>
  <c r="S1149" i="16"/>
  <c r="S1150" i="16"/>
  <c r="S1152" i="16"/>
  <c r="S1164" i="16"/>
  <c r="S1169" i="16"/>
  <c r="S1171" i="16"/>
  <c r="S1173" i="16"/>
  <c r="S1182" i="16"/>
  <c r="S1186" i="16"/>
  <c r="S1191" i="16"/>
  <c r="S1195" i="16"/>
  <c r="S1196" i="16"/>
  <c r="S1204" i="16"/>
  <c r="S1210" i="16"/>
  <c r="S1213" i="16"/>
  <c r="S1214" i="16"/>
  <c r="S1216" i="16"/>
  <c r="S1221" i="16"/>
  <c r="S1223" i="16"/>
  <c r="S1232" i="16"/>
  <c r="S1233" i="16"/>
  <c r="S1239" i="16"/>
  <c r="S1240" i="16"/>
  <c r="S1241" i="16"/>
  <c r="S1243" i="16"/>
  <c r="S1244" i="16"/>
  <c r="S1246" i="16"/>
  <c r="S1247" i="16"/>
  <c r="S1248" i="16"/>
  <c r="S1252" i="16"/>
  <c r="S1258" i="16"/>
  <c r="S1259" i="16"/>
  <c r="S1262" i="16"/>
  <c r="S1263" i="16"/>
  <c r="S1264" i="16"/>
  <c r="S1268" i="16"/>
  <c r="S1269" i="16"/>
  <c r="S1271" i="16"/>
  <c r="S1272" i="16"/>
  <c r="S1274" i="16"/>
  <c r="S1275" i="16"/>
  <c r="S1279" i="16"/>
  <c r="S1281" i="16"/>
  <c r="S1285" i="16"/>
  <c r="S1287" i="16"/>
  <c r="S1290" i="16"/>
  <c r="S1293" i="16"/>
  <c r="S1298" i="16"/>
  <c r="S1300" i="16"/>
  <c r="S1301" i="16"/>
  <c r="S1302" i="16"/>
  <c r="S1305" i="16"/>
  <c r="S1309" i="16"/>
  <c r="S1310" i="16"/>
  <c r="S1312" i="16"/>
  <c r="S1322" i="16"/>
  <c r="S1323" i="16"/>
  <c r="S1325" i="16"/>
  <c r="S1326" i="16"/>
  <c r="S1327" i="16"/>
  <c r="S1328" i="16"/>
  <c r="S1330" i="16"/>
  <c r="S1332" i="16"/>
  <c r="S1333" i="16"/>
  <c r="S1334" i="16"/>
  <c r="S1339" i="16"/>
  <c r="S1341" i="16"/>
  <c r="S1342" i="16"/>
  <c r="S1345" i="16"/>
  <c r="S1357" i="16"/>
  <c r="S1359" i="16"/>
  <c r="S1363" i="16"/>
  <c r="S1367" i="16"/>
  <c r="S1369" i="16"/>
  <c r="S1371" i="16"/>
  <c r="S1373" i="16"/>
  <c r="S1376" i="16"/>
  <c r="S1377" i="16"/>
  <c r="S1380" i="16"/>
  <c r="S1382" i="16"/>
  <c r="S1385" i="16"/>
  <c r="S1386" i="16"/>
  <c r="S1388" i="16"/>
  <c r="S1389" i="16"/>
  <c r="S1390" i="16"/>
  <c r="S1391" i="16"/>
  <c r="S1396" i="16"/>
  <c r="S1401" i="16"/>
  <c r="S1402" i="16"/>
  <c r="S1407" i="16"/>
  <c r="S1410" i="16"/>
  <c r="S1414" i="16"/>
  <c r="S1415" i="16"/>
  <c r="S1417" i="16"/>
  <c r="S1418" i="16"/>
  <c r="S1424" i="16"/>
  <c r="S1427" i="16"/>
  <c r="S1430" i="16"/>
  <c r="S1437" i="16"/>
  <c r="S1438" i="16"/>
  <c r="S1439" i="16"/>
  <c r="S1445" i="16"/>
  <c r="S1447" i="16"/>
  <c r="S1448" i="16"/>
  <c r="S1449" i="16"/>
  <c r="S1450" i="16"/>
  <c r="S1451" i="16"/>
  <c r="S1452" i="16"/>
  <c r="S1453" i="16"/>
  <c r="S1455" i="16"/>
  <c r="S1458" i="16"/>
  <c r="S1460" i="16"/>
  <c r="S1461" i="16"/>
  <c r="S1463" i="16"/>
  <c r="S1471" i="16"/>
  <c r="S1472" i="16"/>
  <c r="S1473" i="16"/>
  <c r="S1476" i="16"/>
  <c r="S1477" i="16"/>
  <c r="S1479" i="16"/>
  <c r="S1480" i="16"/>
  <c r="S1481" i="16"/>
  <c r="S1483" i="16"/>
  <c r="S1486" i="16"/>
  <c r="S1489" i="16"/>
  <c r="S1492" i="16"/>
  <c r="S1493" i="16"/>
  <c r="S1494" i="16"/>
  <c r="S1497" i="16"/>
  <c r="S1501" i="16"/>
  <c r="S1503" i="16"/>
  <c r="S1505" i="16"/>
  <c r="S1507" i="16"/>
  <c r="S1508" i="16"/>
  <c r="S1510" i="16"/>
  <c r="S1511" i="16"/>
  <c r="S1515" i="16"/>
  <c r="S1517" i="16"/>
  <c r="S1521" i="16"/>
  <c r="S1526" i="16"/>
  <c r="S1527" i="16"/>
  <c r="S1529" i="16"/>
  <c r="S1531" i="16"/>
  <c r="S1532" i="16"/>
  <c r="S1535" i="16"/>
  <c r="S1537" i="16"/>
  <c r="S1539" i="16"/>
  <c r="S1541" i="16"/>
  <c r="S1542" i="16"/>
  <c r="S1544" i="16"/>
  <c r="S1545" i="16"/>
  <c r="S1547" i="16"/>
  <c r="S1548" i="16"/>
  <c r="S1549" i="16"/>
  <c r="S1552" i="16"/>
  <c r="S1553" i="16"/>
  <c r="S1554" i="16"/>
  <c r="S1557" i="16"/>
  <c r="S1558" i="16"/>
  <c r="S1559" i="16"/>
  <c r="S1560" i="16"/>
  <c r="S1564" i="16"/>
  <c r="S1571" i="16"/>
  <c r="S1573" i="16"/>
  <c r="S1585" i="16"/>
  <c r="S1587" i="16"/>
  <c r="S1590" i="16"/>
  <c r="S1595" i="16"/>
  <c r="S1597" i="16"/>
  <c r="S1603" i="16"/>
  <c r="S1614" i="16"/>
  <c r="S1616" i="16"/>
  <c r="S1619" i="16"/>
  <c r="S1626" i="16"/>
  <c r="S1628" i="16"/>
  <c r="S1634" i="16"/>
  <c r="S1637" i="16"/>
  <c r="S1640" i="16"/>
  <c r="S1645" i="16"/>
  <c r="S1649" i="16"/>
  <c r="S1650" i="16"/>
  <c r="S1654" i="16"/>
  <c r="S1659" i="16"/>
  <c r="S1660" i="16"/>
  <c r="S1663" i="16"/>
  <c r="S1666" i="16"/>
  <c r="S1669" i="16"/>
  <c r="S1670" i="16"/>
  <c r="S1673" i="16"/>
  <c r="S1674" i="16"/>
  <c r="S1684" i="16"/>
  <c r="S1686" i="16"/>
  <c r="S1688" i="16"/>
  <c r="S1693" i="16"/>
  <c r="S1697" i="16"/>
  <c r="S1698" i="16"/>
  <c r="S1701" i="16"/>
  <c r="S1703" i="16"/>
  <c r="S1705" i="16"/>
  <c r="S1713" i="16"/>
  <c r="S1718" i="16"/>
  <c r="S1723" i="16"/>
  <c r="S1724" i="16"/>
  <c r="S1727" i="16"/>
  <c r="S1730" i="16"/>
  <c r="S1733" i="16"/>
  <c r="S1734" i="16"/>
  <c r="S1735" i="16"/>
  <c r="S1736" i="16"/>
  <c r="S1740" i="16"/>
  <c r="S1742" i="16"/>
  <c r="S1743" i="16"/>
  <c r="S1747" i="16"/>
  <c r="S1750" i="16"/>
  <c r="S1751" i="16"/>
  <c r="S1753" i="16"/>
  <c r="S1755" i="16"/>
  <c r="S1757" i="16"/>
  <c r="S1764" i="16"/>
  <c r="S1770" i="16"/>
  <c r="S1771" i="16"/>
  <c r="S1780" i="16"/>
  <c r="S1782" i="16"/>
  <c r="S1783" i="16"/>
  <c r="S1789" i="16"/>
  <c r="S1793" i="16"/>
  <c r="S1797" i="16"/>
  <c r="S1798" i="16"/>
  <c r="S1800" i="16"/>
  <c r="S1802" i="16"/>
  <c r="S1803" i="16"/>
  <c r="S1813" i="16"/>
  <c r="S1814" i="16"/>
  <c r="S1819" i="16"/>
  <c r="S1822" i="16"/>
  <c r="S1827" i="16"/>
  <c r="S1828" i="16"/>
  <c r="S1835" i="16"/>
  <c r="S1836" i="16"/>
  <c r="S1841" i="16"/>
  <c r="S1846" i="16"/>
  <c r="S1847" i="16"/>
  <c r="S1851" i="16"/>
  <c r="S1856" i="16"/>
  <c r="S1858" i="16"/>
  <c r="S1861" i="16"/>
  <c r="S1862" i="16"/>
  <c r="S1864" i="16"/>
  <c r="S1865" i="16"/>
  <c r="S1868" i="16"/>
  <c r="S1869" i="16"/>
  <c r="S1872" i="16"/>
  <c r="S1873" i="16"/>
  <c r="S1882" i="16"/>
  <c r="S1884" i="16"/>
  <c r="S1891" i="16"/>
  <c r="S1893" i="16"/>
  <c r="S1895" i="16"/>
  <c r="S1897" i="16"/>
  <c r="S1904" i="16"/>
  <c r="S1906" i="16"/>
  <c r="S1907" i="16"/>
  <c r="S1913" i="16"/>
  <c r="S1914" i="16"/>
  <c r="S1916" i="16"/>
  <c r="S1917" i="16"/>
  <c r="S1920" i="16"/>
  <c r="S1924" i="16"/>
  <c r="S1927" i="16"/>
  <c r="S1931" i="16"/>
  <c r="S1936" i="16"/>
  <c r="S1938" i="16"/>
  <c r="S1944" i="16"/>
  <c r="S1945" i="16"/>
  <c r="S1946" i="16"/>
  <c r="S1948" i="16"/>
  <c r="S1953" i="16"/>
  <c r="S1955" i="16"/>
  <c r="S1959" i="16"/>
  <c r="S1960" i="16"/>
  <c r="S1961" i="16"/>
  <c r="S1962" i="16"/>
  <c r="S1963" i="16"/>
  <c r="S1964" i="16"/>
  <c r="S1965" i="16"/>
  <c r="S1967" i="16"/>
  <c r="S1979" i="16"/>
  <c r="S1981" i="16"/>
  <c r="S1983" i="16"/>
  <c r="S1984" i="16"/>
  <c r="S1985" i="16"/>
  <c r="S1987" i="16"/>
  <c r="S1988" i="16"/>
  <c r="S1990" i="16"/>
  <c r="S1995" i="16"/>
  <c r="S1996" i="16"/>
  <c r="S1997" i="16"/>
  <c r="S1999" i="16"/>
  <c r="S2001" i="16"/>
  <c r="S2003" i="16"/>
  <c r="S2008" i="16"/>
  <c r="S2012" i="16"/>
  <c r="S2017" i="16"/>
  <c r="S2021" i="16"/>
  <c r="S2030" i="16"/>
  <c r="S2037" i="16"/>
  <c r="S2038" i="16"/>
  <c r="S2041" i="16"/>
  <c r="S2043" i="16"/>
  <c r="S2045" i="16"/>
  <c r="S2046" i="16"/>
  <c r="S2048" i="16"/>
  <c r="S2050" i="16"/>
  <c r="S2054" i="16"/>
  <c r="S2059" i="16"/>
  <c r="S2066" i="16"/>
  <c r="S2067" i="16"/>
  <c r="S2070" i="16"/>
  <c r="S2072" i="16"/>
  <c r="S2074" i="16"/>
  <c r="S2080" i="16"/>
  <c r="S2082" i="16"/>
  <c r="S2086" i="16"/>
  <c r="S2098" i="16"/>
  <c r="S2099" i="16"/>
  <c r="S2100" i="16"/>
  <c r="S2115" i="16"/>
  <c r="S2116" i="16"/>
  <c r="S2117" i="16"/>
  <c r="S2120" i="16"/>
  <c r="S2129" i="16"/>
  <c r="S2132" i="16"/>
  <c r="S2133" i="16"/>
  <c r="S2136" i="16"/>
  <c r="S2139" i="16"/>
  <c r="S2156" i="16"/>
  <c r="S2157" i="16"/>
  <c r="S2161" i="16"/>
  <c r="S2164" i="16"/>
  <c r="S2165" i="16"/>
  <c r="S2169" i="16"/>
  <c r="S2171" i="16"/>
  <c r="S2172" i="16"/>
  <c r="S2173" i="16"/>
  <c r="S2174" i="16"/>
  <c r="S2175" i="16"/>
  <c r="S2176" i="16"/>
  <c r="S2177" i="16"/>
  <c r="S2180" i="16"/>
  <c r="S2181" i="16"/>
  <c r="S2188" i="16"/>
  <c r="S2189" i="16"/>
  <c r="S2192" i="16"/>
  <c r="S2196" i="16"/>
  <c r="S2200" i="16"/>
  <c r="S2203" i="16"/>
  <c r="S2204" i="16"/>
  <c r="S2205" i="16"/>
  <c r="S2207" i="16"/>
  <c r="S2211" i="16"/>
  <c r="S2212" i="16"/>
  <c r="S2213" i="16"/>
  <c r="S2215" i="16"/>
  <c r="S2216" i="16"/>
  <c r="S2217" i="16"/>
  <c r="S2218" i="16"/>
  <c r="S2219" i="16"/>
  <c r="S2220" i="16"/>
  <c r="S2221" i="16"/>
  <c r="S2227" i="16"/>
  <c r="S2229" i="16"/>
  <c r="S2230" i="16"/>
  <c r="S2231" i="16"/>
  <c r="S2239" i="16"/>
  <c r="S2240" i="16"/>
  <c r="S2248" i="16"/>
  <c r="S2250" i="16"/>
  <c r="S2251" i="16"/>
  <c r="S2262" i="16"/>
  <c r="S2263" i="16"/>
  <c r="C2264" i="16"/>
  <c r="C2265" i="16"/>
  <c r="C2266" i="16"/>
  <c r="C2267" i="16"/>
  <c r="S2267" i="16" s="1"/>
  <c r="J2267" i="16" s="1"/>
  <c r="C2268" i="16"/>
  <c r="C2269" i="16"/>
  <c r="S2269" i="16" s="1"/>
  <c r="C2270" i="16"/>
  <c r="C2271" i="16"/>
  <c r="C2272" i="16"/>
  <c r="C2273" i="16"/>
  <c r="S2273" i="16" s="1"/>
  <c r="E2273" i="16" s="1"/>
  <c r="C2274" i="16"/>
  <c r="C2275" i="16"/>
  <c r="C2276" i="16"/>
  <c r="C2277" i="16"/>
  <c r="C2278" i="16"/>
  <c r="S2278" i="16" s="1"/>
  <c r="C2279" i="16"/>
  <c r="S2279" i="16" s="1"/>
  <c r="C2280" i="16"/>
  <c r="C2281" i="16"/>
  <c r="C2282" i="16"/>
  <c r="C2283" i="16"/>
  <c r="C2284" i="16"/>
  <c r="C2285" i="16"/>
  <c r="C2286" i="16"/>
  <c r="S2286" i="16" s="1"/>
  <c r="C2287" i="16"/>
  <c r="C2288" i="16"/>
  <c r="C2289" i="16"/>
  <c r="S2289" i="16" s="1"/>
  <c r="C2290" i="16"/>
  <c r="C2291" i="16"/>
  <c r="C2292" i="16"/>
  <c r="C2293" i="16"/>
  <c r="S2293" i="16"/>
  <c r="C2294" i="16"/>
  <c r="S2294" i="16" s="1"/>
  <c r="C2295" i="16"/>
  <c r="S2295" i="16"/>
  <c r="C2296" i="16"/>
  <c r="C2297" i="16"/>
  <c r="S2297" i="16" s="1"/>
  <c r="C2298" i="16"/>
  <c r="C2299" i="16"/>
  <c r="C2300" i="16"/>
  <c r="S2300" i="16" s="1"/>
  <c r="C2301" i="16"/>
  <c r="S2301" i="16" s="1"/>
  <c r="C2302" i="16"/>
  <c r="C2303" i="16"/>
  <c r="C2304" i="16"/>
  <c r="S2304" i="16" s="1"/>
  <c r="J2304" i="16" s="1"/>
  <c r="C2305" i="16"/>
  <c r="S2305" i="16"/>
  <c r="C2306" i="16"/>
  <c r="C2307" i="16"/>
  <c r="S2307" i="16" s="1"/>
  <c r="C2308" i="16"/>
  <c r="C2309" i="16"/>
  <c r="C2310" i="16"/>
  <c r="C2311" i="16"/>
  <c r="S2311" i="16"/>
  <c r="C2312" i="16"/>
  <c r="C2313" i="16"/>
  <c r="C2314" i="16"/>
  <c r="C2315" i="16"/>
  <c r="C2316" i="16"/>
  <c r="C2317" i="16"/>
  <c r="S2317" i="16" s="1"/>
  <c r="I2317" i="16" s="1"/>
  <c r="C2318" i="16"/>
  <c r="C2319" i="16"/>
  <c r="S2319" i="16" s="1"/>
  <c r="C2320" i="16"/>
  <c r="S2320" i="16" s="1"/>
  <c r="C2321" i="16"/>
  <c r="S2321" i="16" s="1"/>
  <c r="C2322" i="16"/>
  <c r="C2323" i="16"/>
  <c r="C2324" i="16"/>
  <c r="S2324" i="16" s="1"/>
  <c r="C2325" i="16"/>
  <c r="C2326" i="16"/>
  <c r="C2327" i="16"/>
  <c r="S2327" i="16" s="1"/>
  <c r="J2327" i="16" s="1"/>
  <c r="C2328" i="16"/>
  <c r="S2328" i="16" s="1"/>
  <c r="E2328" i="16" s="1"/>
  <c r="C2329" i="16"/>
  <c r="C2330" i="16"/>
  <c r="S2330" i="16" s="1"/>
  <c r="C2331" i="16"/>
  <c r="C2332" i="16"/>
  <c r="C2333" i="16"/>
  <c r="C2334" i="16"/>
  <c r="S2334" i="16" s="1"/>
  <c r="C2335" i="16"/>
  <c r="S2335" i="16" s="1"/>
  <c r="C2336" i="16"/>
  <c r="C2337" i="16"/>
  <c r="C2338" i="16"/>
  <c r="C2339" i="16"/>
  <c r="S2339" i="16" s="1"/>
  <c r="H2339" i="16" s="1"/>
  <c r="C2340" i="16"/>
  <c r="C2341" i="16"/>
  <c r="C2342" i="16"/>
  <c r="C2343" i="16"/>
  <c r="S2343" i="16"/>
  <c r="C2344" i="16"/>
  <c r="S2344" i="16" s="1"/>
  <c r="C2345" i="16"/>
  <c r="S2345" i="16"/>
  <c r="C2346" i="16"/>
  <c r="S2346" i="16" s="1"/>
  <c r="C2347" i="16"/>
  <c r="S2347" i="16"/>
  <c r="C2348" i="16"/>
  <c r="S2348" i="16" s="1"/>
  <c r="H2348" i="16" s="1"/>
  <c r="C2349" i="16"/>
  <c r="C2350" i="16"/>
  <c r="S2350" i="16" s="1"/>
  <c r="I2350" i="16" s="1"/>
  <c r="C2351" i="16"/>
  <c r="S2351" i="16" s="1"/>
  <c r="C2352" i="16"/>
  <c r="C2353" i="16"/>
  <c r="C2354" i="16"/>
  <c r="C2355" i="16"/>
  <c r="C2356" i="16"/>
  <c r="C2357" i="16"/>
  <c r="C2358" i="16"/>
  <c r="C2359" i="16"/>
  <c r="S2359" i="16" s="1"/>
  <c r="C2360" i="16"/>
  <c r="C2361" i="16"/>
  <c r="C2362" i="16"/>
  <c r="S2362" i="16" s="1"/>
  <c r="C2363" i="16"/>
  <c r="S2363" i="16"/>
  <c r="C2364" i="16"/>
  <c r="C2365" i="16"/>
  <c r="C2366" i="16"/>
  <c r="C2367" i="16"/>
  <c r="S2367" i="16" s="1"/>
  <c r="H2367" i="16" s="1"/>
  <c r="C2368" i="16"/>
  <c r="C2369" i="16"/>
  <c r="C2370" i="16"/>
  <c r="C2371" i="16"/>
  <c r="C2372" i="16"/>
  <c r="C2373" i="16"/>
  <c r="C2374" i="16"/>
  <c r="C2375" i="16"/>
  <c r="S2375" i="16" s="1"/>
  <c r="C2376" i="16"/>
  <c r="S2376" i="16" s="1"/>
  <c r="C2377" i="16"/>
  <c r="S2377" i="16" s="1"/>
  <c r="C2378" i="16"/>
  <c r="C2379" i="16"/>
  <c r="S2379" i="16" s="1"/>
  <c r="C2380" i="16"/>
  <c r="C2381" i="16"/>
  <c r="S2381" i="16" s="1"/>
  <c r="F2381" i="16" s="1"/>
  <c r="C2382" i="16"/>
  <c r="C2383" i="16"/>
  <c r="S2383" i="16" s="1"/>
  <c r="C2384" i="16"/>
  <c r="C2385" i="16"/>
  <c r="S2385" i="16"/>
  <c r="G2385" i="16" s="1"/>
  <c r="C2386" i="16"/>
  <c r="C2387" i="16"/>
  <c r="C2388" i="16"/>
  <c r="C2389" i="16"/>
  <c r="S2389" i="16" s="1"/>
  <c r="C2390" i="16"/>
  <c r="C2391" i="16"/>
  <c r="S2391" i="16" s="1"/>
  <c r="C2392" i="16"/>
  <c r="C2393" i="16"/>
  <c r="S2393" i="16"/>
  <c r="D2393" i="16" s="1"/>
  <c r="C2394" i="16"/>
  <c r="S2394" i="16" s="1"/>
  <c r="C2395" i="16"/>
  <c r="S2395" i="16" s="1"/>
  <c r="C2396" i="16"/>
  <c r="C2397" i="16"/>
  <c r="S2397" i="16"/>
  <c r="C2398" i="16"/>
  <c r="C2399" i="16"/>
  <c r="C2400" i="16"/>
  <c r="C2401" i="16"/>
  <c r="S2401" i="16" s="1"/>
  <c r="J2401" i="16" s="1"/>
  <c r="C2402" i="16"/>
  <c r="C2403" i="16"/>
  <c r="S2403" i="16" s="1"/>
  <c r="C2404" i="16"/>
  <c r="C2405" i="16"/>
  <c r="C2406" i="16"/>
  <c r="C2407" i="16"/>
  <c r="S2407" i="16" s="1"/>
  <c r="C2408" i="16"/>
  <c r="S2408" i="16"/>
  <c r="C2409" i="16"/>
  <c r="S2409" i="16" s="1"/>
  <c r="D2409" i="16" s="1"/>
  <c r="C2410" i="16"/>
  <c r="S2410" i="16" s="1"/>
  <c r="I2410" i="16" s="1"/>
  <c r="C2411" i="16"/>
  <c r="S2411" i="16"/>
  <c r="C2412" i="16"/>
  <c r="C2413" i="16"/>
  <c r="C2414" i="16"/>
  <c r="C2415" i="16"/>
  <c r="C2416" i="16"/>
  <c r="S2416" i="16" s="1"/>
  <c r="C2417" i="16"/>
  <c r="C2418" i="16"/>
  <c r="C2419" i="16"/>
  <c r="C2420" i="16"/>
  <c r="S2420" i="16"/>
  <c r="E2420" i="16"/>
  <c r="C2421" i="16"/>
  <c r="C2422" i="16"/>
  <c r="C2423" i="16"/>
  <c r="S2423" i="16"/>
  <c r="C2424" i="16"/>
  <c r="C2425" i="16"/>
  <c r="S2425" i="16" s="1"/>
  <c r="C2426" i="16"/>
  <c r="C2427" i="16"/>
  <c r="C2428" i="16"/>
  <c r="C2429" i="16"/>
  <c r="C2430" i="16"/>
  <c r="C2431" i="16"/>
  <c r="C2432" i="16"/>
  <c r="C2433" i="16"/>
  <c r="S2433" i="16"/>
  <c r="I2433" i="16" s="1"/>
  <c r="C2434" i="16"/>
  <c r="S2434" i="16"/>
  <c r="C2435" i="16"/>
  <c r="S2435" i="16" s="1"/>
  <c r="E2435" i="16" s="1"/>
  <c r="C2436" i="16"/>
  <c r="C2437" i="16"/>
  <c r="S2437" i="16" s="1"/>
  <c r="F2437" i="16" s="1"/>
  <c r="C2438" i="16"/>
  <c r="C2439" i="16"/>
  <c r="C2440" i="16"/>
  <c r="C2441" i="16"/>
  <c r="S2441" i="16"/>
  <c r="C2442" i="16"/>
  <c r="S2442" i="16" s="1"/>
  <c r="C2443" i="16"/>
  <c r="C2444" i="16"/>
  <c r="C2445" i="16"/>
  <c r="S2445" i="16" s="1"/>
  <c r="D2445" i="16" s="1"/>
  <c r="C2446" i="16"/>
  <c r="C2447" i="16"/>
  <c r="C2448" i="16"/>
  <c r="S2448" i="16" s="1"/>
  <c r="C2449" i="16"/>
  <c r="C2450" i="16"/>
  <c r="S2450" i="16" s="1"/>
  <c r="C2451" i="16"/>
  <c r="C2452" i="16"/>
  <c r="S2452" i="16"/>
  <c r="E2452" i="16" s="1"/>
  <c r="C2453" i="16"/>
  <c r="C2454" i="16"/>
  <c r="C2455" i="16"/>
  <c r="C2456" i="16"/>
  <c r="C2457" i="16"/>
  <c r="C2458" i="16"/>
  <c r="C2459" i="16"/>
  <c r="S2459" i="16" s="1"/>
  <c r="F2459" i="16" s="1"/>
  <c r="C2460" i="16"/>
  <c r="C2461" i="16"/>
  <c r="C2462" i="16"/>
  <c r="C2463" i="16"/>
  <c r="C2464" i="16"/>
  <c r="C2465" i="16"/>
  <c r="S2465" i="16" s="1"/>
  <c r="C2466" i="16"/>
  <c r="S2466" i="16"/>
  <c r="C2467" i="16"/>
  <c r="S2467" i="16" s="1"/>
  <c r="F2467" i="16" s="1"/>
  <c r="C2468" i="16"/>
  <c r="S2468" i="16"/>
  <c r="C2469" i="16"/>
  <c r="S2469" i="16" s="1"/>
  <c r="E2469" i="16" s="1"/>
  <c r="C2470" i="16"/>
  <c r="S2470" i="16" s="1"/>
  <c r="C2471" i="16"/>
  <c r="C2472" i="16"/>
  <c r="S2472" i="16"/>
  <c r="C2473" i="16"/>
  <c r="C2474" i="16"/>
  <c r="C2475" i="16"/>
  <c r="C2476" i="16"/>
  <c r="C2477" i="16"/>
  <c r="S2477" i="16" s="1"/>
  <c r="I2477" i="16" s="1"/>
  <c r="C2478" i="16"/>
  <c r="C2479" i="16"/>
  <c r="C2480" i="16"/>
  <c r="C2481" i="16"/>
  <c r="S2481" i="16"/>
  <c r="H2481" i="16" s="1"/>
  <c r="C2482" i="16"/>
  <c r="C2483" i="16"/>
  <c r="C2484" i="16"/>
  <c r="S2484" i="16" s="1"/>
  <c r="C2485" i="16"/>
  <c r="S2485" i="16"/>
  <c r="H2485" i="16"/>
  <c r="C2486" i="16"/>
  <c r="C2487" i="16"/>
  <c r="C2488" i="16"/>
  <c r="S2488" i="16"/>
  <c r="C2489" i="16"/>
  <c r="C2490" i="16"/>
  <c r="S2490" i="16"/>
  <c r="C2491" i="16"/>
  <c r="C2492" i="16"/>
  <c r="C2493" i="16"/>
  <c r="C2494" i="16"/>
  <c r="C2495" i="16"/>
  <c r="C2497" i="16"/>
  <c r="S2497" i="16" s="1"/>
  <c r="F2497" i="16" s="1"/>
  <c r="C2498" i="16"/>
  <c r="S2498" i="16" s="1"/>
  <c r="C2499" i="16"/>
  <c r="C2500" i="16"/>
  <c r="S2500" i="16"/>
  <c r="C2501" i="16"/>
  <c r="C2502" i="16"/>
  <c r="S2502" i="16"/>
  <c r="C2503" i="16"/>
  <c r="S2503" i="16" s="1"/>
  <c r="C2504" i="16"/>
  <c r="A227" i="13"/>
  <c r="A65" i="13"/>
  <c r="A50" i="13"/>
  <c r="B2500" i="16"/>
  <c r="A304" i="13"/>
  <c r="A303" i="13"/>
  <c r="A302" i="13"/>
  <c r="A301" i="13"/>
  <c r="A300" i="13"/>
  <c r="A299" i="13"/>
  <c r="A298" i="13"/>
  <c r="A297" i="13"/>
  <c r="A296" i="13"/>
  <c r="A239" i="13"/>
  <c r="A238" i="13"/>
  <c r="A237" i="13"/>
  <c r="A235" i="13"/>
  <c r="A234" i="13"/>
  <c r="A233" i="13"/>
  <c r="A232" i="13"/>
  <c r="A231" i="13"/>
  <c r="A230"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98"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4" i="13"/>
  <c r="A63" i="13"/>
  <c r="A62" i="13"/>
  <c r="A61" i="13"/>
  <c r="A60" i="13"/>
  <c r="A59" i="13"/>
  <c r="A58" i="13"/>
  <c r="A57" i="13"/>
  <c r="A56" i="13"/>
  <c r="A55" i="13"/>
  <c r="A54" i="13"/>
  <c r="A53" i="13"/>
  <c r="A52" i="13"/>
  <c r="A51"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B2504" i="16"/>
  <c r="B2497" i="16"/>
  <c r="Y2497" i="16" s="1"/>
  <c r="K528" i="14"/>
  <c r="K529" i="14"/>
  <c r="K530" i="14"/>
  <c r="K531" i="14"/>
  <c r="K532" i="14"/>
  <c r="K533" i="14"/>
  <c r="K522" i="14"/>
  <c r="K534" i="14"/>
  <c r="J528" i="14"/>
  <c r="J529" i="14"/>
  <c r="J530" i="14"/>
  <c r="J531" i="14"/>
  <c r="J532" i="14"/>
  <c r="J533" i="14"/>
  <c r="J522" i="14"/>
  <c r="J534" i="14"/>
  <c r="S538" i="16"/>
  <c r="Y550" i="16"/>
  <c r="Y555" i="16"/>
  <c r="S574" i="16"/>
  <c r="Y581" i="16"/>
  <c r="Y587" i="16"/>
  <c r="S598" i="16"/>
  <c r="Y607" i="16"/>
  <c r="Y611" i="16"/>
  <c r="Y614" i="16"/>
  <c r="Y622" i="16"/>
  <c r="Y630" i="16"/>
  <c r="S638" i="16"/>
  <c r="Y639" i="16"/>
  <c r="Y642" i="16"/>
  <c r="Y646" i="16"/>
  <c r="Y650" i="16"/>
  <c r="Y654" i="16"/>
  <c r="Y655" i="16"/>
  <c r="Y658" i="16"/>
  <c r="Y662" i="16"/>
  <c r="Y666" i="16"/>
  <c r="Y670" i="16"/>
  <c r="Y677" i="16"/>
  <c r="Y683" i="16"/>
  <c r="Y691" i="16"/>
  <c r="Y702" i="16"/>
  <c r="Y706" i="16"/>
  <c r="Y710" i="16"/>
  <c r="Y712" i="16"/>
  <c r="Y714" i="16"/>
  <c r="Y715" i="16"/>
  <c r="Y719" i="16"/>
  <c r="Y727" i="16"/>
  <c r="Y731" i="16"/>
  <c r="Y735" i="16"/>
  <c r="Y738" i="16"/>
  <c r="Y742" i="16"/>
  <c r="Y746" i="16"/>
  <c r="Y752" i="16"/>
  <c r="Y753" i="16"/>
  <c r="Y757" i="16"/>
  <c r="Y758" i="16"/>
  <c r="Y763" i="16"/>
  <c r="Y770" i="16"/>
  <c r="Y774" i="16"/>
  <c r="Y776" i="16"/>
  <c r="Y794" i="16"/>
  <c r="S794" i="16"/>
  <c r="Y801" i="16"/>
  <c r="Y804" i="16"/>
  <c r="Y808" i="16"/>
  <c r="S808" i="16"/>
  <c r="Y810" i="16"/>
  <c r="Y812" i="16"/>
  <c r="Y813" i="16"/>
  <c r="Y814" i="16"/>
  <c r="Y821" i="16"/>
  <c r="Y825" i="16"/>
  <c r="Y827" i="16"/>
  <c r="S828" i="16"/>
  <c r="Y843" i="16"/>
  <c r="Y847" i="16"/>
  <c r="Y850" i="16"/>
  <c r="Y854" i="16"/>
  <c r="Y858" i="16"/>
  <c r="Y862" i="16"/>
  <c r="Y866" i="16"/>
  <c r="Y870" i="16"/>
  <c r="Y871" i="16"/>
  <c r="S871" i="16"/>
  <c r="Y874" i="16"/>
  <c r="Y875" i="16"/>
  <c r="Y877" i="16"/>
  <c r="Y881" i="16"/>
  <c r="S882" i="16"/>
  <c r="Y884" i="16"/>
  <c r="Y886" i="16"/>
  <c r="S886" i="16"/>
  <c r="Y893" i="16"/>
  <c r="Y901" i="16"/>
  <c r="S901" i="16"/>
  <c r="Y905" i="16"/>
  <c r="Y911" i="16"/>
  <c r="Y912" i="16"/>
  <c r="Y914" i="16"/>
  <c r="Y916" i="16"/>
  <c r="Y917" i="16"/>
  <c r="Y920" i="16"/>
  <c r="Y921" i="16"/>
  <c r="Y929" i="16"/>
  <c r="Y946" i="16"/>
  <c r="Y949" i="16"/>
  <c r="Y963" i="16"/>
  <c r="S971" i="16"/>
  <c r="Y975" i="16"/>
  <c r="Y979" i="16"/>
  <c r="Y983" i="16"/>
  <c r="Y984" i="16"/>
  <c r="Y987" i="16"/>
  <c r="Y991" i="16"/>
  <c r="S1004" i="16"/>
  <c r="Y1008" i="16"/>
  <c r="Y1051" i="16"/>
  <c r="Y1054" i="16"/>
  <c r="Y1055" i="16"/>
  <c r="Y1057" i="16"/>
  <c r="Y1061" i="16"/>
  <c r="Y1068" i="16"/>
  <c r="S1068" i="16"/>
  <c r="Y1069" i="16"/>
  <c r="Y1075" i="16"/>
  <c r="Y1081" i="16"/>
  <c r="Y1083" i="16"/>
  <c r="Y1090" i="16"/>
  <c r="Y1092" i="16"/>
  <c r="Y1100" i="16"/>
  <c r="S1107" i="16"/>
  <c r="Y1115" i="16"/>
  <c r="S1118" i="16"/>
  <c r="Y1130" i="16"/>
  <c r="Y1149" i="16"/>
  <c r="Y1153" i="16"/>
  <c r="Y1159" i="16"/>
  <c r="Y1173" i="16"/>
  <c r="Y1176" i="16"/>
  <c r="Y1178" i="16"/>
  <c r="S1188" i="16"/>
  <c r="Y1193" i="16"/>
  <c r="Y1206" i="16"/>
  <c r="Y1220" i="16"/>
  <c r="S1220" i="16"/>
  <c r="Y1221" i="16"/>
  <c r="Y1223" i="16"/>
  <c r="Y1225" i="16"/>
  <c r="Y1229" i="16"/>
  <c r="Y1238" i="16"/>
  <c r="Y1242" i="16"/>
  <c r="S1242" i="16"/>
  <c r="Y1243" i="16"/>
  <c r="Y1250" i="16"/>
  <c r="Y1253" i="16"/>
  <c r="Y1257" i="16"/>
  <c r="Y1265" i="16"/>
  <c r="S1266" i="16"/>
  <c r="Y1275" i="16"/>
  <c r="Y1277" i="16"/>
  <c r="Y1279" i="16"/>
  <c r="Y1287" i="16"/>
  <c r="Y1292" i="16"/>
  <c r="Y1293" i="16"/>
  <c r="Y1303" i="16"/>
  <c r="Y1311" i="16"/>
  <c r="Y1315" i="16"/>
  <c r="Y1318" i="16"/>
  <c r="Y1327" i="16"/>
  <c r="Y1333" i="16"/>
  <c r="S1335" i="16"/>
  <c r="Y1336" i="16"/>
  <c r="Y1337" i="16"/>
  <c r="Y1343" i="16"/>
  <c r="Y1345" i="16"/>
  <c r="Y1353" i="16"/>
  <c r="S1374" i="16"/>
  <c r="Y1377" i="16"/>
  <c r="Y1382" i="16"/>
  <c r="Y1386" i="16"/>
  <c r="S1403" i="16"/>
  <c r="Y1405" i="16"/>
  <c r="Y1415" i="16"/>
  <c r="Y1417" i="16"/>
  <c r="Y1420" i="16"/>
  <c r="Y1424" i="16"/>
  <c r="S1425" i="16"/>
  <c r="Y1427" i="16"/>
  <c r="Y1431" i="16"/>
  <c r="Y1435" i="16"/>
  <c r="Y1443" i="16"/>
  <c r="S1443" i="16"/>
  <c r="Y1446" i="16"/>
  <c r="Y1450" i="16"/>
  <c r="Y1454" i="16"/>
  <c r="Y1458" i="16"/>
  <c r="Y1466" i="16"/>
  <c r="Y1470" i="16"/>
  <c r="Y1474" i="16"/>
  <c r="S1475" i="16"/>
  <c r="Y1477" i="16"/>
  <c r="Y1478" i="16"/>
  <c r="Y1481" i="16"/>
  <c r="Y1485" i="16"/>
  <c r="Y1488" i="16"/>
  <c r="Y1489" i="16"/>
  <c r="Y1493" i="16"/>
  <c r="Y1494" i="16"/>
  <c r="Y1496" i="16"/>
  <c r="Y1500" i="16"/>
  <c r="S1502" i="16"/>
  <c r="Y1506" i="16"/>
  <c r="Y1518" i="16"/>
  <c r="Y1520" i="16"/>
  <c r="Y1522" i="16"/>
  <c r="Y1525" i="16"/>
  <c r="S1528" i="16"/>
  <c r="Y1532" i="16"/>
  <c r="Y1533" i="16"/>
  <c r="Y1534" i="16"/>
  <c r="Y1538" i="16"/>
  <c r="Y1540" i="16"/>
  <c r="Y1565" i="16"/>
  <c r="Y1570" i="16"/>
  <c r="Y1578" i="16"/>
  <c r="Y1608" i="16"/>
  <c r="Y1645" i="16"/>
  <c r="Y1647" i="16"/>
  <c r="Y1649" i="16"/>
  <c r="Y1652" i="16"/>
  <c r="S1655" i="16"/>
  <c r="Y1656" i="16"/>
  <c r="Y1659" i="16"/>
  <c r="S1661" i="16"/>
  <c r="Y1665" i="16"/>
  <c r="S1665" i="16"/>
  <c r="Y1673" i="16"/>
  <c r="Y1675" i="16"/>
  <c r="S1677" i="16"/>
  <c r="Y1685" i="16"/>
  <c r="Y1689" i="16"/>
  <c r="Y1691" i="16"/>
  <c r="Y1692" i="16"/>
  <c r="Y1699" i="16"/>
  <c r="Y1700" i="16"/>
  <c r="Y1701" i="16"/>
  <c r="Y1702" i="16"/>
  <c r="Y1705" i="16"/>
  <c r="Y1707" i="16"/>
  <c r="Y1709" i="16"/>
  <c r="Y1712" i="16"/>
  <c r="Y1715" i="16"/>
  <c r="Y1716" i="16"/>
  <c r="Y1718" i="16"/>
  <c r="Y1720" i="16"/>
  <c r="Y1721" i="16"/>
  <c r="Y1724" i="16"/>
  <c r="Y1728" i="16"/>
  <c r="Y1730" i="16"/>
  <c r="Y1731" i="16"/>
  <c r="Y1736" i="16"/>
  <c r="Y1740" i="16"/>
  <c r="Y1744" i="16"/>
  <c r="Y1746" i="16"/>
  <c r="S1748" i="16"/>
  <c r="Y1754" i="16"/>
  <c r="Y1762" i="16"/>
  <c r="Y1772" i="16"/>
  <c r="Y1776" i="16"/>
  <c r="Y1784" i="16"/>
  <c r="Y1792" i="16"/>
  <c r="S1795" i="16"/>
  <c r="Y1798" i="16"/>
  <c r="Y1802" i="16"/>
  <c r="Y1804" i="16"/>
  <c r="S1807" i="16"/>
  <c r="Y1815" i="16"/>
  <c r="Y1819" i="16"/>
  <c r="Y1820" i="16"/>
  <c r="Y1826" i="16"/>
  <c r="Y1828" i="16"/>
  <c r="S1830" i="16"/>
  <c r="Y1831" i="16"/>
  <c r="Y1832" i="16"/>
  <c r="Y1834" i="16"/>
  <c r="S1834" i="16"/>
  <c r="Y1838" i="16"/>
  <c r="Y1842" i="16"/>
  <c r="Y1846" i="16"/>
  <c r="Y1850" i="16"/>
  <c r="S1850" i="16"/>
  <c r="Y1852" i="16"/>
  <c r="S1852" i="16"/>
  <c r="Y1855" i="16"/>
  <c r="Y1856" i="16"/>
  <c r="Y1860" i="16"/>
  <c r="Y1864" i="16"/>
  <c r="Y1871" i="16"/>
  <c r="Y1872" i="16"/>
  <c r="S1881" i="16"/>
  <c r="S1883" i="16"/>
  <c r="Y1888" i="16"/>
  <c r="S1888" i="16"/>
  <c r="Y1891" i="16"/>
  <c r="Y1902" i="16"/>
  <c r="Y1906" i="16"/>
  <c r="S1923" i="16"/>
  <c r="Y1926" i="16"/>
  <c r="Y1927" i="16"/>
  <c r="Y1928" i="16"/>
  <c r="S1928" i="16"/>
  <c r="Y1931" i="16"/>
  <c r="Y1939" i="16"/>
  <c r="S1942" i="16"/>
  <c r="Y1950" i="16"/>
  <c r="S1952" i="16"/>
  <c r="Y1955" i="16"/>
  <c r="Y1959" i="16"/>
  <c r="Y1960" i="16"/>
  <c r="Y1962" i="16"/>
  <c r="Y1968" i="16"/>
  <c r="Y1972" i="16"/>
  <c r="Y1973" i="16"/>
  <c r="Y1974" i="16"/>
  <c r="S1974" i="16"/>
  <c r="Y1984" i="16"/>
  <c r="Y1987" i="16"/>
  <c r="Y1989" i="16"/>
  <c r="Y1990" i="16"/>
  <c r="Y1991" i="16"/>
  <c r="Y1995" i="16"/>
  <c r="Y2001" i="16"/>
  <c r="Y2003" i="16"/>
  <c r="Y2004" i="16"/>
  <c r="Y2010" i="16"/>
  <c r="Y2014" i="16"/>
  <c r="Y2017" i="16"/>
  <c r="Y2021" i="16"/>
  <c r="Y2023" i="16"/>
  <c r="Y2031" i="16"/>
  <c r="Y2034" i="16"/>
  <c r="Y2039" i="16"/>
  <c r="Y2047" i="16"/>
  <c r="S2047" i="16"/>
  <c r="Y2049" i="16"/>
  <c r="Y2050" i="16"/>
  <c r="S2060" i="16"/>
  <c r="Y2063" i="16"/>
  <c r="Y2064" i="16"/>
  <c r="Y2068" i="16"/>
  <c r="S2071" i="16"/>
  <c r="Y2076" i="16"/>
  <c r="Y2080" i="16"/>
  <c r="Y2092" i="16"/>
  <c r="Y2095" i="16"/>
  <c r="Y2096" i="16"/>
  <c r="Y2100" i="16"/>
  <c r="Y2102" i="16"/>
  <c r="S2102" i="16"/>
  <c r="Y2105" i="16"/>
  <c r="Y2106" i="16"/>
  <c r="Y2110" i="16"/>
  <c r="Y2114" i="16"/>
  <c r="Y2116" i="16"/>
  <c r="Y2118" i="16"/>
  <c r="Y2119" i="16"/>
  <c r="Y2122" i="16"/>
  <c r="S2122" i="16"/>
  <c r="Y2125" i="16"/>
  <c r="Y2126" i="16"/>
  <c r="S2126" i="16"/>
  <c r="Y2127" i="16"/>
  <c r="Y2130" i="16"/>
  <c r="S2130" i="16"/>
  <c r="Y2131" i="16"/>
  <c r="Y2132" i="16"/>
  <c r="Y2134" i="16"/>
  <c r="S2134" i="16"/>
  <c r="S2138" i="16"/>
  <c r="Y2139" i="16"/>
  <c r="Y2140" i="16"/>
  <c r="Y2143" i="16"/>
  <c r="S2146" i="16"/>
  <c r="Y2150" i="16"/>
  <c r="Y2154" i="16"/>
  <c r="Y2158" i="16"/>
  <c r="Y2162" i="16"/>
  <c r="Y2178" i="16"/>
  <c r="S2178" i="16"/>
  <c r="Y2180" i="16"/>
  <c r="Y2181" i="16"/>
  <c r="S2184" i="16"/>
  <c r="Y2188" i="16"/>
  <c r="Y2195" i="16"/>
  <c r="Y2199" i="16"/>
  <c r="Y2206" i="16"/>
  <c r="Y2213" i="16"/>
  <c r="Y2216" i="16"/>
  <c r="Y2218" i="16"/>
  <c r="Y2220" i="16"/>
  <c r="S2223" i="16"/>
  <c r="Y2225" i="16"/>
  <c r="Y2240" i="16"/>
  <c r="S2242" i="16"/>
  <c r="Y2243" i="16"/>
  <c r="Y2244" i="16"/>
  <c r="Y2250" i="16"/>
  <c r="Y2254" i="16"/>
  <c r="Y2256" i="16"/>
  <c r="Y2257" i="16"/>
  <c r="Y2258" i="16"/>
  <c r="Y2260" i="16"/>
  <c r="Y2261" i="16"/>
  <c r="Y2262" i="16"/>
  <c r="B2264" i="16"/>
  <c r="Y2264" i="16"/>
  <c r="S2264" i="16"/>
  <c r="B2265" i="16"/>
  <c r="B2266" i="16"/>
  <c r="B2267" i="16"/>
  <c r="B2268" i="16"/>
  <c r="B2269" i="16"/>
  <c r="B2270" i="16"/>
  <c r="B2271" i="16"/>
  <c r="B2272" i="16"/>
  <c r="Y2272" i="16" s="1"/>
  <c r="B2273" i="16"/>
  <c r="B2274" i="16"/>
  <c r="Y2274" i="16"/>
  <c r="B2275" i="16"/>
  <c r="Y2275" i="16"/>
  <c r="B2276" i="16"/>
  <c r="Y2276" i="16"/>
  <c r="B2277" i="16"/>
  <c r="B2278" i="16"/>
  <c r="Y2278" i="16" s="1"/>
  <c r="B2279" i="16"/>
  <c r="B2280" i="16"/>
  <c r="Y2280" i="16"/>
  <c r="B2281" i="16"/>
  <c r="B2282" i="16"/>
  <c r="Y2282" i="16" s="1"/>
  <c r="B2283" i="16"/>
  <c r="Y2283" i="16"/>
  <c r="B2284" i="16"/>
  <c r="B2285" i="16"/>
  <c r="B2286" i="16"/>
  <c r="Y2286" i="16"/>
  <c r="B2287" i="16"/>
  <c r="B2288" i="16"/>
  <c r="Y2288" i="16" s="1"/>
  <c r="B2289" i="16"/>
  <c r="B2290" i="16"/>
  <c r="Y2290" i="16"/>
  <c r="B2291" i="16"/>
  <c r="B2292" i="16"/>
  <c r="Y2292" i="16" s="1"/>
  <c r="B2293" i="16"/>
  <c r="B2294" i="16"/>
  <c r="Y2294" i="16"/>
  <c r="B2295" i="16"/>
  <c r="B2296" i="16"/>
  <c r="Y2296" i="16" s="1"/>
  <c r="S2296" i="16"/>
  <c r="B2297" i="16"/>
  <c r="B2298" i="16"/>
  <c r="B2299" i="16"/>
  <c r="Y2299" i="16"/>
  <c r="B2300" i="16"/>
  <c r="B2301" i="16"/>
  <c r="B2302" i="16"/>
  <c r="S2302" i="16"/>
  <c r="B2303" i="16"/>
  <c r="B2304" i="16"/>
  <c r="Y2304" i="16" s="1"/>
  <c r="B2305" i="16"/>
  <c r="B2306" i="16"/>
  <c r="B2307" i="16"/>
  <c r="B2308" i="16"/>
  <c r="Y2308" i="16"/>
  <c r="B2309" i="16"/>
  <c r="B2310" i="16"/>
  <c r="B2311" i="16"/>
  <c r="B2312" i="16"/>
  <c r="Y2312" i="16" s="1"/>
  <c r="S2312" i="16"/>
  <c r="H2312" i="16" s="1"/>
  <c r="B2313" i="16"/>
  <c r="B2314" i="16"/>
  <c r="S2314" i="16"/>
  <c r="B2315" i="16"/>
  <c r="Y2315" i="16"/>
  <c r="B2316" i="16"/>
  <c r="B2317" i="16"/>
  <c r="B2318" i="16"/>
  <c r="B2319" i="16"/>
  <c r="B2320" i="16"/>
  <c r="B2321" i="16"/>
  <c r="Y2321" i="16" s="1"/>
  <c r="B2322" i="16"/>
  <c r="B2323" i="16"/>
  <c r="B2324" i="16"/>
  <c r="B2325" i="16"/>
  <c r="Y2325" i="16"/>
  <c r="B2326" i="16"/>
  <c r="B2327" i="16"/>
  <c r="B2328" i="16"/>
  <c r="B2329" i="16"/>
  <c r="Y2329" i="16" s="1"/>
  <c r="B2330" i="16"/>
  <c r="B2331" i="16"/>
  <c r="B2332" i="16"/>
  <c r="B2333" i="16"/>
  <c r="B2334" i="16"/>
  <c r="B2335" i="16"/>
  <c r="B2336" i="16"/>
  <c r="B2337" i="16"/>
  <c r="B2338" i="16"/>
  <c r="B2339" i="16"/>
  <c r="B2340" i="16"/>
  <c r="B2341" i="16"/>
  <c r="B2342" i="16"/>
  <c r="Y2342" i="16" s="1"/>
  <c r="B2343" i="16"/>
  <c r="B2344" i="16"/>
  <c r="B2345" i="16"/>
  <c r="Y2345" i="16" s="1"/>
  <c r="B2346" i="16"/>
  <c r="B2347" i="16"/>
  <c r="B2348" i="16"/>
  <c r="B2349" i="16"/>
  <c r="B2350" i="16"/>
  <c r="B2351" i="16"/>
  <c r="B2352" i="16"/>
  <c r="B2353" i="16"/>
  <c r="B2354" i="16"/>
  <c r="Y2354" i="16" s="1"/>
  <c r="B2355" i="16"/>
  <c r="B2356" i="16"/>
  <c r="B2357" i="16"/>
  <c r="B2358" i="16"/>
  <c r="B2359" i="16"/>
  <c r="Y2359" i="16" s="1"/>
  <c r="B2360" i="16"/>
  <c r="B2361" i="16"/>
  <c r="B2362" i="16"/>
  <c r="B2363" i="16"/>
  <c r="B2364" i="16"/>
  <c r="B2365" i="16"/>
  <c r="S2365" i="16"/>
  <c r="J2365" i="16" s="1"/>
  <c r="B2366" i="16"/>
  <c r="Y2366" i="16" s="1"/>
  <c r="B2367" i="16"/>
  <c r="B2368" i="16"/>
  <c r="Y2368" i="16"/>
  <c r="B2369" i="16"/>
  <c r="Y2369" i="16"/>
  <c r="S2369" i="16"/>
  <c r="B2370" i="16"/>
  <c r="B2371" i="16"/>
  <c r="B2372" i="16"/>
  <c r="Y2372" i="16" s="1"/>
  <c r="B2373" i="16"/>
  <c r="B2374" i="16"/>
  <c r="B2375" i="16"/>
  <c r="B2376" i="16"/>
  <c r="Y2376" i="16"/>
  <c r="B2377" i="16"/>
  <c r="B2378" i="16"/>
  <c r="B2379" i="16"/>
  <c r="B2380" i="16"/>
  <c r="Y2380" i="16" s="1"/>
  <c r="B2381" i="16"/>
  <c r="Y2381" i="16" s="1"/>
  <c r="B2382" i="16"/>
  <c r="B2383" i="16"/>
  <c r="B2384" i="16"/>
  <c r="Y2384" i="16" s="1"/>
  <c r="B2385" i="16"/>
  <c r="B2386" i="16"/>
  <c r="B2387" i="16"/>
  <c r="B2388" i="16"/>
  <c r="Y2388" i="16"/>
  <c r="B2389" i="16"/>
  <c r="Y2389" i="16"/>
  <c r="B2390" i="16"/>
  <c r="B2391" i="16"/>
  <c r="B2392" i="16"/>
  <c r="Y2392" i="16"/>
  <c r="B2393" i="16"/>
  <c r="B2394" i="16"/>
  <c r="B2395" i="16"/>
  <c r="Y2395" i="16"/>
  <c r="B2396" i="16"/>
  <c r="Y2396" i="16"/>
  <c r="B2397" i="16"/>
  <c r="B2398" i="16"/>
  <c r="Y2398" i="16" s="1"/>
  <c r="S2398" i="16"/>
  <c r="B2399" i="16"/>
  <c r="Y2399" i="16"/>
  <c r="B2400" i="16"/>
  <c r="B2401" i="16"/>
  <c r="B2402" i="16"/>
  <c r="Y2402" i="16"/>
  <c r="B2403" i="16"/>
  <c r="B2404" i="16"/>
  <c r="Y2404" i="16" s="1"/>
  <c r="B2405" i="16"/>
  <c r="Y2405" i="16" s="1"/>
  <c r="S2405" i="16"/>
  <c r="B2406" i="16"/>
  <c r="Y2406" i="16"/>
  <c r="B2407" i="16"/>
  <c r="B2408" i="16"/>
  <c r="Y2408" i="16" s="1"/>
  <c r="B2409" i="16"/>
  <c r="Y2409" i="16" s="1"/>
  <c r="B2410" i="16"/>
  <c r="Y2410" i="16" s="1"/>
  <c r="B2411" i="16"/>
  <c r="B2412" i="16"/>
  <c r="B2413" i="16"/>
  <c r="Y2413" i="16" s="1"/>
  <c r="B2414" i="16"/>
  <c r="B2415" i="16"/>
  <c r="B2416" i="16"/>
  <c r="Y2416" i="16" s="1"/>
  <c r="B2417" i="16"/>
  <c r="B2418" i="16"/>
  <c r="B2419" i="16"/>
  <c r="Y2419" i="16" s="1"/>
  <c r="B2420" i="16"/>
  <c r="B2421" i="16"/>
  <c r="B2422" i="16"/>
  <c r="B2423" i="16"/>
  <c r="Y2423" i="16"/>
  <c r="B2424" i="16"/>
  <c r="B2425" i="16"/>
  <c r="B2426" i="16"/>
  <c r="Y2426" i="16"/>
  <c r="B2427" i="16"/>
  <c r="Y2427" i="16"/>
  <c r="B2428" i="16"/>
  <c r="Y2428" i="16"/>
  <c r="B2429" i="16"/>
  <c r="Y2429" i="16"/>
  <c r="B2430" i="16"/>
  <c r="Y2430" i="16"/>
  <c r="S2430" i="16"/>
  <c r="B2431" i="16"/>
  <c r="B2432" i="16"/>
  <c r="Y2432" i="16"/>
  <c r="B2433" i="16"/>
  <c r="B2434" i="16"/>
  <c r="Y2434" i="16" s="1"/>
  <c r="B2435" i="16"/>
  <c r="B2436" i="16"/>
  <c r="B2437" i="16"/>
  <c r="B2438" i="16"/>
  <c r="Y2438" i="16"/>
  <c r="B2439" i="16"/>
  <c r="Y2439" i="16"/>
  <c r="B2440" i="16"/>
  <c r="Y2440" i="16"/>
  <c r="B2441" i="16"/>
  <c r="B2442" i="16"/>
  <c r="B2443" i="16"/>
  <c r="Y2443" i="16"/>
  <c r="B2444" i="16"/>
  <c r="Y2444" i="16"/>
  <c r="B2445" i="16"/>
  <c r="B2446" i="16"/>
  <c r="B2447" i="16"/>
  <c r="B2448" i="16"/>
  <c r="B2449" i="16"/>
  <c r="B2450" i="16"/>
  <c r="Y2450" i="16" s="1"/>
  <c r="B2451" i="16"/>
  <c r="B2452" i="16"/>
  <c r="B2453" i="16"/>
  <c r="Y2453" i="16" s="1"/>
  <c r="B2454" i="16"/>
  <c r="Y2454" i="16" s="1"/>
  <c r="B2455" i="16"/>
  <c r="B2456" i="16"/>
  <c r="Y2456" i="16"/>
  <c r="B2457" i="16"/>
  <c r="B2458" i="16"/>
  <c r="Y2458" i="16" s="1"/>
  <c r="B2459" i="16"/>
  <c r="B2460" i="16"/>
  <c r="B2461" i="16"/>
  <c r="B2462" i="16"/>
  <c r="Y2462" i="16"/>
  <c r="S2462" i="16"/>
  <c r="B2463" i="16"/>
  <c r="B2464" i="16"/>
  <c r="Y2464" i="16"/>
  <c r="B2465" i="16"/>
  <c r="B2466" i="16"/>
  <c r="B2467" i="16"/>
  <c r="B2468" i="16"/>
  <c r="Y2468" i="16" s="1"/>
  <c r="B2469" i="16"/>
  <c r="B2470" i="16"/>
  <c r="B2471" i="16"/>
  <c r="B2472" i="16"/>
  <c r="Y2472" i="16"/>
  <c r="B2473" i="16"/>
  <c r="B2474" i="16"/>
  <c r="Y2474" i="16" s="1"/>
  <c r="S2474" i="16"/>
  <c r="B2475" i="16"/>
  <c r="B2476" i="16"/>
  <c r="B2477" i="16"/>
  <c r="B2478" i="16"/>
  <c r="Y2478" i="16" s="1"/>
  <c r="B2479" i="16"/>
  <c r="B2480" i="16"/>
  <c r="Y2480" i="16"/>
  <c r="S2480" i="16"/>
  <c r="B2481" i="16"/>
  <c r="B2482" i="16"/>
  <c r="B2483" i="16"/>
  <c r="Y2483" i="16" s="1"/>
  <c r="B2484" i="16"/>
  <c r="B2485" i="16"/>
  <c r="B2486" i="16"/>
  <c r="B2487" i="16"/>
  <c r="B2488" i="16"/>
  <c r="B2489" i="16"/>
  <c r="Y2489" i="16"/>
  <c r="B2490" i="16"/>
  <c r="Y2490" i="16"/>
  <c r="B2491" i="16"/>
  <c r="B2492" i="16"/>
  <c r="S2492" i="16"/>
  <c r="B2493" i="16"/>
  <c r="Y2493" i="16" s="1"/>
  <c r="B2494" i="16"/>
  <c r="B2495" i="16"/>
  <c r="S2495" i="16"/>
  <c r="B2498" i="16"/>
  <c r="B2499" i="16"/>
  <c r="B2501" i="16"/>
  <c r="B2502" i="16"/>
  <c r="B2503" i="16"/>
  <c r="Y2505" i="16"/>
  <c r="K63" i="10"/>
  <c r="B21" i="10"/>
  <c r="G21" i="10" s="1"/>
  <c r="H21" i="10" s="1"/>
  <c r="D21" i="10" s="1"/>
  <c r="B16" i="10"/>
  <c r="G16" i="10" s="1"/>
  <c r="H16" i="10" s="1"/>
  <c r="D16" i="10" s="1"/>
  <c r="K537" i="14"/>
  <c r="J537" i="14"/>
  <c r="K536" i="14"/>
  <c r="J536" i="14"/>
  <c r="J468" i="14"/>
  <c r="K468" i="14"/>
  <c r="J467" i="14"/>
  <c r="K467" i="14"/>
  <c r="K302" i="14"/>
  <c r="J302" i="14"/>
  <c r="K301" i="14"/>
  <c r="J301" i="14"/>
  <c r="J239" i="14"/>
  <c r="K239" i="14"/>
  <c r="J238" i="14"/>
  <c r="K238" i="14"/>
  <c r="J6" i="14"/>
  <c r="K6" i="14"/>
  <c r="J9" i="14"/>
  <c r="K9" i="14"/>
  <c r="J10" i="14"/>
  <c r="K10" i="14"/>
  <c r="J11" i="14"/>
  <c r="K11" i="14"/>
  <c r="J12" i="14"/>
  <c r="K12" i="14"/>
  <c r="J14" i="14"/>
  <c r="K14" i="14"/>
  <c r="J17" i="14"/>
  <c r="K17" i="14"/>
  <c r="J13" i="14"/>
  <c r="K13" i="14"/>
  <c r="J18" i="14"/>
  <c r="K18" i="14"/>
  <c r="J19" i="14"/>
  <c r="K19" i="14"/>
  <c r="J87" i="14"/>
  <c r="K87" i="14"/>
  <c r="J90" i="14"/>
  <c r="K90" i="14"/>
  <c r="J20" i="14"/>
  <c r="K20" i="14"/>
  <c r="J88" i="14"/>
  <c r="K88" i="14"/>
  <c r="J89" i="14"/>
  <c r="K89" i="14"/>
  <c r="J21" i="14"/>
  <c r="K21" i="14"/>
  <c r="J22" i="14"/>
  <c r="K22" i="14"/>
  <c r="J23" i="14"/>
  <c r="K23" i="14"/>
  <c r="J24" i="14"/>
  <c r="K24" i="14"/>
  <c r="J25" i="14"/>
  <c r="K25" i="14"/>
  <c r="J26" i="14"/>
  <c r="K26" i="14"/>
  <c r="J138" i="14"/>
  <c r="K138" i="14"/>
  <c r="J27" i="14"/>
  <c r="K27" i="14"/>
  <c r="J28" i="14"/>
  <c r="K28" i="14"/>
  <c r="J36" i="14"/>
  <c r="K36" i="14"/>
  <c r="J29" i="14"/>
  <c r="K29" i="14"/>
  <c r="J30" i="14"/>
  <c r="K30" i="14"/>
  <c r="J31" i="14"/>
  <c r="K31" i="14"/>
  <c r="J106" i="14"/>
  <c r="K106" i="14"/>
  <c r="J32" i="14"/>
  <c r="K32" i="14"/>
  <c r="J33" i="14"/>
  <c r="K33" i="14"/>
  <c r="J221" i="14"/>
  <c r="K221" i="14"/>
  <c r="J34" i="14"/>
  <c r="K34" i="14"/>
  <c r="J35" i="14"/>
  <c r="K35" i="14"/>
  <c r="J38" i="14"/>
  <c r="K38" i="14"/>
  <c r="J41" i="14"/>
  <c r="K41" i="14"/>
  <c r="J42" i="14"/>
  <c r="K42" i="14"/>
  <c r="J43" i="14"/>
  <c r="K43" i="14"/>
  <c r="J44" i="14"/>
  <c r="K44" i="14"/>
  <c r="J46" i="14"/>
  <c r="K46" i="14"/>
  <c r="J47" i="14"/>
  <c r="K47" i="14"/>
  <c r="J49" i="14"/>
  <c r="K49" i="14"/>
  <c r="J50" i="14"/>
  <c r="K50" i="14"/>
  <c r="J51" i="14"/>
  <c r="K51" i="14"/>
  <c r="J52" i="14"/>
  <c r="K52" i="14"/>
  <c r="J45" i="14"/>
  <c r="K45" i="14"/>
  <c r="J48" i="14"/>
  <c r="K48" i="14"/>
  <c r="J53" i="14"/>
  <c r="K53" i="14"/>
  <c r="J54" i="14"/>
  <c r="K54" i="14"/>
  <c r="J55" i="14"/>
  <c r="K55" i="14"/>
  <c r="J140" i="14"/>
  <c r="K140" i="14"/>
  <c r="J145" i="14"/>
  <c r="K145" i="14"/>
  <c r="J56" i="14"/>
  <c r="K56" i="14"/>
  <c r="J57" i="14"/>
  <c r="K57" i="14"/>
  <c r="J58" i="14"/>
  <c r="K58" i="14"/>
  <c r="J61" i="14"/>
  <c r="K61" i="14"/>
  <c r="J62" i="14"/>
  <c r="K62" i="14"/>
  <c r="J64" i="14"/>
  <c r="K64" i="14"/>
  <c r="J65" i="14"/>
  <c r="K65" i="14"/>
  <c r="J202" i="14"/>
  <c r="K202" i="14"/>
  <c r="J66" i="14"/>
  <c r="K66" i="14"/>
  <c r="J67" i="14"/>
  <c r="K67" i="14"/>
  <c r="J68" i="14"/>
  <c r="K68" i="14"/>
  <c r="J69" i="14"/>
  <c r="K69" i="14"/>
  <c r="J224" i="14"/>
  <c r="K224" i="14"/>
  <c r="J70" i="14"/>
  <c r="K70" i="14"/>
  <c r="J71" i="14"/>
  <c r="K71" i="14"/>
  <c r="J75" i="14"/>
  <c r="K75" i="14"/>
  <c r="J76" i="14"/>
  <c r="K76" i="14"/>
  <c r="J77" i="14"/>
  <c r="K77" i="14"/>
  <c r="J78" i="14"/>
  <c r="K78" i="14"/>
  <c r="J79" i="14"/>
  <c r="K79" i="14"/>
  <c r="J80" i="14"/>
  <c r="K80" i="14"/>
  <c r="J81" i="14"/>
  <c r="K81" i="14"/>
  <c r="J82" i="14"/>
  <c r="K82" i="14"/>
  <c r="J83" i="14"/>
  <c r="K83" i="14"/>
  <c r="J84" i="14"/>
  <c r="K84" i="14"/>
  <c r="J85" i="14"/>
  <c r="K85" i="14"/>
  <c r="J86" i="14"/>
  <c r="K86" i="14"/>
  <c r="J91" i="14"/>
  <c r="K91" i="14"/>
  <c r="J92" i="14"/>
  <c r="K92" i="14"/>
  <c r="J93" i="14"/>
  <c r="K93" i="14"/>
  <c r="J147" i="14"/>
  <c r="K147" i="14"/>
  <c r="J163" i="14"/>
  <c r="K163" i="14"/>
  <c r="J193" i="14"/>
  <c r="K193" i="14"/>
  <c r="J94" i="14"/>
  <c r="K94" i="14"/>
  <c r="J95" i="14"/>
  <c r="K95" i="14"/>
  <c r="J96" i="14"/>
  <c r="K96" i="14"/>
  <c r="J97" i="14"/>
  <c r="K97" i="14"/>
  <c r="J98" i="14"/>
  <c r="K98" i="14"/>
  <c r="J101" i="14"/>
  <c r="K101" i="14"/>
  <c r="J99" i="14"/>
  <c r="K99" i="14"/>
  <c r="J100" i="14"/>
  <c r="K100" i="14"/>
  <c r="J102" i="14"/>
  <c r="K102" i="14"/>
  <c r="J103" i="14"/>
  <c r="K103" i="14"/>
  <c r="J104" i="14"/>
  <c r="K104" i="14"/>
  <c r="J105" i="14"/>
  <c r="K105" i="14"/>
  <c r="J108" i="14"/>
  <c r="K108" i="14"/>
  <c r="J109" i="14"/>
  <c r="K109" i="14"/>
  <c r="J110" i="14"/>
  <c r="K110" i="14"/>
  <c r="J111" i="14"/>
  <c r="K111" i="14"/>
  <c r="J156" i="14"/>
  <c r="K156" i="14"/>
  <c r="J112" i="14"/>
  <c r="K112" i="14"/>
  <c r="J113" i="14"/>
  <c r="K113" i="14"/>
  <c r="J114" i="14"/>
  <c r="K114" i="14"/>
  <c r="J115" i="14"/>
  <c r="K115" i="14"/>
  <c r="J220" i="14"/>
  <c r="K220" i="14"/>
  <c r="J116" i="14"/>
  <c r="K116" i="14"/>
  <c r="J120" i="14"/>
  <c r="K120" i="14"/>
  <c r="J121" i="14"/>
  <c r="K121" i="14"/>
  <c r="J122" i="14"/>
  <c r="K122" i="14"/>
  <c r="J119" i="14"/>
  <c r="K119" i="14"/>
  <c r="J123" i="14"/>
  <c r="K123" i="14"/>
  <c r="J124" i="14"/>
  <c r="K124" i="14"/>
  <c r="J118" i="14"/>
  <c r="K118" i="14"/>
  <c r="J125" i="14"/>
  <c r="K125" i="14"/>
  <c r="J126" i="14"/>
  <c r="K126" i="14"/>
  <c r="J127" i="14"/>
  <c r="K127" i="14"/>
  <c r="J128" i="14"/>
  <c r="K128" i="14"/>
  <c r="J129" i="14"/>
  <c r="K129" i="14"/>
  <c r="J130" i="14"/>
  <c r="K130" i="14"/>
  <c r="J192" i="14"/>
  <c r="K192" i="14"/>
  <c r="J131" i="14"/>
  <c r="K131" i="14"/>
  <c r="J132" i="14"/>
  <c r="K132" i="14"/>
  <c r="J133" i="14"/>
  <c r="K133" i="14"/>
  <c r="J134" i="14"/>
  <c r="K134" i="14"/>
  <c r="J135" i="14"/>
  <c r="K135" i="14"/>
  <c r="J136" i="14"/>
  <c r="K136" i="14"/>
  <c r="J137" i="14"/>
  <c r="K137" i="14"/>
  <c r="J139" i="14"/>
  <c r="K139" i="14"/>
  <c r="J141" i="14"/>
  <c r="K141" i="14"/>
  <c r="J142" i="14"/>
  <c r="K142" i="14"/>
  <c r="J143" i="14"/>
  <c r="K143" i="14"/>
  <c r="J59" i="14"/>
  <c r="K59" i="14"/>
  <c r="J144" i="14"/>
  <c r="K144" i="14"/>
  <c r="J146" i="14"/>
  <c r="K146" i="14"/>
  <c r="J152" i="14"/>
  <c r="K152" i="14"/>
  <c r="J148" i="14"/>
  <c r="K148" i="14"/>
  <c r="J151" i="14"/>
  <c r="K151" i="14"/>
  <c r="J153" i="14"/>
  <c r="K153" i="14"/>
  <c r="J154" i="14"/>
  <c r="K154" i="14"/>
  <c r="J155" i="14"/>
  <c r="K155" i="14"/>
  <c r="J157" i="14"/>
  <c r="K157" i="14"/>
  <c r="J158" i="14"/>
  <c r="K158" i="14"/>
  <c r="J159" i="14"/>
  <c r="K159" i="14"/>
  <c r="J160" i="14"/>
  <c r="K160" i="14"/>
  <c r="J161" i="14"/>
  <c r="K161" i="14"/>
  <c r="J162" i="14"/>
  <c r="K162" i="14"/>
  <c r="J164" i="14"/>
  <c r="K164" i="14"/>
  <c r="J165" i="14"/>
  <c r="K165" i="14"/>
  <c r="J166" i="14"/>
  <c r="K166" i="14"/>
  <c r="J170" i="14"/>
  <c r="K170" i="14"/>
  <c r="J167" i="14"/>
  <c r="K167" i="14"/>
  <c r="J168" i="14"/>
  <c r="K168" i="14"/>
  <c r="J169" i="14"/>
  <c r="K169" i="14"/>
  <c r="J171" i="14"/>
  <c r="K171" i="14"/>
  <c r="J172" i="14"/>
  <c r="K172" i="14"/>
  <c r="J174" i="14"/>
  <c r="K174" i="14"/>
  <c r="J175" i="14"/>
  <c r="K175" i="14"/>
  <c r="J176" i="14"/>
  <c r="K176" i="14"/>
  <c r="J227" i="14"/>
  <c r="K227" i="14"/>
  <c r="J228" i="14"/>
  <c r="K228" i="14"/>
  <c r="J229" i="14"/>
  <c r="K229" i="14"/>
  <c r="J230" i="14"/>
  <c r="K230" i="14"/>
  <c r="J231" i="14"/>
  <c r="K231" i="14"/>
  <c r="J232" i="14"/>
  <c r="K232" i="14"/>
  <c r="J179" i="14"/>
  <c r="K179" i="14"/>
  <c r="J181" i="14"/>
  <c r="K181" i="14"/>
  <c r="J5" i="14"/>
  <c r="K5" i="14"/>
  <c r="J183" i="14"/>
  <c r="K183" i="14"/>
  <c r="J184" i="14"/>
  <c r="K184" i="14"/>
  <c r="J185" i="14"/>
  <c r="K185" i="14"/>
  <c r="J186" i="14"/>
  <c r="K186" i="14"/>
  <c r="J187" i="14"/>
  <c r="K187" i="14"/>
  <c r="J188" i="14"/>
  <c r="K188" i="14"/>
  <c r="J117" i="14"/>
  <c r="K117" i="14"/>
  <c r="J182" i="14"/>
  <c r="K182" i="14"/>
  <c r="J189" i="14"/>
  <c r="K189" i="14"/>
  <c r="J190" i="14"/>
  <c r="K190" i="14"/>
  <c r="J211" i="14"/>
  <c r="K211" i="14"/>
  <c r="J191" i="14"/>
  <c r="K191" i="14"/>
  <c r="J178" i="14"/>
  <c r="K178" i="14"/>
  <c r="J180" i="14"/>
  <c r="K180" i="14"/>
  <c r="J194" i="14"/>
  <c r="K194" i="14"/>
  <c r="J195" i="14"/>
  <c r="K195" i="14"/>
  <c r="J197" i="14"/>
  <c r="K197" i="14"/>
  <c r="J196" i="14"/>
  <c r="K196" i="14"/>
  <c r="J198" i="14"/>
  <c r="K198" i="14"/>
  <c r="J199" i="14"/>
  <c r="K199" i="14"/>
  <c r="J200" i="14"/>
  <c r="K200" i="14"/>
  <c r="J201" i="14"/>
  <c r="K201" i="14"/>
  <c r="J40" i="14"/>
  <c r="K40" i="14"/>
  <c r="J63" i="14"/>
  <c r="K63" i="14"/>
  <c r="J107" i="14"/>
  <c r="K107" i="14"/>
  <c r="J173" i="14"/>
  <c r="K173" i="14"/>
  <c r="J177" i="14"/>
  <c r="K177" i="14"/>
  <c r="J204" i="14"/>
  <c r="K204" i="14"/>
  <c r="J205" i="14"/>
  <c r="K205" i="14"/>
  <c r="J15" i="14"/>
  <c r="K15" i="14"/>
  <c r="J206" i="14"/>
  <c r="K206" i="14"/>
  <c r="J207" i="14"/>
  <c r="K207" i="14"/>
  <c r="J208" i="14"/>
  <c r="K208" i="14"/>
  <c r="J209" i="14"/>
  <c r="K209" i="14"/>
  <c r="J210" i="14"/>
  <c r="K210" i="14"/>
  <c r="J212" i="14"/>
  <c r="K212" i="14"/>
  <c r="J213" i="14"/>
  <c r="K213" i="14"/>
  <c r="J214" i="14"/>
  <c r="K214" i="14"/>
  <c r="J215" i="14"/>
  <c r="K215" i="14"/>
  <c r="J216" i="14"/>
  <c r="K216" i="14"/>
  <c r="J217" i="14"/>
  <c r="K217" i="14"/>
  <c r="J7" i="14"/>
  <c r="K7" i="14"/>
  <c r="J8" i="14"/>
  <c r="K8" i="14"/>
  <c r="J16" i="14"/>
  <c r="K16" i="14"/>
  <c r="J149" i="14"/>
  <c r="K149" i="14"/>
  <c r="J150" i="14"/>
  <c r="K150" i="14"/>
  <c r="J203" i="14"/>
  <c r="K203" i="14"/>
  <c r="J218" i="14"/>
  <c r="K218" i="14"/>
  <c r="J219" i="14"/>
  <c r="K219" i="14"/>
  <c r="J222" i="14"/>
  <c r="K222" i="14"/>
  <c r="J223" i="14"/>
  <c r="K223" i="14"/>
  <c r="J225" i="14"/>
  <c r="K225" i="14"/>
  <c r="J37" i="14"/>
  <c r="K37" i="14"/>
  <c r="J226" i="14"/>
  <c r="K226" i="14"/>
  <c r="J39" i="14"/>
  <c r="K39" i="14"/>
  <c r="J72" i="14"/>
  <c r="K72" i="14"/>
  <c r="J73" i="14"/>
  <c r="K73" i="14"/>
  <c r="J74" i="14"/>
  <c r="K74" i="14"/>
  <c r="J233" i="14"/>
  <c r="K233" i="14"/>
  <c r="J234" i="14"/>
  <c r="K234" i="14"/>
  <c r="J60" i="14"/>
  <c r="K60" i="14"/>
  <c r="J235" i="14"/>
  <c r="K235" i="14"/>
  <c r="J236" i="14"/>
  <c r="K236" i="14"/>
  <c r="J237" i="14"/>
  <c r="K237" i="14"/>
  <c r="J240" i="14"/>
  <c r="K240" i="14"/>
  <c r="J241" i="14"/>
  <c r="K241" i="14"/>
  <c r="J242" i="14"/>
  <c r="K242" i="14"/>
  <c r="J243" i="14"/>
  <c r="K243" i="14"/>
  <c r="J244" i="14"/>
  <c r="K244" i="14"/>
  <c r="J245" i="14"/>
  <c r="K245" i="14"/>
  <c r="J297" i="14"/>
  <c r="K297" i="14"/>
  <c r="J246" i="14"/>
  <c r="K246" i="14"/>
  <c r="J247" i="14"/>
  <c r="K247" i="14"/>
  <c r="J248" i="14"/>
  <c r="K248" i="14"/>
  <c r="J249" i="14"/>
  <c r="K249" i="14"/>
  <c r="J250" i="14"/>
  <c r="K250" i="14"/>
  <c r="J251" i="14"/>
  <c r="K251" i="14"/>
  <c r="J252" i="14"/>
  <c r="K252" i="14"/>
  <c r="J253" i="14"/>
  <c r="K253" i="14"/>
  <c r="J254" i="14"/>
  <c r="K254" i="14"/>
  <c r="J255" i="14"/>
  <c r="K255" i="14"/>
  <c r="J256" i="14"/>
  <c r="K256" i="14"/>
  <c r="J257" i="14"/>
  <c r="K257" i="14"/>
  <c r="J258" i="14"/>
  <c r="K258" i="14"/>
  <c r="J259" i="14"/>
  <c r="K259" i="14"/>
  <c r="J260" i="14"/>
  <c r="K260" i="14"/>
  <c r="J261" i="14"/>
  <c r="K261" i="14"/>
  <c r="J262" i="14"/>
  <c r="K262" i="14"/>
  <c r="J263" i="14"/>
  <c r="K263" i="14"/>
  <c r="J264" i="14"/>
  <c r="K264" i="14"/>
  <c r="J265" i="14"/>
  <c r="K265" i="14"/>
  <c r="J266" i="14"/>
  <c r="K266" i="14"/>
  <c r="J267" i="14"/>
  <c r="K267" i="14"/>
  <c r="J268" i="14"/>
  <c r="K268" i="14"/>
  <c r="J269" i="14"/>
  <c r="K269" i="14"/>
  <c r="J270" i="14"/>
  <c r="K270" i="14"/>
  <c r="J271" i="14"/>
  <c r="K271" i="14"/>
  <c r="J272" i="14"/>
  <c r="K272" i="14"/>
  <c r="J273" i="14"/>
  <c r="K273" i="14"/>
  <c r="J274" i="14"/>
  <c r="K274" i="14"/>
  <c r="J275" i="14"/>
  <c r="K275" i="14"/>
  <c r="J276" i="14"/>
  <c r="K276" i="14"/>
  <c r="J277" i="14"/>
  <c r="K277" i="14"/>
  <c r="J278" i="14"/>
  <c r="K278" i="14"/>
  <c r="J279" i="14"/>
  <c r="K279" i="14"/>
  <c r="J280" i="14"/>
  <c r="K280" i="14"/>
  <c r="J281" i="14"/>
  <c r="K281" i="14"/>
  <c r="J282" i="14"/>
  <c r="K282" i="14"/>
  <c r="J283" i="14"/>
  <c r="K283" i="14"/>
  <c r="J284" i="14"/>
  <c r="K284" i="14"/>
  <c r="J285" i="14"/>
  <c r="K285" i="14"/>
  <c r="J286" i="14"/>
  <c r="K286" i="14"/>
  <c r="J287" i="14"/>
  <c r="K287" i="14"/>
  <c r="J288" i="14"/>
  <c r="K288" i="14"/>
  <c r="J289" i="14"/>
  <c r="K289" i="14"/>
  <c r="J290" i="14"/>
  <c r="K290" i="14"/>
  <c r="J291" i="14"/>
  <c r="K291" i="14"/>
  <c r="J292" i="14"/>
  <c r="K292" i="14"/>
  <c r="J293" i="14"/>
  <c r="K293" i="14"/>
  <c r="J294" i="14"/>
  <c r="K294" i="14"/>
  <c r="J295" i="14"/>
  <c r="K295" i="14"/>
  <c r="J296" i="14"/>
  <c r="K296" i="14"/>
  <c r="J298" i="14"/>
  <c r="K298" i="14"/>
  <c r="J299" i="14"/>
  <c r="K299" i="14"/>
  <c r="J300" i="14"/>
  <c r="K300" i="14"/>
  <c r="J303" i="14"/>
  <c r="K303" i="14"/>
  <c r="J304" i="14"/>
  <c r="K304" i="14"/>
  <c r="J305" i="14"/>
  <c r="K305" i="14"/>
  <c r="J306" i="14"/>
  <c r="K306" i="14"/>
  <c r="J307" i="14"/>
  <c r="K307" i="14"/>
  <c r="J322" i="14"/>
  <c r="K322" i="14"/>
  <c r="J323" i="14"/>
  <c r="K323" i="14"/>
  <c r="J324" i="14"/>
  <c r="K324" i="14"/>
  <c r="J308" i="14"/>
  <c r="K308" i="14"/>
  <c r="J309" i="14"/>
  <c r="K309" i="14"/>
  <c r="J314" i="14"/>
  <c r="K314" i="14"/>
  <c r="J315" i="14"/>
  <c r="K315" i="14"/>
  <c r="J317" i="14"/>
  <c r="K317" i="14"/>
  <c r="J318" i="14"/>
  <c r="K318" i="14"/>
  <c r="J319" i="14"/>
  <c r="K319" i="14"/>
  <c r="J357" i="14"/>
  <c r="K357" i="14"/>
  <c r="J358" i="14"/>
  <c r="K358" i="14"/>
  <c r="J359" i="14"/>
  <c r="K359" i="14"/>
  <c r="J375" i="14"/>
  <c r="K375" i="14"/>
  <c r="J380" i="14"/>
  <c r="K380" i="14"/>
  <c r="J454" i="14"/>
  <c r="K454" i="14"/>
  <c r="J321" i="14"/>
  <c r="K321" i="14"/>
  <c r="J360" i="14"/>
  <c r="K360" i="14"/>
  <c r="J395" i="14"/>
  <c r="K395" i="14"/>
  <c r="J325" i="14"/>
  <c r="K325" i="14"/>
  <c r="J326" i="14"/>
  <c r="K326" i="14"/>
  <c r="J327" i="14"/>
  <c r="K327" i="14"/>
  <c r="J328" i="14"/>
  <c r="K328" i="14"/>
  <c r="J329" i="14"/>
  <c r="K329" i="14"/>
  <c r="J330" i="14"/>
  <c r="K330" i="14"/>
  <c r="J333" i="14"/>
  <c r="K333" i="14"/>
  <c r="J334" i="14"/>
  <c r="K334" i="14"/>
  <c r="J335" i="14"/>
  <c r="K335" i="14"/>
  <c r="J336" i="14"/>
  <c r="K336" i="14"/>
  <c r="J337" i="14"/>
  <c r="K337" i="14"/>
  <c r="J338" i="14"/>
  <c r="K338" i="14"/>
  <c r="J339" i="14"/>
  <c r="K339" i="14"/>
  <c r="J340" i="14"/>
  <c r="K340" i="14"/>
  <c r="J341" i="14"/>
  <c r="K341" i="14"/>
  <c r="J342" i="14"/>
  <c r="K342" i="14"/>
  <c r="J343" i="14"/>
  <c r="K343" i="14"/>
  <c r="J344" i="14"/>
  <c r="K344" i="14"/>
  <c r="J345" i="14"/>
  <c r="K345" i="14"/>
  <c r="J346" i="14"/>
  <c r="K346" i="14"/>
  <c r="J347" i="14"/>
  <c r="K347" i="14"/>
  <c r="J350" i="14"/>
  <c r="K350" i="14"/>
  <c r="J351" i="14"/>
  <c r="K351" i="14"/>
  <c r="J352" i="14"/>
  <c r="K352" i="14"/>
  <c r="J370" i="14"/>
  <c r="K370" i="14"/>
  <c r="J371" i="14"/>
  <c r="K371" i="14"/>
  <c r="J353" i="14"/>
  <c r="K353" i="14"/>
  <c r="J354" i="14"/>
  <c r="K354" i="14"/>
  <c r="J446" i="14"/>
  <c r="K446" i="14"/>
  <c r="J456" i="14"/>
  <c r="K456" i="14"/>
  <c r="J461" i="14"/>
  <c r="K461" i="14"/>
  <c r="J466" i="14"/>
  <c r="K466" i="14"/>
  <c r="J355" i="14"/>
  <c r="K355" i="14"/>
  <c r="J356" i="14"/>
  <c r="K356" i="14"/>
  <c r="J460" i="14"/>
  <c r="K460" i="14"/>
  <c r="J361" i="14"/>
  <c r="K361" i="14"/>
  <c r="J362" i="14"/>
  <c r="K362" i="14"/>
  <c r="J363" i="14"/>
  <c r="K363" i="14"/>
  <c r="J364" i="14"/>
  <c r="K364" i="14"/>
  <c r="J369" i="14"/>
  <c r="K369" i="14"/>
  <c r="J440" i="14"/>
  <c r="K440" i="14"/>
  <c r="J316" i="14"/>
  <c r="K316" i="14"/>
  <c r="J367" i="14"/>
  <c r="K367" i="14"/>
  <c r="J373" i="14"/>
  <c r="K373" i="14"/>
  <c r="J374" i="14"/>
  <c r="K374" i="14"/>
  <c r="J376" i="14"/>
  <c r="K376" i="14"/>
  <c r="J377" i="14"/>
  <c r="K377" i="14"/>
  <c r="J387" i="14"/>
  <c r="K387" i="14"/>
  <c r="J378" i="14"/>
  <c r="K378" i="14"/>
  <c r="J381" i="14"/>
  <c r="K381" i="14"/>
  <c r="J382" i="14"/>
  <c r="K382" i="14"/>
  <c r="J383" i="14"/>
  <c r="K383" i="14"/>
  <c r="J448" i="14"/>
  <c r="K448" i="14"/>
  <c r="J348" i="14"/>
  <c r="K348" i="14"/>
  <c r="J384" i="14"/>
  <c r="K384" i="14"/>
  <c r="J385" i="14"/>
  <c r="K385" i="14"/>
  <c r="J386" i="14"/>
  <c r="K386" i="14"/>
  <c r="J368" i="14"/>
  <c r="K368" i="14"/>
  <c r="J388" i="14"/>
  <c r="K388" i="14"/>
  <c r="J389" i="14"/>
  <c r="K389" i="14"/>
  <c r="J390" i="14"/>
  <c r="K390" i="14"/>
  <c r="J391" i="14"/>
  <c r="K391" i="14"/>
  <c r="J392" i="14"/>
  <c r="K392" i="14"/>
  <c r="J393" i="14"/>
  <c r="K393" i="14"/>
  <c r="J394" i="14"/>
  <c r="K394" i="14"/>
  <c r="J396" i="14"/>
  <c r="K396" i="14"/>
  <c r="J397" i="14"/>
  <c r="K397" i="14"/>
  <c r="J332" i="14"/>
  <c r="K332" i="14"/>
  <c r="J398" i="14"/>
  <c r="K398" i="14"/>
  <c r="J399" i="14"/>
  <c r="K399" i="14"/>
  <c r="J400" i="14"/>
  <c r="K400" i="14"/>
  <c r="J401" i="14"/>
  <c r="K401" i="14"/>
  <c r="J402" i="14"/>
  <c r="K402" i="14"/>
  <c r="J403" i="14"/>
  <c r="K403" i="14"/>
  <c r="J404" i="14"/>
  <c r="K404" i="14"/>
  <c r="J405" i="14"/>
  <c r="K405" i="14"/>
  <c r="J406" i="14"/>
  <c r="K406" i="14"/>
  <c r="J310" i="14"/>
  <c r="K310" i="14"/>
  <c r="J407" i="14"/>
  <c r="K407" i="14"/>
  <c r="J311" i="14"/>
  <c r="K311" i="14"/>
  <c r="J366" i="14"/>
  <c r="K366" i="14"/>
  <c r="J408" i="14"/>
  <c r="K408" i="14"/>
  <c r="J413" i="14"/>
  <c r="K413" i="14"/>
  <c r="J414" i="14"/>
  <c r="K414" i="14"/>
  <c r="J409" i="14"/>
  <c r="K409" i="14"/>
  <c r="J410" i="14"/>
  <c r="K410" i="14"/>
  <c r="J411" i="14"/>
  <c r="K411" i="14"/>
  <c r="J412" i="14"/>
  <c r="K412" i="14"/>
  <c r="J415" i="14"/>
  <c r="K415" i="14"/>
  <c r="J331" i="14"/>
  <c r="K331" i="14"/>
  <c r="J416" i="14"/>
  <c r="K416" i="14"/>
  <c r="J417" i="14"/>
  <c r="K417" i="14"/>
  <c r="J418" i="14"/>
  <c r="K418" i="14"/>
  <c r="J419" i="14"/>
  <c r="K419" i="14"/>
  <c r="J420" i="14"/>
  <c r="K420" i="14"/>
  <c r="J421" i="14"/>
  <c r="K421" i="14"/>
  <c r="J422" i="14"/>
  <c r="K422" i="14"/>
  <c r="J433" i="14"/>
  <c r="K433" i="14"/>
  <c r="J423" i="14"/>
  <c r="K423" i="14"/>
  <c r="J312" i="14"/>
  <c r="K312" i="14"/>
  <c r="J424" i="14"/>
  <c r="K424" i="14"/>
  <c r="J425" i="14"/>
  <c r="K425" i="14"/>
  <c r="J426" i="14"/>
  <c r="K426" i="14"/>
  <c r="J427" i="14"/>
  <c r="K427" i="14"/>
  <c r="J428" i="14"/>
  <c r="K428" i="14"/>
  <c r="J429" i="14"/>
  <c r="K429" i="14"/>
  <c r="J372" i="14"/>
  <c r="K372" i="14"/>
  <c r="J430" i="14"/>
  <c r="K430" i="14"/>
  <c r="J431" i="14"/>
  <c r="K431" i="14"/>
  <c r="J450" i="14"/>
  <c r="K450" i="14"/>
  <c r="J365" i="14"/>
  <c r="K365" i="14"/>
  <c r="J379" i="14"/>
  <c r="K379" i="14"/>
  <c r="J432" i="14"/>
  <c r="K432" i="14"/>
  <c r="J434" i="14"/>
  <c r="K434" i="14"/>
  <c r="J435" i="14"/>
  <c r="K435" i="14"/>
  <c r="J436" i="14"/>
  <c r="K436" i="14"/>
  <c r="J437" i="14"/>
  <c r="K437" i="14"/>
  <c r="J438" i="14"/>
  <c r="K438" i="14"/>
  <c r="J439" i="14"/>
  <c r="K439" i="14"/>
  <c r="J442" i="14"/>
  <c r="K442" i="14"/>
  <c r="J443" i="14"/>
  <c r="K443" i="14"/>
  <c r="J444" i="14"/>
  <c r="K444" i="14"/>
  <c r="J445" i="14"/>
  <c r="K445" i="14"/>
  <c r="J449" i="14"/>
  <c r="K449" i="14"/>
  <c r="J451" i="14"/>
  <c r="K451" i="14"/>
  <c r="J452" i="14"/>
  <c r="K452" i="14"/>
  <c r="J453" i="14"/>
  <c r="K453" i="14"/>
  <c r="J313" i="14"/>
  <c r="K313" i="14"/>
  <c r="J349" i="14"/>
  <c r="K349" i="14"/>
  <c r="J457" i="14"/>
  <c r="K457" i="14"/>
  <c r="J458" i="14"/>
  <c r="K458" i="14"/>
  <c r="J459" i="14"/>
  <c r="K459" i="14"/>
  <c r="J464" i="14"/>
  <c r="K464" i="14"/>
  <c r="J320" i="14"/>
  <c r="K320" i="14"/>
  <c r="J441" i="14"/>
  <c r="K441" i="14"/>
  <c r="J447" i="14"/>
  <c r="K447" i="14"/>
  <c r="J455" i="14"/>
  <c r="K455" i="14"/>
  <c r="J462" i="14"/>
  <c r="K462" i="14"/>
  <c r="J463" i="14"/>
  <c r="K463" i="14"/>
  <c r="J465" i="14"/>
  <c r="K465" i="14"/>
  <c r="J469" i="14"/>
  <c r="K469" i="14"/>
  <c r="J471" i="14"/>
  <c r="K471" i="14"/>
  <c r="J472" i="14"/>
  <c r="K472" i="14"/>
  <c r="J473" i="14"/>
  <c r="K473" i="14"/>
  <c r="J470" i="14"/>
  <c r="K470" i="14"/>
  <c r="J474" i="14"/>
  <c r="K474" i="14"/>
  <c r="J478" i="14"/>
  <c r="K478" i="14"/>
  <c r="J480" i="14"/>
  <c r="K480" i="14"/>
  <c r="J535" i="14"/>
  <c r="K535" i="14"/>
  <c r="J481" i="14"/>
  <c r="K481" i="14"/>
  <c r="J482" i="14"/>
  <c r="K482" i="14"/>
  <c r="J483" i="14"/>
  <c r="K483" i="14"/>
  <c r="J484" i="14"/>
  <c r="K484" i="14"/>
  <c r="J479" i="14"/>
  <c r="K479" i="14"/>
  <c r="J485" i="14"/>
  <c r="K485" i="14"/>
  <c r="J508" i="14"/>
  <c r="K508" i="14"/>
  <c r="J509" i="14"/>
  <c r="K509" i="14"/>
  <c r="J486" i="14"/>
  <c r="K486" i="14"/>
  <c r="J487" i="14"/>
  <c r="K487" i="14"/>
  <c r="J488" i="14"/>
  <c r="K488" i="14"/>
  <c r="J489" i="14"/>
  <c r="K489" i="14"/>
  <c r="J490" i="14"/>
  <c r="K490" i="14"/>
  <c r="J491" i="14"/>
  <c r="K491" i="14"/>
  <c r="J477" i="14"/>
  <c r="K477" i="14"/>
  <c r="J492" i="14"/>
  <c r="K492" i="14"/>
  <c r="J493" i="14"/>
  <c r="K493" i="14"/>
  <c r="J494" i="14"/>
  <c r="K494" i="14"/>
  <c r="J496" i="14"/>
  <c r="K496" i="14"/>
  <c r="J497" i="14"/>
  <c r="K497" i="14"/>
  <c r="J498" i="14"/>
  <c r="K498" i="14"/>
  <c r="J499" i="14"/>
  <c r="K499" i="14"/>
  <c r="J495" i="14"/>
  <c r="K495" i="14"/>
  <c r="J500" i="14"/>
  <c r="K500" i="14"/>
  <c r="J501" i="14"/>
  <c r="K501" i="14"/>
  <c r="J502" i="14"/>
  <c r="K502" i="14"/>
  <c r="J503" i="14"/>
  <c r="K503" i="14"/>
  <c r="J504" i="14"/>
  <c r="K504" i="14"/>
  <c r="J505" i="14"/>
  <c r="K505" i="14"/>
  <c r="J506" i="14"/>
  <c r="K506" i="14"/>
  <c r="J507" i="14"/>
  <c r="K507" i="14"/>
  <c r="J510" i="14"/>
  <c r="K510" i="14"/>
  <c r="J511" i="14"/>
  <c r="K511" i="14"/>
  <c r="J512" i="14"/>
  <c r="K512" i="14"/>
  <c r="J513" i="14"/>
  <c r="K513" i="14"/>
  <c r="J475" i="14"/>
  <c r="K475" i="14"/>
  <c r="J476" i="14"/>
  <c r="K476" i="14"/>
  <c r="J514" i="14"/>
  <c r="K514" i="14"/>
  <c r="J515" i="14"/>
  <c r="K515" i="14"/>
  <c r="J516" i="14"/>
  <c r="K516" i="14"/>
  <c r="J517" i="14"/>
  <c r="K517" i="14"/>
  <c r="J518" i="14"/>
  <c r="K518" i="14"/>
  <c r="J519" i="14"/>
  <c r="K519" i="14"/>
  <c r="J520" i="14"/>
  <c r="K520" i="14"/>
  <c r="J521" i="14"/>
  <c r="K521" i="14"/>
  <c r="J523" i="14"/>
  <c r="K523" i="14"/>
  <c r="J524" i="14"/>
  <c r="K524" i="14"/>
  <c r="J525" i="14"/>
  <c r="K525" i="14"/>
  <c r="J526" i="14"/>
  <c r="K526" i="14"/>
  <c r="J527" i="14"/>
  <c r="K527" i="14"/>
  <c r="D11" i="4"/>
  <c r="B4" i="10"/>
  <c r="G4" i="10" s="1"/>
  <c r="H4" i="10" s="1"/>
  <c r="B5" i="10"/>
  <c r="G5" i="10" s="1"/>
  <c r="H5" i="10" s="1"/>
  <c r="B15" i="10"/>
  <c r="B17" i="10"/>
  <c r="G17" i="10" s="1"/>
  <c r="H17" i="10" s="1"/>
  <c r="D17" i="10" s="1"/>
  <c r="B18" i="10"/>
  <c r="G18" i="10" s="1"/>
  <c r="H18" i="10" s="1"/>
  <c r="D18" i="10" s="1"/>
  <c r="K62" i="10"/>
  <c r="K64" i="10"/>
  <c r="K65" i="10"/>
  <c r="B51" i="10"/>
  <c r="G51" i="10" s="1"/>
  <c r="B52" i="10"/>
  <c r="G52" i="10" s="1"/>
  <c r="B6" i="10"/>
  <c r="G6" i="10" s="1"/>
  <c r="B20" i="10"/>
  <c r="G20" i="10" s="1"/>
  <c r="H20" i="10" s="1"/>
  <c r="D20" i="10" s="1"/>
  <c r="B22" i="10"/>
  <c r="G22" i="10" s="1"/>
  <c r="H22" i="10" s="1"/>
  <c r="D22" i="10" s="1"/>
  <c r="B23" i="10"/>
  <c r="G23" i="10" s="1"/>
  <c r="H23" i="10" s="1"/>
  <c r="D23" i="10" s="1"/>
  <c r="B28" i="10"/>
  <c r="G28" i="10" s="1"/>
  <c r="B9" i="10"/>
  <c r="G9" i="10" s="1"/>
  <c r="H9" i="10" s="1"/>
  <c r="D9" i="10" s="1"/>
  <c r="B8" i="10"/>
  <c r="G8" i="10" s="1"/>
  <c r="H8" i="10" s="1"/>
  <c r="D8" i="10" s="1"/>
  <c r="B7" i="10"/>
  <c r="G7" i="10" s="1"/>
  <c r="H7" i="10" s="1"/>
  <c r="B13" i="10"/>
  <c r="G13" i="10" s="1"/>
  <c r="H13" i="10" s="1"/>
  <c r="P39" i="4"/>
  <c r="P40" i="4"/>
  <c r="P41" i="4"/>
  <c r="P38" i="4"/>
  <c r="B12" i="10"/>
  <c r="G12" i="10" s="1"/>
  <c r="H12" i="10" s="1"/>
  <c r="D12" i="10" s="1"/>
  <c r="G61" i="10"/>
  <c r="B61" i="10" s="1"/>
  <c r="B31" i="10"/>
  <c r="G31" i="10" s="1"/>
  <c r="B32" i="10"/>
  <c r="G32" i="10" s="1"/>
  <c r="B33" i="10"/>
  <c r="G33" i="10" s="1"/>
  <c r="B30" i="10"/>
  <c r="G30" i="10" s="1"/>
  <c r="B11" i="10"/>
  <c r="G11" i="10" s="1"/>
  <c r="H11" i="10" s="1"/>
  <c r="D11" i="10" s="1"/>
  <c r="B10" i="10"/>
  <c r="G10" i="10" s="1"/>
  <c r="H10" i="10" s="1"/>
  <c r="P3" i="4"/>
  <c r="A40" i="2" s="1"/>
  <c r="A5" i="4"/>
  <c r="B60" i="10"/>
  <c r="G60" i="10" s="1"/>
  <c r="B59" i="10"/>
  <c r="G59" i="10" s="1"/>
  <c r="B58" i="10"/>
  <c r="G58" i="10" s="1"/>
  <c r="B57" i="10"/>
  <c r="G57" i="10" s="1"/>
  <c r="B56" i="10"/>
  <c r="G56" i="10" s="1"/>
  <c r="B55" i="10"/>
  <c r="G55" i="10" s="1"/>
  <c r="B54" i="10"/>
  <c r="G54" i="10" s="1"/>
  <c r="B53" i="10"/>
  <c r="G53" i="10" s="1"/>
  <c r="B50" i="10"/>
  <c r="G50" i="10" s="1"/>
  <c r="B48" i="10"/>
  <c r="G48" i="10" s="1"/>
  <c r="B47" i="10"/>
  <c r="G47" i="10" s="1"/>
  <c r="B46" i="10"/>
  <c r="G46" i="10" s="1"/>
  <c r="B45" i="10"/>
  <c r="G45" i="10" s="1"/>
  <c r="B43" i="10"/>
  <c r="G43" i="10" s="1"/>
  <c r="B42" i="10"/>
  <c r="G42" i="10" s="1"/>
  <c r="B41" i="10"/>
  <c r="G41" i="10" s="1"/>
  <c r="B40" i="10"/>
  <c r="G40" i="10" s="1"/>
  <c r="B38" i="10"/>
  <c r="G38" i="10" s="1"/>
  <c r="B37" i="10"/>
  <c r="G37" i="10" s="1"/>
  <c r="B36" i="10"/>
  <c r="G36" i="10" s="1"/>
  <c r="B35" i="10"/>
  <c r="G35" i="10" s="1"/>
  <c r="B27" i="10"/>
  <c r="G27" i="10" s="1"/>
  <c r="B26" i="10"/>
  <c r="G26" i="10" s="1"/>
  <c r="B25" i="10"/>
  <c r="G25" i="10" s="1"/>
  <c r="H14" i="10"/>
  <c r="H61" i="4"/>
  <c r="F61" i="10"/>
  <c r="H61" i="10" s="1"/>
  <c r="D61" i="10" s="1"/>
  <c r="Y1545" i="16"/>
  <c r="Y997" i="16"/>
  <c r="Y1263" i="16"/>
  <c r="H68" i="4"/>
  <c r="Y968" i="16"/>
  <c r="Y1106" i="16"/>
  <c r="H2459" i="16"/>
  <c r="F2321" i="16"/>
  <c r="Y567" i="16"/>
  <c r="D2300" i="16"/>
  <c r="Y1107" i="16"/>
  <c r="Y1628" i="16"/>
  <c r="S1767" i="16"/>
  <c r="S1576" i="16"/>
  <c r="S774" i="16"/>
  <c r="S703" i="16"/>
  <c r="H2462" i="16"/>
  <c r="S1910" i="16"/>
  <c r="S2458" i="16"/>
  <c r="Y947" i="16"/>
  <c r="S1779" i="16"/>
  <c r="Y1528" i="16"/>
  <c r="S810" i="16"/>
  <c r="Y2167" i="16"/>
  <c r="S1250" i="16"/>
  <c r="S1057" i="16"/>
  <c r="S801" i="16"/>
  <c r="Y765" i="16"/>
  <c r="S1620" i="16"/>
  <c r="S1566" i="16"/>
  <c r="S1516" i="16"/>
  <c r="S1094" i="16"/>
  <c r="S1083" i="16"/>
  <c r="Y1064" i="16"/>
  <c r="S1043" i="16"/>
  <c r="S846" i="16"/>
  <c r="S844" i="16"/>
  <c r="S842" i="16"/>
  <c r="S770" i="16"/>
  <c r="S742" i="16"/>
  <c r="S671" i="16"/>
  <c r="Y538" i="16"/>
  <c r="A31" i="2"/>
  <c r="A38" i="2"/>
  <c r="A18" i="2"/>
  <c r="A57" i="2"/>
  <c r="A6" i="2"/>
  <c r="S2415" i="16"/>
  <c r="E2415" i="16"/>
  <c r="S2280" i="16"/>
  <c r="F2280" i="16" s="1"/>
  <c r="S2104" i="16"/>
  <c r="S1970" i="16"/>
  <c r="S1966" i="16"/>
  <c r="S1902" i="16"/>
  <c r="S1787" i="16"/>
  <c r="S1694" i="16"/>
  <c r="S1662" i="16"/>
  <c r="S2438" i="16"/>
  <c r="E2438" i="16" s="1"/>
  <c r="G2375" i="16"/>
  <c r="S2233" i="16"/>
  <c r="S2114" i="16"/>
  <c r="S1998" i="16"/>
  <c r="S1863" i="16"/>
  <c r="S1842" i="16"/>
  <c r="S1840" i="16"/>
  <c r="S1838" i="16"/>
  <c r="S1691" i="16"/>
  <c r="S1682" i="16"/>
  <c r="S1667" i="16"/>
  <c r="Y1667" i="16"/>
  <c r="S1584" i="16"/>
  <c r="S1524" i="16"/>
  <c r="S1506" i="16"/>
  <c r="S1485" i="16"/>
  <c r="S1474" i="16"/>
  <c r="S1446" i="16"/>
  <c r="S1338" i="16"/>
  <c r="S1291" i="16"/>
  <c r="S1119" i="16"/>
  <c r="S1025" i="16"/>
  <c r="S1008" i="16"/>
  <c r="S879" i="16"/>
  <c r="S862" i="16"/>
  <c r="S786" i="16"/>
  <c r="S784" i="16"/>
  <c r="S670" i="16"/>
  <c r="S595" i="16"/>
  <c r="Y595" i="16"/>
  <c r="S591" i="16"/>
  <c r="Y591" i="16"/>
  <c r="S587" i="16"/>
  <c r="S550" i="16"/>
  <c r="Y1524" i="16"/>
  <c r="Y1027" i="16"/>
  <c r="S1176" i="16"/>
  <c r="Y1388" i="16"/>
  <c r="Y1308" i="16"/>
  <c r="S719" i="16"/>
  <c r="Y1827" i="16"/>
  <c r="Y1142" i="16"/>
  <c r="Y1114" i="16"/>
  <c r="Y1086" i="16"/>
  <c r="Y578" i="16"/>
  <c r="Y571" i="16"/>
  <c r="Y879" i="16"/>
  <c r="Y722" i="16"/>
  <c r="Y718" i="16"/>
  <c r="Y663" i="16"/>
  <c r="H2394" i="16"/>
  <c r="G2376" i="16"/>
  <c r="S2373" i="16"/>
  <c r="D2373" i="16" s="1"/>
  <c r="D2351" i="16"/>
  <c r="S2056" i="16"/>
  <c r="S1889" i="16"/>
  <c r="Y1330" i="16"/>
  <c r="S1227" i="16"/>
  <c r="S1193" i="16"/>
  <c r="S1076" i="16"/>
  <c r="S790" i="16"/>
  <c r="S763" i="16"/>
  <c r="Y2397" i="16"/>
  <c r="S2494" i="16"/>
  <c r="S2392" i="16"/>
  <c r="S2368" i="16"/>
  <c r="S2358" i="16"/>
  <c r="S2349" i="16"/>
  <c r="S2333" i="16"/>
  <c r="S2292" i="16"/>
  <c r="D2292" i="16" s="1"/>
  <c r="S1671" i="16"/>
  <c r="S1632" i="16"/>
  <c r="S1522" i="16"/>
  <c r="S1775" i="16"/>
  <c r="Y1775" i="16"/>
  <c r="S1772" i="16"/>
  <c r="S1759" i="16"/>
  <c r="J2462" i="16"/>
  <c r="S2145" i="16"/>
  <c r="S2118" i="16"/>
  <c r="S2108" i="16"/>
  <c r="S2106" i="16"/>
  <c r="S2092" i="16"/>
  <c r="S1994" i="16"/>
  <c r="S1848" i="16"/>
  <c r="S1823" i="16"/>
  <c r="S1815" i="16"/>
  <c r="S1791" i="16"/>
  <c r="S1784" i="16"/>
  <c r="S1052" i="16"/>
  <c r="S884" i="16"/>
  <c r="S811" i="16"/>
  <c r="S738" i="16"/>
  <c r="S690" i="16"/>
  <c r="Y690" i="16"/>
  <c r="U1987" i="16"/>
  <c r="Y2155" i="16"/>
  <c r="J2430" i="16"/>
  <c r="S2031" i="16"/>
  <c r="S1991" i="16"/>
  <c r="S1871" i="16"/>
  <c r="Y1793" i="16"/>
  <c r="U1069" i="16"/>
  <c r="Y977" i="16"/>
  <c r="S952" i="16"/>
  <c r="S950" i="16"/>
  <c r="S2254" i="16"/>
  <c r="S1329" i="16"/>
  <c r="S1238" i="16"/>
  <c r="S1161" i="16"/>
  <c r="Y1161" i="16"/>
  <c r="S1075" i="16"/>
  <c r="S1044" i="16"/>
  <c r="S965" i="16"/>
  <c r="S957" i="16"/>
  <c r="S877" i="16"/>
  <c r="Y767" i="16"/>
  <c r="S687" i="16"/>
  <c r="S596" i="16"/>
  <c r="S590" i="16"/>
  <c r="S2167" i="16"/>
  <c r="S1859" i="16"/>
  <c r="S1763" i="16"/>
  <c r="S1320" i="16"/>
  <c r="Y1312" i="16"/>
  <c r="Y2300" i="16"/>
  <c r="Y1180" i="16"/>
  <c r="Y1309" i="16"/>
  <c r="Y572" i="16"/>
  <c r="Y1795" i="16"/>
  <c r="Y1585" i="16"/>
  <c r="Y1552" i="16"/>
  <c r="Y1094" i="16"/>
  <c r="Y898" i="16"/>
  <c r="Y700" i="16"/>
  <c r="Y559" i="16"/>
  <c r="Y741" i="16"/>
  <c r="Y546" i="16"/>
  <c r="S2491" i="16"/>
  <c r="J2346" i="16"/>
  <c r="I2346" i="16"/>
  <c r="F2312" i="16"/>
  <c r="I2312" i="16"/>
  <c r="D2312" i="16"/>
  <c r="S2151" i="16"/>
  <c r="S2023" i="16"/>
  <c r="S1940" i="16"/>
  <c r="Y1940" i="16"/>
  <c r="S1778" i="16"/>
  <c r="S1704" i="16"/>
  <c r="S1318" i="16"/>
  <c r="Y1310" i="16"/>
  <c r="S1189" i="16"/>
  <c r="S1181" i="16"/>
  <c r="S1126" i="16"/>
  <c r="Y1126" i="16"/>
  <c r="S932" i="16"/>
  <c r="Y927" i="16"/>
  <c r="Y909" i="16"/>
  <c r="S892" i="16"/>
  <c r="S857" i="16"/>
  <c r="S813" i="16"/>
  <c r="S777" i="16"/>
  <c r="S740" i="16"/>
  <c r="S674" i="16"/>
  <c r="Y674" i="16"/>
  <c r="A53" i="2"/>
  <c r="A15" i="2"/>
  <c r="B24" i="4"/>
  <c r="A16" i="2"/>
  <c r="A29" i="2"/>
  <c r="A26" i="2"/>
  <c r="A39" i="2"/>
  <c r="Y848" i="16"/>
  <c r="Y1268" i="16"/>
  <c r="Y2492" i="16"/>
  <c r="Y1359" i="16"/>
  <c r="G2462" i="16"/>
  <c r="S2456" i="16"/>
  <c r="S2360" i="16"/>
  <c r="S2325" i="16"/>
  <c r="S2159" i="16"/>
  <c r="S1608" i="16"/>
  <c r="S1534" i="16"/>
  <c r="S1512" i="16"/>
  <c r="Y1512" i="16"/>
  <c r="S1413" i="16"/>
  <c r="S1102" i="16"/>
  <c r="Y1102" i="16"/>
  <c r="Y1091" i="16"/>
  <c r="S1077" i="16"/>
  <c r="S999" i="16"/>
  <c r="S2276" i="16"/>
  <c r="S2064" i="16"/>
  <c r="S2029" i="16"/>
  <c r="S2019" i="16"/>
  <c r="S1968" i="16"/>
  <c r="S1887" i="16"/>
  <c r="S1675" i="16"/>
  <c r="S1577" i="16"/>
  <c r="S1550" i="16"/>
  <c r="S1347" i="16"/>
  <c r="S1282" i="16"/>
  <c r="S1277" i="16"/>
  <c r="U1240" i="16"/>
  <c r="S1180" i="16"/>
  <c r="S843" i="16"/>
  <c r="S643" i="16"/>
  <c r="S572" i="16"/>
  <c r="A4" i="2"/>
  <c r="A52" i="2"/>
  <c r="H2346" i="16"/>
  <c r="A10" i="2"/>
  <c r="A27" i="2"/>
  <c r="A13" i="2"/>
  <c r="A3" i="2"/>
  <c r="A50" i="2"/>
  <c r="Y1954" i="16"/>
  <c r="D2346" i="16"/>
  <c r="Y936" i="16"/>
  <c r="Y867" i="16"/>
  <c r="Y955" i="16"/>
  <c r="S1726" i="16"/>
  <c r="Y1624" i="16"/>
  <c r="S1624" i="16"/>
  <c r="S1504" i="16"/>
  <c r="S1498" i="16"/>
  <c r="S1454" i="16"/>
  <c r="S1419" i="16"/>
  <c r="S1409" i="16"/>
  <c r="S1397" i="16"/>
  <c r="S1095" i="16"/>
  <c r="Y1095" i="16"/>
  <c r="S1009" i="16"/>
  <c r="Y1009" i="16"/>
  <c r="S989" i="16"/>
  <c r="Y989" i="16"/>
  <c r="S964" i="16"/>
  <c r="Y964" i="16"/>
  <c r="S2426" i="16"/>
  <c r="J2426" i="16"/>
  <c r="S2052" i="16"/>
  <c r="S2039" i="16"/>
  <c r="Y1998" i="16"/>
  <c r="S1992" i="16"/>
  <c r="Y1508" i="16"/>
  <c r="S1280" i="16"/>
  <c r="S1231" i="16"/>
  <c r="S1211" i="16"/>
  <c r="S1184" i="16"/>
  <c r="Y1184" i="16"/>
  <c r="S1040" i="16"/>
  <c r="S1012" i="16"/>
  <c r="S1001" i="16"/>
  <c r="S860" i="16"/>
  <c r="S787" i="16"/>
  <c r="S769" i="16"/>
  <c r="S766" i="16"/>
  <c r="S631" i="16"/>
  <c r="Y2330" i="16"/>
  <c r="S2069" i="16"/>
  <c r="Y2019" i="16"/>
  <c r="S1926" i="16"/>
  <c r="S1786" i="16"/>
  <c r="S1652" i="16"/>
  <c r="S1565" i="16"/>
  <c r="S1270" i="16"/>
  <c r="Y1270" i="16"/>
  <c r="S1245" i="16"/>
  <c r="Y1019" i="16"/>
  <c r="S614" i="16"/>
  <c r="S1303" i="16"/>
  <c r="S788" i="16"/>
  <c r="Y745" i="16"/>
  <c r="Y1305" i="16"/>
  <c r="Y1111" i="16"/>
  <c r="Y1052" i="16"/>
  <c r="Y643" i="16"/>
  <c r="Y1971" i="16"/>
  <c r="Y1580" i="16"/>
  <c r="Y1504" i="16"/>
  <c r="Y728" i="16"/>
  <c r="C12" i="3"/>
  <c r="I63" i="10"/>
  <c r="B28" i="3"/>
  <c r="B7" i="3"/>
  <c r="A59" i="2"/>
  <c r="B5" i="3"/>
  <c r="B41" i="4"/>
  <c r="B65" i="4" s="1"/>
  <c r="A48" i="10" s="1"/>
  <c r="B9" i="3"/>
  <c r="I60" i="10"/>
  <c r="I48" i="10"/>
  <c r="I4" i="4"/>
  <c r="B18" i="3"/>
  <c r="A67" i="2"/>
  <c r="I28" i="10"/>
  <c r="B12" i="3"/>
  <c r="J57" i="10"/>
  <c r="J65" i="10"/>
  <c r="C4" i="16"/>
  <c r="S110" i="16"/>
  <c r="S234" i="16"/>
  <c r="S235" i="16"/>
  <c r="S236" i="16"/>
  <c r="S237" i="16"/>
  <c r="S238" i="16"/>
  <c r="S239" i="16"/>
  <c r="S240" i="16"/>
  <c r="S241" i="16"/>
  <c r="S242" i="16"/>
  <c r="S243" i="16"/>
  <c r="S244" i="16"/>
  <c r="S245" i="16"/>
  <c r="S246" i="16"/>
  <c r="S247" i="16"/>
  <c r="S248" i="16"/>
  <c r="S249" i="16"/>
  <c r="S250" i="16"/>
  <c r="S251" i="16"/>
  <c r="S252" i="16"/>
  <c r="S253" i="16"/>
  <c r="S254" i="16"/>
  <c r="S255" i="16"/>
  <c r="S256" i="16"/>
  <c r="S257" i="16"/>
  <c r="S258" i="16"/>
  <c r="S259" i="16"/>
  <c r="S260" i="16"/>
  <c r="S261" i="16"/>
  <c r="S262" i="16"/>
  <c r="S263" i="16"/>
  <c r="S264" i="16"/>
  <c r="S265" i="16"/>
  <c r="S266" i="16"/>
  <c r="S267" i="16"/>
  <c r="S268" i="16"/>
  <c r="S269" i="16"/>
  <c r="S270" i="16"/>
  <c r="S271" i="16"/>
  <c r="S272" i="16"/>
  <c r="S273" i="16"/>
  <c r="S274" i="16"/>
  <c r="S275" i="16"/>
  <c r="S276" i="16"/>
  <c r="S277" i="16"/>
  <c r="S278" i="16"/>
  <c r="S279" i="16"/>
  <c r="S280" i="16"/>
  <c r="S281" i="16"/>
  <c r="S282" i="16"/>
  <c r="S283" i="16"/>
  <c r="S284" i="16"/>
  <c r="S285" i="16"/>
  <c r="S286" i="16"/>
  <c r="S287" i="16"/>
  <c r="S288" i="16"/>
  <c r="S289" i="16"/>
  <c r="S290" i="16"/>
  <c r="S291" i="16"/>
  <c r="S292" i="16"/>
  <c r="S293" i="16"/>
  <c r="S294" i="16"/>
  <c r="S295" i="16"/>
  <c r="S296" i="16"/>
  <c r="S297" i="16"/>
  <c r="S298" i="16"/>
  <c r="S299" i="16"/>
  <c r="S300" i="16"/>
  <c r="S301" i="16"/>
  <c r="S302" i="16"/>
  <c r="S303" i="16"/>
  <c r="S304" i="16"/>
  <c r="S305" i="16"/>
  <c r="S306" i="16"/>
  <c r="S307" i="16"/>
  <c r="S308" i="16"/>
  <c r="S309" i="16"/>
  <c r="S310" i="16"/>
  <c r="S311" i="16"/>
  <c r="S312" i="16"/>
  <c r="S313" i="16"/>
  <c r="S314" i="16"/>
  <c r="S315" i="16"/>
  <c r="S316" i="16"/>
  <c r="S317" i="16"/>
  <c r="S318" i="16"/>
  <c r="S319" i="16"/>
  <c r="S320" i="16"/>
  <c r="S321" i="16"/>
  <c r="S322" i="16"/>
  <c r="S323" i="16"/>
  <c r="S324" i="16"/>
  <c r="S325" i="16"/>
  <c r="S326" i="16"/>
  <c r="S327" i="16"/>
  <c r="S328" i="16"/>
  <c r="S329" i="16"/>
  <c r="S330" i="16"/>
  <c r="S331" i="16"/>
  <c r="S332" i="16"/>
  <c r="S333" i="16"/>
  <c r="S334" i="16"/>
  <c r="S335" i="16"/>
  <c r="S336" i="16"/>
  <c r="S337" i="16"/>
  <c r="S338" i="16"/>
  <c r="S339" i="16"/>
  <c r="S340" i="16"/>
  <c r="S341" i="16"/>
  <c r="S342" i="16"/>
  <c r="S343" i="16"/>
  <c r="S344" i="16"/>
  <c r="S345" i="16"/>
  <c r="S346" i="16"/>
  <c r="S347" i="16"/>
  <c r="S348" i="16"/>
  <c r="S349" i="16"/>
  <c r="S350" i="16"/>
  <c r="S351" i="16"/>
  <c r="S352" i="16"/>
  <c r="S353" i="16"/>
  <c r="S354" i="16"/>
  <c r="S355" i="16"/>
  <c r="S356" i="16"/>
  <c r="S357" i="16"/>
  <c r="S358" i="16"/>
  <c r="S359" i="16"/>
  <c r="S360" i="16"/>
  <c r="S361" i="16"/>
  <c r="S362" i="16"/>
  <c r="S363" i="16"/>
  <c r="S364" i="16"/>
  <c r="S365" i="16"/>
  <c r="S366" i="16"/>
  <c r="S367" i="16"/>
  <c r="S368" i="16"/>
  <c r="S369" i="16"/>
  <c r="S370" i="16"/>
  <c r="S371" i="16"/>
  <c r="S372" i="16"/>
  <c r="S373" i="16"/>
  <c r="S374" i="16"/>
  <c r="S375" i="16"/>
  <c r="S376" i="16"/>
  <c r="S377" i="16"/>
  <c r="S378" i="16"/>
  <c r="S379" i="16"/>
  <c r="S380" i="16"/>
  <c r="S381" i="16"/>
  <c r="S382" i="16"/>
  <c r="S383" i="16"/>
  <c r="S384" i="16"/>
  <c r="S385" i="16"/>
  <c r="S386" i="16"/>
  <c r="S387" i="16"/>
  <c r="S388" i="16"/>
  <c r="S389" i="16"/>
  <c r="S390" i="16"/>
  <c r="S391" i="16"/>
  <c r="S392" i="16"/>
  <c r="S393" i="16"/>
  <c r="S394" i="16"/>
  <c r="S395" i="16"/>
  <c r="S396" i="16"/>
  <c r="S397" i="16"/>
  <c r="S398" i="16"/>
  <c r="S399" i="16"/>
  <c r="S400" i="16"/>
  <c r="S401" i="16"/>
  <c r="S402" i="16"/>
  <c r="S403" i="16"/>
  <c r="S404" i="16"/>
  <c r="S405" i="16"/>
  <c r="S406" i="16"/>
  <c r="S407" i="16"/>
  <c r="S408" i="16"/>
  <c r="S409" i="16"/>
  <c r="S410" i="16"/>
  <c r="S411" i="16"/>
  <c r="S412" i="16"/>
  <c r="S413" i="16"/>
  <c r="S414" i="16"/>
  <c r="S415" i="16"/>
  <c r="S416" i="16"/>
  <c r="S417" i="16"/>
  <c r="S418" i="16"/>
  <c r="S419" i="16"/>
  <c r="S420" i="16"/>
  <c r="S421" i="16"/>
  <c r="S422" i="16"/>
  <c r="S423" i="16"/>
  <c r="S424" i="16"/>
  <c r="S425" i="16"/>
  <c r="S426" i="16"/>
  <c r="S427" i="16"/>
  <c r="S428" i="16"/>
  <c r="S429" i="16"/>
  <c r="S430" i="16"/>
  <c r="S431" i="16"/>
  <c r="S432" i="16"/>
  <c r="S433" i="16"/>
  <c r="S434" i="16"/>
  <c r="S435" i="16"/>
  <c r="S436" i="16"/>
  <c r="S437" i="16"/>
  <c r="S438" i="16"/>
  <c r="S439" i="16"/>
  <c r="S440" i="16"/>
  <c r="S441" i="16"/>
  <c r="S442" i="16"/>
  <c r="S443" i="16"/>
  <c r="S444" i="16"/>
  <c r="S445" i="16"/>
  <c r="S446" i="16"/>
  <c r="S447" i="16"/>
  <c r="S448" i="16"/>
  <c r="S449" i="16"/>
  <c r="S450" i="16"/>
  <c r="S451" i="16"/>
  <c r="S452" i="16"/>
  <c r="S453" i="16"/>
  <c r="S454" i="16"/>
  <c r="S455" i="16"/>
  <c r="S456" i="16"/>
  <c r="S457" i="16"/>
  <c r="S458" i="16"/>
  <c r="S459" i="16"/>
  <c r="S460" i="16"/>
  <c r="S461" i="16"/>
  <c r="S462" i="16"/>
  <c r="S463" i="16"/>
  <c r="S464" i="16"/>
  <c r="S465" i="16"/>
  <c r="S466" i="16"/>
  <c r="S467" i="16"/>
  <c r="S469" i="16"/>
  <c r="S470" i="16"/>
  <c r="S471" i="16"/>
  <c r="S472" i="16"/>
  <c r="S473" i="16"/>
  <c r="S474" i="16"/>
  <c r="S475" i="16"/>
  <c r="S476" i="16"/>
  <c r="S477" i="16"/>
  <c r="S478" i="16"/>
  <c r="S479" i="16"/>
  <c r="S480" i="16"/>
  <c r="S481" i="16"/>
  <c r="S482" i="16"/>
  <c r="S483" i="16"/>
  <c r="S484" i="16"/>
  <c r="S485" i="16"/>
  <c r="S486" i="16"/>
  <c r="S487" i="16"/>
  <c r="S488" i="16"/>
  <c r="S489" i="16"/>
  <c r="S490" i="16"/>
  <c r="S491" i="16"/>
  <c r="S492" i="16"/>
  <c r="S493" i="16"/>
  <c r="S494" i="16"/>
  <c r="S495" i="16"/>
  <c r="S496" i="16"/>
  <c r="S497" i="16"/>
  <c r="S498" i="16"/>
  <c r="S499" i="16"/>
  <c r="S500" i="16"/>
  <c r="S501" i="16"/>
  <c r="S502" i="16"/>
  <c r="S503" i="16"/>
  <c r="S504" i="16"/>
  <c r="S505" i="16"/>
  <c r="S506" i="16"/>
  <c r="S507" i="16"/>
  <c r="S508" i="16"/>
  <c r="S509" i="16"/>
  <c r="S510" i="16"/>
  <c r="S511" i="16"/>
  <c r="S512" i="16"/>
  <c r="S513" i="16"/>
  <c r="S514" i="16"/>
  <c r="S515" i="16"/>
  <c r="S516" i="16"/>
  <c r="S517" i="16"/>
  <c r="S518" i="16"/>
  <c r="S519" i="16"/>
  <c r="S520" i="16"/>
  <c r="S521" i="16"/>
  <c r="S522" i="16"/>
  <c r="S523" i="16"/>
  <c r="S524" i="16"/>
  <c r="S525" i="16"/>
  <c r="S526" i="16"/>
  <c r="S527" i="16"/>
  <c r="S528" i="16"/>
  <c r="S529" i="16"/>
  <c r="S530" i="16"/>
  <c r="S531" i="16"/>
  <c r="S532" i="16"/>
  <c r="S533" i="16"/>
  <c r="S534" i="16"/>
  <c r="S535" i="16"/>
  <c r="U670" i="16"/>
  <c r="U682" i="16"/>
  <c r="U824" i="16"/>
  <c r="U1386" i="16"/>
  <c r="U1493" i="16"/>
  <c r="U1616" i="16"/>
  <c r="U1655" i="16"/>
  <c r="U1674" i="16"/>
  <c r="U1895" i="16"/>
  <c r="D2264" i="16"/>
  <c r="E2264" i="16"/>
  <c r="D2267" i="16"/>
  <c r="E2267" i="16"/>
  <c r="D2269" i="16"/>
  <c r="E2269" i="16"/>
  <c r="D2273" i="16"/>
  <c r="D2276" i="16"/>
  <c r="E2276" i="16"/>
  <c r="D2278" i="16"/>
  <c r="E2278" i="16"/>
  <c r="D2279" i="16"/>
  <c r="E2279" i="16"/>
  <c r="D2280" i="16"/>
  <c r="E2280" i="16"/>
  <c r="D2286" i="16"/>
  <c r="E2286" i="16"/>
  <c r="D2289" i="16"/>
  <c r="E2289" i="16"/>
  <c r="E2292" i="16"/>
  <c r="D2293" i="16"/>
  <c r="E2293" i="16"/>
  <c r="D2294" i="16"/>
  <c r="E2294" i="16"/>
  <c r="D2295" i="16"/>
  <c r="E2295" i="16"/>
  <c r="D2296" i="16"/>
  <c r="E2296" i="16"/>
  <c r="D2297" i="16"/>
  <c r="E2297" i="16"/>
  <c r="E2300" i="16"/>
  <c r="D2301" i="16"/>
  <c r="E2301" i="16"/>
  <c r="D2302" i="16"/>
  <c r="E2302" i="16"/>
  <c r="D2304" i="16"/>
  <c r="E2304" i="16"/>
  <c r="D2305" i="16"/>
  <c r="E2305" i="16"/>
  <c r="D2307" i="16"/>
  <c r="E2307" i="16"/>
  <c r="D2311" i="16"/>
  <c r="E2311" i="16"/>
  <c r="E2312" i="16"/>
  <c r="D2314" i="16"/>
  <c r="E2314" i="16"/>
  <c r="D2317" i="16"/>
  <c r="E2317" i="16"/>
  <c r="D2319" i="16"/>
  <c r="E2319" i="16"/>
  <c r="D2320" i="16"/>
  <c r="E2320" i="16"/>
  <c r="D2321" i="16"/>
  <c r="E2321" i="16"/>
  <c r="D2324" i="16"/>
  <c r="E2324" i="16"/>
  <c r="D2325" i="16"/>
  <c r="E2325" i="16"/>
  <c r="D2327" i="16"/>
  <c r="E2327" i="16"/>
  <c r="D2328" i="16"/>
  <c r="D2330" i="16"/>
  <c r="E2330" i="16"/>
  <c r="D2333" i="16"/>
  <c r="E2333" i="16"/>
  <c r="D2334" i="16"/>
  <c r="E2334" i="16"/>
  <c r="D2335" i="16"/>
  <c r="E2335" i="16"/>
  <c r="D2339" i="16"/>
  <c r="E2339" i="16"/>
  <c r="D2343" i="16"/>
  <c r="E2343" i="16"/>
  <c r="D2344" i="16"/>
  <c r="E2344" i="16"/>
  <c r="D2345" i="16"/>
  <c r="E2345" i="16"/>
  <c r="E2346" i="16"/>
  <c r="D2347" i="16"/>
  <c r="E2347" i="16"/>
  <c r="D2348" i="16"/>
  <c r="E2348" i="16"/>
  <c r="D2349" i="16"/>
  <c r="E2349" i="16"/>
  <c r="D2350" i="16"/>
  <c r="E2350" i="16"/>
  <c r="E2351" i="16"/>
  <c r="D2358" i="16"/>
  <c r="E2358" i="16"/>
  <c r="D2359" i="16"/>
  <c r="E2359" i="16"/>
  <c r="D2360" i="16"/>
  <c r="E2360" i="16"/>
  <c r="D2362" i="16"/>
  <c r="E2362" i="16"/>
  <c r="D2363" i="16"/>
  <c r="E2363" i="16"/>
  <c r="D2365" i="16"/>
  <c r="E2365" i="16"/>
  <c r="D2367" i="16"/>
  <c r="E2367" i="16"/>
  <c r="D2368" i="16"/>
  <c r="E2368" i="16"/>
  <c r="D2369" i="16"/>
  <c r="E2369" i="16"/>
  <c r="E2373" i="16"/>
  <c r="D2375" i="16"/>
  <c r="E2375" i="16"/>
  <c r="D2376" i="16"/>
  <c r="E2376" i="16"/>
  <c r="D2377" i="16"/>
  <c r="E2377" i="16"/>
  <c r="D2379" i="16"/>
  <c r="E2379" i="16"/>
  <c r="D2381" i="16"/>
  <c r="E2381" i="16"/>
  <c r="D2383" i="16"/>
  <c r="E2383" i="16"/>
  <c r="D2385" i="16"/>
  <c r="E2385" i="16"/>
  <c r="D2389" i="16"/>
  <c r="E2389" i="16"/>
  <c r="D2391" i="16"/>
  <c r="E2391" i="16"/>
  <c r="D2392" i="16"/>
  <c r="E2392" i="16"/>
  <c r="E2393" i="16"/>
  <c r="D2394" i="16"/>
  <c r="E2394" i="16"/>
  <c r="D2395" i="16"/>
  <c r="E2395" i="16"/>
  <c r="D2397" i="16"/>
  <c r="E2397" i="16"/>
  <c r="D2398" i="16"/>
  <c r="E2398" i="16"/>
  <c r="D2401" i="16"/>
  <c r="E2401" i="16"/>
  <c r="D2403" i="16"/>
  <c r="E2403" i="16"/>
  <c r="D2405" i="16"/>
  <c r="E2405" i="16"/>
  <c r="D2407" i="16"/>
  <c r="E2407" i="16"/>
  <c r="D2408" i="16"/>
  <c r="E2408" i="16"/>
  <c r="E2409" i="16"/>
  <c r="U2409" i="16" s="1"/>
  <c r="D2410" i="16"/>
  <c r="E2410" i="16"/>
  <c r="D2411" i="16"/>
  <c r="E2411" i="16"/>
  <c r="D2415" i="16"/>
  <c r="D2416" i="16"/>
  <c r="E2416" i="16"/>
  <c r="D2420" i="16"/>
  <c r="D2423" i="16"/>
  <c r="E2423" i="16"/>
  <c r="D2425" i="16"/>
  <c r="E2425" i="16"/>
  <c r="D2426" i="16"/>
  <c r="E2426" i="16"/>
  <c r="D2430" i="16"/>
  <c r="E2430" i="16"/>
  <c r="D2433" i="16"/>
  <c r="E2433" i="16"/>
  <c r="D2434" i="16"/>
  <c r="E2434" i="16"/>
  <c r="D2435" i="16"/>
  <c r="D2437" i="16"/>
  <c r="E2437" i="16"/>
  <c r="D2438" i="16"/>
  <c r="U2438" i="16" s="1"/>
  <c r="D2441" i="16"/>
  <c r="E2441" i="16"/>
  <c r="D2442" i="16"/>
  <c r="E2442" i="16"/>
  <c r="E2445" i="16"/>
  <c r="D2448" i="16"/>
  <c r="E2448" i="16"/>
  <c r="D2450" i="16"/>
  <c r="E2450" i="16"/>
  <c r="D2452" i="16"/>
  <c r="D2456" i="16"/>
  <c r="E2456" i="16"/>
  <c r="D2458" i="16"/>
  <c r="E2458" i="16"/>
  <c r="D2459" i="16"/>
  <c r="E2459" i="16"/>
  <c r="D2462" i="16"/>
  <c r="E2462" i="16"/>
  <c r="D2465" i="16"/>
  <c r="E2465" i="16"/>
  <c r="D2466" i="16"/>
  <c r="E2466" i="16"/>
  <c r="D2467" i="16"/>
  <c r="E2467" i="16"/>
  <c r="D2468" i="16"/>
  <c r="E2468" i="16"/>
  <c r="D2469" i="16"/>
  <c r="D2470" i="16"/>
  <c r="E2470" i="16"/>
  <c r="D2472" i="16"/>
  <c r="E2472" i="16"/>
  <c r="D2474" i="16"/>
  <c r="E2474" i="16"/>
  <c r="D2477" i="16"/>
  <c r="E2477" i="16"/>
  <c r="D2480" i="16"/>
  <c r="E2480" i="16"/>
  <c r="D2481" i="16"/>
  <c r="E2481" i="16"/>
  <c r="D2484" i="16"/>
  <c r="E2484" i="16"/>
  <c r="D2485" i="16"/>
  <c r="E2485" i="16"/>
  <c r="D2488" i="16"/>
  <c r="E2488" i="16"/>
  <c r="D2490" i="16"/>
  <c r="E2490" i="16"/>
  <c r="D2491" i="16"/>
  <c r="E2491" i="16"/>
  <c r="D2492" i="16"/>
  <c r="E2492" i="16"/>
  <c r="D2494" i="16"/>
  <c r="E2494" i="16"/>
  <c r="D2495" i="16"/>
  <c r="E2495" i="16"/>
  <c r="D2497" i="16"/>
  <c r="E2497" i="16"/>
  <c r="D2498" i="16"/>
  <c r="E2498" i="16"/>
  <c r="D2500" i="16"/>
  <c r="E2500" i="16"/>
  <c r="D2502" i="16"/>
  <c r="E2502" i="16"/>
  <c r="D2503" i="16"/>
  <c r="E2503" i="16"/>
  <c r="B4" i="14"/>
  <c r="I8" i="10"/>
  <c r="B8" i="3"/>
  <c r="B24" i="3"/>
  <c r="B19" i="4"/>
  <c r="I61" i="10"/>
  <c r="D1" i="10"/>
  <c r="J18" i="10"/>
  <c r="I38" i="10"/>
  <c r="I10" i="10"/>
  <c r="C10" i="10" s="1"/>
  <c r="I35" i="10"/>
  <c r="G4" i="14"/>
  <c r="C8" i="3"/>
  <c r="J4" i="16"/>
  <c r="A1" i="14"/>
  <c r="B3" i="10"/>
  <c r="C4" i="14"/>
  <c r="K4" i="16"/>
  <c r="B26" i="4"/>
  <c r="C18" i="3"/>
  <c r="B31" i="3"/>
  <c r="B15" i="3"/>
  <c r="I57" i="10"/>
  <c r="A58" i="2"/>
  <c r="I13" i="10"/>
  <c r="I65" i="10"/>
  <c r="C22" i="3"/>
  <c r="A1" i="11"/>
  <c r="C3" i="10"/>
  <c r="D3" i="10"/>
  <c r="C19" i="3"/>
  <c r="I11" i="10"/>
  <c r="J62" i="10"/>
  <c r="G25" i="4"/>
  <c r="A60" i="2"/>
  <c r="B25" i="4"/>
  <c r="A14" i="10" s="1"/>
  <c r="I62" i="10"/>
  <c r="I53" i="10"/>
  <c r="B44" i="1"/>
  <c r="B28" i="4"/>
  <c r="J59" i="10"/>
  <c r="B26" i="3"/>
  <c r="B16" i="3"/>
  <c r="A4" i="16"/>
  <c r="C13" i="3"/>
  <c r="J63" i="10"/>
  <c r="B17" i="3"/>
  <c r="J31" i="10"/>
  <c r="B14" i="4"/>
  <c r="J32" i="10"/>
  <c r="B1001" i="11"/>
  <c r="C24" i="3"/>
  <c r="J58" i="10"/>
  <c r="I46" i="10"/>
  <c r="I47" i="10"/>
  <c r="I7" i="10"/>
  <c r="J33" i="10"/>
  <c r="J38" i="10"/>
  <c r="J54" i="10"/>
  <c r="B31" i="4"/>
  <c r="A19" i="10" s="1"/>
  <c r="A77" i="2"/>
  <c r="B16" i="4"/>
  <c r="A8" i="10" s="1"/>
  <c r="I32" i="10"/>
  <c r="J28" i="10"/>
  <c r="G4" i="16"/>
  <c r="B10" i="4"/>
  <c r="A6" i="10" s="1"/>
  <c r="D2" i="4"/>
  <c r="I4" i="14"/>
  <c r="J43" i="10"/>
  <c r="J41" i="10"/>
  <c r="J35" i="10"/>
  <c r="A62" i="2"/>
  <c r="A56" i="2"/>
  <c r="I31" i="10"/>
  <c r="A76" i="2"/>
  <c r="I21" i="10"/>
  <c r="B13" i="3"/>
  <c r="A79" i="2"/>
  <c r="B9" i="4"/>
  <c r="A5" i="10" s="1"/>
  <c r="B6" i="3"/>
  <c r="B4" i="16"/>
  <c r="A65" i="2"/>
  <c r="B10" i="3"/>
  <c r="D5" i="11"/>
  <c r="D25" i="4"/>
  <c r="D68" i="4" s="1"/>
  <c r="C5" i="3"/>
  <c r="B19" i="3"/>
  <c r="J13" i="10"/>
  <c r="J8" i="10"/>
  <c r="I51" i="10"/>
  <c r="D4" i="14"/>
  <c r="C11" i="3"/>
  <c r="I50" i="10"/>
  <c r="J6" i="10"/>
  <c r="I40" i="10"/>
  <c r="J64" i="10"/>
  <c r="C31" i="3"/>
  <c r="B29" i="3"/>
  <c r="J50" i="10"/>
  <c r="J9" i="10"/>
  <c r="A61" i="2"/>
  <c r="I45" i="10"/>
  <c r="I52" i="10"/>
  <c r="C2" i="3"/>
  <c r="J15" i="10"/>
  <c r="A1" i="10"/>
  <c r="B3" i="3"/>
  <c r="C14" i="3"/>
  <c r="J25" i="10"/>
  <c r="I4" i="16"/>
  <c r="C6" i="3"/>
  <c r="I56" i="10"/>
  <c r="B2" i="3"/>
  <c r="F2358" i="16"/>
  <c r="I2497" i="16"/>
  <c r="F2377" i="16"/>
  <c r="I2377" i="16"/>
  <c r="J2377" i="16"/>
  <c r="G2377" i="16"/>
  <c r="I2458" i="16"/>
  <c r="I2385" i="16"/>
  <c r="F2385" i="16"/>
  <c r="H2385" i="16"/>
  <c r="J2385" i="16"/>
  <c r="H2466" i="16"/>
  <c r="J2333" i="16"/>
  <c r="F2339" i="16"/>
  <c r="H2362" i="16"/>
  <c r="J2358" i="16"/>
  <c r="H2368" i="16"/>
  <c r="I2368" i="16"/>
  <c r="I2420" i="16"/>
  <c r="J2452" i="16"/>
  <c r="F2452" i="16"/>
  <c r="I2452" i="16"/>
  <c r="H2452" i="16"/>
  <c r="J2373" i="16"/>
  <c r="F2373" i="16"/>
  <c r="I2466" i="16"/>
  <c r="G2362" i="16"/>
  <c r="F2450" i="16"/>
  <c r="H2450" i="16"/>
  <c r="J2450" i="16"/>
  <c r="I2450" i="16"/>
  <c r="G2450" i="16"/>
  <c r="F2494" i="16"/>
  <c r="J2383" i="16"/>
  <c r="F2442" i="16"/>
  <c r="G2442" i="16"/>
  <c r="H2442" i="16"/>
  <c r="J2442" i="16"/>
  <c r="I2442" i="16"/>
  <c r="J2491" i="16"/>
  <c r="F2426" i="16"/>
  <c r="J2345" i="16"/>
  <c r="G2345" i="16"/>
  <c r="F2345" i="16"/>
  <c r="F2325" i="16"/>
  <c r="J2344" i="16"/>
  <c r="G2344" i="16"/>
  <c r="I2344" i="16"/>
  <c r="F2344" i="16"/>
  <c r="H2344" i="16"/>
  <c r="J2389" i="16"/>
  <c r="F2389" i="16"/>
  <c r="H2389" i="16"/>
  <c r="I2334" i="16"/>
  <c r="F2334" i="16"/>
  <c r="G2334" i="16"/>
  <c r="J2334" i="16"/>
  <c r="H2334" i="16"/>
  <c r="I2330" i="16"/>
  <c r="F2330" i="16"/>
  <c r="J2330" i="16"/>
  <c r="G2324" i="16"/>
  <c r="H2324" i="16"/>
  <c r="S1145" i="16"/>
  <c r="S1500" i="16"/>
  <c r="S911" i="16"/>
  <c r="S691" i="16"/>
  <c r="S647" i="16"/>
  <c r="G2346" i="16"/>
  <c r="Y967" i="16"/>
  <c r="G2300" i="16"/>
  <c r="Y1733" i="16"/>
  <c r="Y1693" i="16"/>
  <c r="Y2333" i="16"/>
  <c r="Y2248" i="16"/>
  <c r="Y2217" i="16"/>
  <c r="Y2215" i="16"/>
  <c r="Y2203" i="16"/>
  <c r="Y2072" i="16"/>
  <c r="Y1997" i="16"/>
  <c r="Y1893" i="16"/>
  <c r="Y1869" i="16"/>
  <c r="Y1751" i="16"/>
  <c r="Y1677" i="16"/>
  <c r="Y1588" i="16"/>
  <c r="Y1453" i="16"/>
  <c r="Y1439" i="16"/>
  <c r="Y1407" i="16"/>
  <c r="Y1387" i="16"/>
  <c r="S1381" i="16"/>
  <c r="Y1347" i="16"/>
  <c r="Y1020" i="16"/>
  <c r="Y904" i="16"/>
  <c r="Y832" i="16"/>
  <c r="Y547" i="16"/>
  <c r="Y468" i="16"/>
  <c r="Y2229" i="16"/>
  <c r="Y2209" i="16"/>
  <c r="Y2184" i="16"/>
  <c r="Y2011" i="16"/>
  <c r="Y1979" i="16"/>
  <c r="Y1977" i="16"/>
  <c r="Y1964" i="16"/>
  <c r="Y1895" i="16"/>
  <c r="Y1887" i="16"/>
  <c r="Y1873" i="16"/>
  <c r="Y1813" i="16"/>
  <c r="Y1807" i="16"/>
  <c r="Y1753" i="16"/>
  <c r="Y1516" i="16"/>
  <c r="Y1483" i="16"/>
  <c r="Y1445" i="16"/>
  <c r="Y1200" i="16"/>
  <c r="Y1151" i="16"/>
  <c r="Y1143" i="16"/>
  <c r="Y1139" i="16"/>
  <c r="Y1099" i="16"/>
  <c r="Y1087" i="16"/>
  <c r="Y679" i="16"/>
  <c r="Y568" i="16"/>
  <c r="Y1671" i="16"/>
  <c r="Y1560" i="16"/>
  <c r="Y1479" i="16"/>
  <c r="Y1455" i="16"/>
  <c r="Y1449" i="16"/>
  <c r="Y1348" i="16"/>
  <c r="Y1245" i="16"/>
  <c r="Y1189" i="16"/>
  <c r="Y1172" i="16"/>
  <c r="Y1103" i="16"/>
  <c r="Y1085" i="16"/>
  <c r="Y1060" i="16"/>
  <c r="Y1025" i="16"/>
  <c r="Y872" i="16"/>
  <c r="Y863" i="16"/>
  <c r="Y809" i="16"/>
  <c r="Y768" i="16"/>
  <c r="Y644" i="16"/>
  <c r="Y596" i="16"/>
  <c r="Y564" i="16"/>
  <c r="Y541" i="16"/>
  <c r="J2276" i="16"/>
  <c r="G2276" i="16"/>
  <c r="I2276" i="16"/>
  <c r="I2484" i="16"/>
  <c r="H2484" i="16"/>
  <c r="J2484" i="16"/>
  <c r="F2484" i="16"/>
  <c r="G2467" i="16"/>
  <c r="H2467" i="16"/>
  <c r="I2467" i="16"/>
  <c r="J2467" i="16"/>
  <c r="J2465" i="16"/>
  <c r="S2463" i="16"/>
  <c r="D2463" i="16"/>
  <c r="J2416" i="16"/>
  <c r="I2416" i="16"/>
  <c r="S2412" i="16"/>
  <c r="E2412" i="16"/>
  <c r="S2406" i="16"/>
  <c r="D2406" i="16" s="1"/>
  <c r="S2402" i="16"/>
  <c r="D2402" i="16"/>
  <c r="S2287" i="16"/>
  <c r="D2287" i="16" s="1"/>
  <c r="S2281" i="16"/>
  <c r="E2281" i="16"/>
  <c r="S2197" i="16"/>
  <c r="S2193" i="16"/>
  <c r="S2191" i="16"/>
  <c r="S2170" i="16"/>
  <c r="S2168" i="16"/>
  <c r="S2166" i="16"/>
  <c r="S2162" i="16"/>
  <c r="S2160" i="16"/>
  <c r="S2158" i="16"/>
  <c r="S2154" i="16"/>
  <c r="S2152" i="16"/>
  <c r="S2150" i="16"/>
  <c r="S2140" i="16"/>
  <c r="S2042" i="16"/>
  <c r="S2040" i="16"/>
  <c r="S2036" i="16"/>
  <c r="S2034" i="16"/>
  <c r="S2026" i="16"/>
  <c r="S2020" i="16"/>
  <c r="S2014" i="16"/>
  <c r="S1951" i="16"/>
  <c r="S1949" i="16"/>
  <c r="S1947" i="16"/>
  <c r="S1943" i="16"/>
  <c r="S1941" i="16"/>
  <c r="S1939" i="16"/>
  <c r="S1937" i="16"/>
  <c r="S1935" i="16"/>
  <c r="S1933" i="16"/>
  <c r="Y1933" i="16"/>
  <c r="S1929" i="16"/>
  <c r="S1925" i="16"/>
  <c r="S1900" i="16"/>
  <c r="S1898" i="16"/>
  <c r="S1896" i="16"/>
  <c r="S1853" i="16"/>
  <c r="S1849" i="16"/>
  <c r="S1839" i="16"/>
  <c r="S1837" i="16"/>
  <c r="S1826" i="16"/>
  <c r="S1799" i="16"/>
  <c r="S1766" i="16"/>
  <c r="S1762" i="16"/>
  <c r="Y1737" i="16"/>
  <c r="S1737" i="16"/>
  <c r="S1710" i="16"/>
  <c r="Y1710" i="16"/>
  <c r="S1689" i="16"/>
  <c r="S1687" i="16"/>
  <c r="S1685" i="16"/>
  <c r="S1683" i="16"/>
  <c r="S1681" i="16"/>
  <c r="Y1681" i="16"/>
  <c r="S1658" i="16"/>
  <c r="Y1658" i="16"/>
  <c r="S1656" i="16"/>
  <c r="S1648" i="16"/>
  <c r="Y1648" i="16"/>
  <c r="S1646" i="16"/>
  <c r="S1617" i="16"/>
  <c r="Y1617" i="16"/>
  <c r="S1613" i="16"/>
  <c r="Y1613" i="16"/>
  <c r="Y1609" i="16"/>
  <c r="S1609" i="16"/>
  <c r="S1605" i="16"/>
  <c r="Y1605" i="16"/>
  <c r="S1593" i="16"/>
  <c r="Y1593" i="16"/>
  <c r="S1589" i="16"/>
  <c r="Y1589" i="16"/>
  <c r="S1572" i="16"/>
  <c r="S1568" i="16"/>
  <c r="Y1568" i="16"/>
  <c r="Y1566" i="16"/>
  <c r="S1562" i="16"/>
  <c r="Y1562" i="16"/>
  <c r="S1459" i="16"/>
  <c r="Y1459" i="16"/>
  <c r="S1405" i="16"/>
  <c r="S1187" i="16"/>
  <c r="Y1187" i="16"/>
  <c r="S1185" i="16"/>
  <c r="Y1185" i="16"/>
  <c r="Y1181" i="16"/>
  <c r="S1179" i="16"/>
  <c r="S1177" i="16"/>
  <c r="S1175" i="16"/>
  <c r="Y1175" i="16"/>
  <c r="S1170" i="16"/>
  <c r="Y1170" i="16"/>
  <c r="S1166" i="16"/>
  <c r="S1162" i="16"/>
  <c r="Y1162" i="16"/>
  <c r="S1160" i="16"/>
  <c r="S1158" i="16"/>
  <c r="Y1158" i="16"/>
  <c r="S1137" i="16"/>
  <c r="S1133" i="16"/>
  <c r="Y1133" i="16"/>
  <c r="Y1129" i="16"/>
  <c r="S1129" i="16"/>
  <c r="Y1572" i="16"/>
  <c r="I2325" i="16"/>
  <c r="Y2463" i="16"/>
  <c r="Y2016" i="16"/>
  <c r="Y1851" i="16"/>
  <c r="Y1743" i="16"/>
  <c r="J2292" i="16"/>
  <c r="J2470" i="16"/>
  <c r="F2470" i="16"/>
  <c r="H2470" i="16"/>
  <c r="I2470" i="16"/>
  <c r="Y2467" i="16"/>
  <c r="Y2465" i="16"/>
  <c r="S2455" i="16"/>
  <c r="D2455" i="16" s="1"/>
  <c r="S2449" i="16"/>
  <c r="D2449" i="16"/>
  <c r="F2449" i="16"/>
  <c r="S2447" i="16"/>
  <c r="E2447" i="16"/>
  <c r="Y2447" i="16"/>
  <c r="S2439" i="16"/>
  <c r="D2439" i="16" s="1"/>
  <c r="Y2437" i="16"/>
  <c r="Y2435" i="16"/>
  <c r="S2427" i="16"/>
  <c r="D2427" i="16" s="1"/>
  <c r="G2425" i="16"/>
  <c r="Y2412" i="16"/>
  <c r="S2390" i="16"/>
  <c r="E2390" i="16"/>
  <c r="I2390" i="16"/>
  <c r="S2386" i="16"/>
  <c r="E2386" i="16" s="1"/>
  <c r="S2384" i="16"/>
  <c r="D2384" i="16"/>
  <c r="S2382" i="16"/>
  <c r="E2382" i="16" s="1"/>
  <c r="Y2382" i="16"/>
  <c r="S2380" i="16"/>
  <c r="D2380" i="16" s="1"/>
  <c r="S2378" i="16"/>
  <c r="E2378" i="16"/>
  <c r="J2378" i="16"/>
  <c r="Y2378" i="16"/>
  <c r="I2376" i="16"/>
  <c r="F2376" i="16"/>
  <c r="J2376" i="16"/>
  <c r="S2374" i="16"/>
  <c r="E2374" i="16"/>
  <c r="Y2374" i="16"/>
  <c r="S2372" i="16"/>
  <c r="D2372" i="16" s="1"/>
  <c r="S2370" i="16"/>
  <c r="D2370" i="16"/>
  <c r="S2356" i="16"/>
  <c r="D2356" i="16" s="1"/>
  <c r="S2354" i="16"/>
  <c r="D2354" i="16"/>
  <c r="S2352" i="16"/>
  <c r="D2352" i="16"/>
  <c r="S2322" i="16"/>
  <c r="E2322" i="16"/>
  <c r="Y2322" i="16"/>
  <c r="I2320" i="16"/>
  <c r="F2320" i="16"/>
  <c r="J2320" i="16"/>
  <c r="S2310" i="16"/>
  <c r="D2310" i="16"/>
  <c r="S2306" i="16"/>
  <c r="D2306" i="16"/>
  <c r="Y2291" i="16"/>
  <c r="S2243" i="16"/>
  <c r="S2241" i="16"/>
  <c r="S2236" i="16"/>
  <c r="S2232" i="16"/>
  <c r="Y2232" i="16"/>
  <c r="Y2197" i="16"/>
  <c r="Y2193" i="16"/>
  <c r="Y2191" i="16"/>
  <c r="Y2189" i="16"/>
  <c r="S2187" i="16"/>
  <c r="Y2187" i="16"/>
  <c r="S2185" i="16"/>
  <c r="S2183" i="16"/>
  <c r="Y2183" i="16"/>
  <c r="S2179" i="16"/>
  <c r="Y2174" i="16"/>
  <c r="Y2172" i="16"/>
  <c r="Y2168" i="16"/>
  <c r="Y2166" i="16"/>
  <c r="Y2164" i="16"/>
  <c r="Y2160" i="16"/>
  <c r="Y2156" i="16"/>
  <c r="Y2152" i="16"/>
  <c r="Y2144" i="16"/>
  <c r="S2135" i="16"/>
  <c r="S2127" i="16"/>
  <c r="S2123" i="16"/>
  <c r="S2119" i="16"/>
  <c r="S2111" i="16"/>
  <c r="S2103" i="16"/>
  <c r="Y2103" i="16"/>
  <c r="Y2085" i="16"/>
  <c r="S2085" i="16"/>
  <c r="S2081" i="16"/>
  <c r="S2057" i="16"/>
  <c r="S2049" i="16"/>
  <c r="Y2040" i="16"/>
  <c r="Y2036" i="16"/>
  <c r="Y2032" i="16"/>
  <c r="Y2028" i="16"/>
  <c r="Y2018" i="16"/>
  <c r="S1982" i="16"/>
  <c r="S1980" i="16"/>
  <c r="Y1947" i="16"/>
  <c r="Y1943" i="16"/>
  <c r="Y1937" i="16"/>
  <c r="Y1929" i="16"/>
  <c r="S1921" i="16"/>
  <c r="Y1921" i="16"/>
  <c r="S1919" i="16"/>
  <c r="S1911" i="16"/>
  <c r="Y1911" i="16"/>
  <c r="S1909" i="16"/>
  <c r="S1905" i="16"/>
  <c r="Y1900" i="16"/>
  <c r="Y1898" i="16"/>
  <c r="Y1896" i="16"/>
  <c r="S1894" i="16"/>
  <c r="S1892" i="16"/>
  <c r="Y1892" i="16"/>
  <c r="S1880" i="16"/>
  <c r="S1878" i="16"/>
  <c r="S1876" i="16"/>
  <c r="Y1876" i="16"/>
  <c r="S1866" i="16"/>
  <c r="Y1866" i="16"/>
  <c r="S1860" i="16"/>
  <c r="Y1841" i="16"/>
  <c r="Y1839" i="16"/>
  <c r="S1833" i="16"/>
  <c r="S1831" i="16"/>
  <c r="S1829" i="16"/>
  <c r="Y1829" i="16"/>
  <c r="Y1824" i="16"/>
  <c r="S1820" i="16"/>
  <c r="S1818" i="16"/>
  <c r="S1816" i="16"/>
  <c r="S1812" i="16"/>
  <c r="S1806" i="16"/>
  <c r="Y1766" i="16"/>
  <c r="Y1764" i="16"/>
  <c r="S1752" i="16"/>
  <c r="Y1752" i="16"/>
  <c r="S1490" i="16"/>
  <c r="S1372" i="16"/>
  <c r="S1370" i="16"/>
  <c r="Y1370" i="16"/>
  <c r="S1368" i="16"/>
  <c r="Y1368" i="16"/>
  <c r="S1366" i="16"/>
  <c r="Y1366" i="16"/>
  <c r="S1364" i="16"/>
  <c r="Y1364" i="16"/>
  <c r="Y1356" i="16"/>
  <c r="S1356" i="16"/>
  <c r="S1354" i="16"/>
  <c r="Y1354" i="16"/>
  <c r="S1257" i="16"/>
  <c r="S1255" i="16"/>
  <c r="Y1255" i="16"/>
  <c r="S1253" i="16"/>
  <c r="S1251" i="16"/>
  <c r="Y1251" i="16"/>
  <c r="S1249" i="16"/>
  <c r="S1228" i="16"/>
  <c r="S1226" i="16"/>
  <c r="S1224" i="16"/>
  <c r="Y1224" i="16"/>
  <c r="S1219" i="16"/>
  <c r="S1209" i="16"/>
  <c r="S1205" i="16"/>
  <c r="S1194" i="16"/>
  <c r="S1190" i="16"/>
  <c r="Y1190" i="16"/>
  <c r="S895" i="16"/>
  <c r="S868" i="16"/>
  <c r="S859" i="16"/>
  <c r="S855" i="16"/>
  <c r="Y855" i="16"/>
  <c r="S853" i="16"/>
  <c r="S849" i="16"/>
  <c r="S847" i="16"/>
  <c r="S839" i="16"/>
  <c r="S822" i="16"/>
  <c r="Y822" i="16"/>
  <c r="S820" i="16"/>
  <c r="S818" i="16"/>
  <c r="S795" i="16"/>
  <c r="S793" i="16"/>
  <c r="S791" i="16"/>
  <c r="Y791" i="16"/>
  <c r="S785" i="16"/>
  <c r="Y785" i="16"/>
  <c r="S783" i="16"/>
  <c r="Y783" i="16"/>
  <c r="S706" i="16"/>
  <c r="S704" i="16"/>
  <c r="S698" i="16"/>
  <c r="S680" i="16"/>
  <c r="S664" i="16"/>
  <c r="S660" i="16"/>
  <c r="S658" i="16"/>
  <c r="S654" i="16"/>
  <c r="Y620" i="16"/>
  <c r="S620" i="16"/>
  <c r="S618" i="16"/>
  <c r="S616" i="16"/>
  <c r="Y616" i="16"/>
  <c r="S556" i="16"/>
  <c r="H2497" i="16"/>
  <c r="J2497" i="16"/>
  <c r="G2497" i="16"/>
  <c r="H2376" i="16"/>
  <c r="Y1905" i="16"/>
  <c r="S1903" i="16"/>
  <c r="S1804" i="16"/>
  <c r="Y1923" i="16"/>
  <c r="Y1814" i="16"/>
  <c r="Y2111" i="16"/>
  <c r="Y849" i="16"/>
  <c r="Y2179" i="16"/>
  <c r="S2053" i="16"/>
  <c r="J2362" i="16"/>
  <c r="F2368" i="16"/>
  <c r="S2493" i="16"/>
  <c r="E2493" i="16" s="1"/>
  <c r="G2470" i="16"/>
  <c r="G2350" i="16"/>
  <c r="I2348" i="16"/>
  <c r="F2348" i="16"/>
  <c r="J2348" i="16"/>
  <c r="Y2343" i="16"/>
  <c r="Y2332" i="16"/>
  <c r="S2332" i="16"/>
  <c r="D2332" i="16"/>
  <c r="I2328" i="16"/>
  <c r="Y2327" i="16"/>
  <c r="Y2310" i="16"/>
  <c r="Y2306" i="16"/>
  <c r="F2300" i="16"/>
  <c r="H2300" i="16"/>
  <c r="S2290" i="16"/>
  <c r="D2290" i="16"/>
  <c r="S2284" i="16"/>
  <c r="D2284" i="16" s="1"/>
  <c r="Y2284" i="16"/>
  <c r="S2282" i="16"/>
  <c r="D2282" i="16"/>
  <c r="S2274" i="16"/>
  <c r="D2274" i="16"/>
  <c r="J2274" i="16"/>
  <c r="S2272" i="16"/>
  <c r="D2272" i="16" s="1"/>
  <c r="S2270" i="16"/>
  <c r="E2270" i="16"/>
  <c r="Y2270" i="16"/>
  <c r="S2266" i="16"/>
  <c r="E2266" i="16"/>
  <c r="Y2236" i="16"/>
  <c r="S2228" i="16"/>
  <c r="Y2228" i="16"/>
  <c r="S2226" i="16"/>
  <c r="Y2226" i="16"/>
  <c r="S2224" i="16"/>
  <c r="Y2224" i="16"/>
  <c r="S2210" i="16"/>
  <c r="S2206" i="16"/>
  <c r="Y2204" i="16"/>
  <c r="S2198" i="16"/>
  <c r="Y2198" i="16"/>
  <c r="Y2175" i="16"/>
  <c r="Y2157" i="16"/>
  <c r="S2155" i="16"/>
  <c r="S2143" i="16"/>
  <c r="Y2135" i="16"/>
  <c r="Y2123" i="16"/>
  <c r="Y2115" i="16"/>
  <c r="Y2099" i="16"/>
  <c r="Y1982" i="16"/>
  <c r="S1976" i="16"/>
  <c r="Y1976" i="16"/>
  <c r="Y1969" i="16"/>
  <c r="S1958" i="16"/>
  <c r="Y1958" i="16"/>
  <c r="S1934" i="16"/>
  <c r="Y1934" i="16"/>
  <c r="S1930" i="16"/>
  <c r="Y1930" i="16"/>
  <c r="Y1917" i="16"/>
  <c r="Y1909" i="16"/>
  <c r="Y1903" i="16"/>
  <c r="Y1884" i="16"/>
  <c r="Y1882" i="16"/>
  <c r="S1692" i="16"/>
  <c r="S1690" i="16"/>
  <c r="S1647" i="16"/>
  <c r="S1612" i="16"/>
  <c r="S1604" i="16"/>
  <c r="Y1600" i="16"/>
  <c r="S1600" i="16"/>
  <c r="S1596" i="16"/>
  <c r="S1470" i="16"/>
  <c r="S973" i="16"/>
  <c r="S937" i="16"/>
  <c r="Y868" i="16"/>
  <c r="Y853" i="16"/>
  <c r="Y845" i="16"/>
  <c r="Y841" i="16"/>
  <c r="S833" i="16"/>
  <c r="S825" i="16"/>
  <c r="S802" i="16"/>
  <c r="Y795" i="16"/>
  <c r="Y793" i="16"/>
  <c r="S771" i="16"/>
  <c r="Y771" i="16"/>
  <c r="S765" i="16"/>
  <c r="S743" i="16"/>
  <c r="Y743" i="16"/>
  <c r="S739" i="16"/>
  <c r="S731" i="16"/>
  <c r="Y704" i="16"/>
  <c r="Y656" i="16"/>
  <c r="Y625" i="16"/>
  <c r="Y579" i="16"/>
  <c r="Y556" i="16"/>
  <c r="Y554" i="16"/>
  <c r="S548" i="16"/>
  <c r="S540" i="16"/>
  <c r="Y540" i="16"/>
  <c r="S536" i="16"/>
  <c r="Y1952" i="16"/>
  <c r="S1466" i="16"/>
  <c r="Y980" i="16"/>
  <c r="Y542" i="16"/>
  <c r="F2490" i="16"/>
  <c r="S1379" i="16"/>
  <c r="Y1379" i="16"/>
  <c r="S1361" i="16"/>
  <c r="Y1297" i="16"/>
  <c r="S1297" i="16"/>
  <c r="S1122" i="16"/>
  <c r="S1015" i="16"/>
  <c r="S993" i="16"/>
  <c r="S987" i="16"/>
  <c r="S969" i="16"/>
  <c r="Y937" i="16"/>
  <c r="S902" i="16"/>
  <c r="S894" i="16"/>
  <c r="Y883" i="16"/>
  <c r="S858" i="16"/>
  <c r="Y829" i="16"/>
  <c r="I2430" i="16"/>
  <c r="Y2350" i="16"/>
  <c r="G2348" i="16"/>
  <c r="Y2320" i="16"/>
  <c r="Y1770" i="16"/>
  <c r="S1732" i="16"/>
  <c r="S1641" i="16"/>
  <c r="S1514" i="16"/>
  <c r="Y1514" i="16"/>
  <c r="Y1228" i="16"/>
  <c r="Y1226" i="16"/>
  <c r="Y1219" i="16"/>
  <c r="Y1215" i="16"/>
  <c r="Y1211" i="16"/>
  <c r="Y1209" i="16"/>
  <c r="Y1205" i="16"/>
  <c r="Y1194" i="16"/>
  <c r="Y1183" i="16"/>
  <c r="Y1137" i="16"/>
  <c r="Y1118" i="16"/>
  <c r="S1092" i="16"/>
  <c r="S938" i="16"/>
  <c r="S934" i="16"/>
  <c r="S582" i="16"/>
  <c r="Y1946" i="16"/>
  <c r="Y1810" i="16"/>
  <c r="Y1806" i="16"/>
  <c r="Y1654" i="16"/>
  <c r="Y1620" i="16"/>
  <c r="Y1612" i="16"/>
  <c r="Y1501" i="16"/>
  <c r="Y747" i="16"/>
  <c r="Y739" i="16"/>
  <c r="Y692" i="16"/>
  <c r="S655" i="16"/>
  <c r="S612" i="16"/>
  <c r="Y612" i="16"/>
  <c r="Y2470" i="16"/>
  <c r="Y2459" i="16"/>
  <c r="Y2349" i="16"/>
  <c r="Y1994" i="16"/>
  <c r="Y1981" i="16"/>
  <c r="Y1963" i="16"/>
  <c r="Y1941" i="16"/>
  <c r="Y1704" i="16"/>
  <c r="Y1564" i="16"/>
  <c r="Y1363" i="16"/>
  <c r="Y1361" i="16"/>
  <c r="Y1259" i="16"/>
  <c r="Y1235" i="16"/>
  <c r="Y1098" i="16"/>
  <c r="Y973" i="16"/>
  <c r="Y971" i="16"/>
  <c r="Y958" i="16"/>
  <c r="Y823" i="16"/>
  <c r="Y775" i="16"/>
  <c r="Y467" i="16"/>
  <c r="Y1823" i="16"/>
  <c r="Y1779" i="16"/>
  <c r="Y1759" i="16"/>
  <c r="Y1698" i="16"/>
  <c r="Y1601" i="16"/>
  <c r="Y1597" i="16"/>
  <c r="Y1502" i="16"/>
  <c r="Y1335" i="16"/>
  <c r="Y1266" i="16"/>
  <c r="Y1123" i="16"/>
  <c r="Y1109" i="16"/>
  <c r="Y1015" i="16"/>
  <c r="Y934" i="16"/>
  <c r="Y852" i="16"/>
  <c r="Y717" i="16"/>
  <c r="Y560" i="16"/>
  <c r="G2397" i="16"/>
  <c r="H2397" i="16"/>
  <c r="H2420" i="16"/>
  <c r="J2397" i="16"/>
  <c r="J2420" i="16"/>
  <c r="I2397" i="16"/>
  <c r="F2397" i="16"/>
  <c r="S2007" i="16"/>
  <c r="Y2007" i="16"/>
  <c r="S1915" i="16"/>
  <c r="S1706" i="16"/>
  <c r="Y1706" i="16"/>
  <c r="S1702" i="16"/>
  <c r="S1700" i="16"/>
  <c r="S1633" i="16"/>
  <c r="S1629" i="16"/>
  <c r="S1525" i="16"/>
  <c r="S1433" i="16"/>
  <c r="Y1433" i="16"/>
  <c r="S1429" i="16"/>
  <c r="S1265" i="16"/>
  <c r="S1222" i="16"/>
  <c r="S1203" i="16"/>
  <c r="Y1203" i="16"/>
  <c r="S1201" i="16"/>
  <c r="Y1201" i="16"/>
  <c r="S1199" i="16"/>
  <c r="Y1199" i="16"/>
  <c r="S1197" i="16"/>
  <c r="Y1197" i="16"/>
  <c r="S1154" i="16"/>
  <c r="Y1154" i="16"/>
  <c r="S1146" i="16"/>
  <c r="Y1146" i="16"/>
  <c r="S1142" i="16"/>
  <c r="S1086" i="16"/>
  <c r="S727" i="16"/>
  <c r="Y2273" i="16"/>
  <c r="Y2097" i="16"/>
  <c r="S2097" i="16"/>
  <c r="S2095" i="16"/>
  <c r="S2089" i="16"/>
  <c r="S2087" i="16"/>
  <c r="Y2087" i="16"/>
  <c r="S2077" i="16"/>
  <c r="Y2073" i="16"/>
  <c r="S2073" i="16"/>
  <c r="Y2071" i="16"/>
  <c r="S2065" i="16"/>
  <c r="Y2065" i="16"/>
  <c r="S2063" i="16"/>
  <c r="S2061" i="16"/>
  <c r="Y2061" i="16"/>
  <c r="S2055" i="16"/>
  <c r="Y2055" i="16"/>
  <c r="S2051" i="16"/>
  <c r="Y716" i="16"/>
  <c r="S2413" i="16"/>
  <c r="D2413" i="16"/>
  <c r="I2409" i="16"/>
  <c r="J2409" i="16"/>
  <c r="H2409" i="16"/>
  <c r="S2112" i="16"/>
  <c r="Y2112" i="16"/>
  <c r="S1746" i="16"/>
  <c r="S1739" i="16"/>
  <c r="Y1739" i="16"/>
  <c r="S1709" i="16"/>
  <c r="S1678" i="16"/>
  <c r="Y1633" i="16"/>
  <c r="S1621" i="16"/>
  <c r="Y1621" i="16"/>
  <c r="S1423" i="16"/>
  <c r="S1395" i="16"/>
  <c r="Y1067" i="16"/>
  <c r="S2460" i="16"/>
  <c r="D2460" i="16"/>
  <c r="S2396" i="16"/>
  <c r="D2396" i="16" s="1"/>
  <c r="S2308" i="16"/>
  <c r="D2308" i="16"/>
  <c r="S2032" i="16"/>
  <c r="S2028" i="16"/>
  <c r="S2009" i="16"/>
  <c r="S1971" i="16"/>
  <c r="S1969" i="16"/>
  <c r="S1110" i="16"/>
  <c r="Y1110" i="16"/>
  <c r="S1065" i="16"/>
  <c r="Y1065" i="16"/>
  <c r="Y2494" i="16"/>
  <c r="G2320" i="16"/>
  <c r="S2260" i="16"/>
  <c r="S2256" i="16"/>
  <c r="Y2120" i="16"/>
  <c r="Y2081" i="16"/>
  <c r="Y2069" i="16"/>
  <c r="Y2059" i="16"/>
  <c r="S1908" i="16"/>
  <c r="Y1799" i="16"/>
  <c r="S1781" i="16"/>
  <c r="S1722" i="16"/>
  <c r="S1720" i="16"/>
  <c r="S1344" i="16"/>
  <c r="S1315" i="16"/>
  <c r="Y1274" i="16"/>
  <c r="S1165" i="16"/>
  <c r="S1121" i="16"/>
  <c r="Y1121" i="16"/>
  <c r="S854" i="16"/>
  <c r="S782" i="16"/>
  <c r="Y2148" i="16"/>
  <c r="S1986" i="16"/>
  <c r="S1932" i="16"/>
  <c r="Y1912" i="16"/>
  <c r="Y1544" i="16"/>
  <c r="Y1542" i="16"/>
  <c r="S1398" i="16"/>
  <c r="S1254" i="16"/>
  <c r="Y1254" i="16"/>
  <c r="S1183" i="16"/>
  <c r="Y2498" i="16"/>
  <c r="Y1980" i="16"/>
  <c r="Y1961" i="16"/>
  <c r="Y1811" i="16"/>
  <c r="Y1729" i="16"/>
  <c r="S1729" i="16"/>
  <c r="Y1669" i="16"/>
  <c r="Y1573" i="16"/>
  <c r="Y1373" i="16"/>
  <c r="Y1342" i="16"/>
  <c r="Y1240" i="16"/>
  <c r="Y891" i="16"/>
  <c r="Y873" i="16"/>
  <c r="Y2484" i="16"/>
  <c r="Y2364" i="16"/>
  <c r="Y2336" i="16"/>
  <c r="Y2171" i="16"/>
  <c r="Y2012" i="16"/>
  <c r="Y1907" i="16"/>
  <c r="Y1863" i="16"/>
  <c r="Y1837" i="16"/>
  <c r="Y1801" i="16"/>
  <c r="Y1584" i="16"/>
  <c r="Y1385" i="16"/>
  <c r="Y1357" i="16"/>
  <c r="Y1301" i="16"/>
  <c r="Y1735" i="16"/>
  <c r="Y1687" i="16"/>
  <c r="Y1640" i="16"/>
  <c r="Y1596" i="16"/>
  <c r="Y1475" i="16"/>
  <c r="Y1473" i="16"/>
  <c r="Y1462" i="16"/>
  <c r="Y1437" i="16"/>
  <c r="Y1395" i="16"/>
  <c r="Y1371" i="16"/>
  <c r="Y1332" i="16"/>
  <c r="Y1319" i="16"/>
  <c r="Y1216" i="16"/>
  <c r="Y1195" i="16"/>
  <c r="Y1165" i="16"/>
  <c r="Y952" i="16"/>
  <c r="Y239" i="16"/>
  <c r="Y2390" i="16"/>
  <c r="Y2302" i="16"/>
  <c r="Y2170" i="16"/>
  <c r="Y2159" i="16"/>
  <c r="Y2138" i="16"/>
  <c r="Y2060" i="16"/>
  <c r="Y2043" i="16"/>
  <c r="Y2037" i="16"/>
  <c r="Y1951" i="16"/>
  <c r="Y1938" i="16"/>
  <c r="Y1935" i="16"/>
  <c r="Y1925" i="16"/>
  <c r="Y1904" i="16"/>
  <c r="Y1897" i="16"/>
  <c r="Y1853" i="16"/>
  <c r="Y1812" i="16"/>
  <c r="Y1747" i="16"/>
  <c r="Y1697" i="16"/>
  <c r="Y1690" i="16"/>
  <c r="Y1683" i="16"/>
  <c r="Y1641" i="16"/>
  <c r="Y1632" i="16"/>
  <c r="Y1510" i="16"/>
  <c r="Y1374" i="16"/>
  <c r="Y1322" i="16"/>
  <c r="Y1204" i="16"/>
  <c r="Y1188" i="16"/>
  <c r="Y1166" i="16"/>
  <c r="Y1125" i="16"/>
  <c r="Y915" i="16"/>
  <c r="Y894" i="16"/>
  <c r="Y880" i="16"/>
  <c r="Y878" i="16"/>
  <c r="Y876" i="16"/>
  <c r="Y830" i="16"/>
  <c r="Y828" i="16"/>
  <c r="Y698" i="16"/>
  <c r="Y835" i="16"/>
  <c r="Y802" i="16"/>
  <c r="Y780" i="16"/>
  <c r="Y720" i="16"/>
  <c r="Y676" i="16"/>
  <c r="Y1141" i="16"/>
  <c r="Y1135" i="16"/>
  <c r="Y1084" i="16"/>
  <c r="Y986" i="16"/>
  <c r="Y953" i="16"/>
  <c r="Y941" i="16"/>
  <c r="Y811" i="16"/>
  <c r="Y723" i="16"/>
  <c r="Y598" i="16"/>
  <c r="Y594" i="16"/>
  <c r="I2345" i="16"/>
  <c r="H2345" i="16"/>
  <c r="G2330" i="16"/>
  <c r="H2330" i="16"/>
  <c r="F2458" i="16"/>
  <c r="J2458" i="16"/>
  <c r="Y2486" i="16"/>
  <c r="S2486" i="16"/>
  <c r="D2486" i="16"/>
  <c r="G2484" i="16"/>
  <c r="Y922" i="16"/>
  <c r="S922" i="16"/>
  <c r="S916" i="16"/>
  <c r="S870" i="16"/>
  <c r="S1760" i="16"/>
  <c r="S1378" i="16"/>
  <c r="S1360" i="16"/>
  <c r="Y1360" i="16"/>
  <c r="S1358" i="16"/>
  <c r="Y1358" i="16"/>
  <c r="S1349" i="16"/>
  <c r="Y1349" i="16"/>
  <c r="S1225" i="16"/>
  <c r="S1208" i="16"/>
  <c r="S1206" i="16"/>
  <c r="S1168" i="16"/>
  <c r="S1163" i="16"/>
  <c r="S1153" i="16"/>
  <c r="S1087" i="16"/>
  <c r="Y1070" i="16"/>
  <c r="S1037" i="16"/>
  <c r="Y1037" i="16"/>
  <c r="Y2475" i="16"/>
  <c r="S2475" i="16"/>
  <c r="D2475" i="16"/>
  <c r="S2247" i="16"/>
  <c r="S1679" i="16"/>
  <c r="S759" i="16"/>
  <c r="Y759" i="16"/>
  <c r="S2446" i="16"/>
  <c r="S2444" i="16"/>
  <c r="E2444" i="16"/>
  <c r="I2405" i="16"/>
  <c r="Y2400" i="16"/>
  <c r="S2400" i="16"/>
  <c r="D2400" i="16"/>
  <c r="S2366" i="16"/>
  <c r="D2366" i="16"/>
  <c r="S2342" i="16"/>
  <c r="D2342" i="16"/>
  <c r="S2329" i="16"/>
  <c r="E2329" i="16"/>
  <c r="I2300" i="16"/>
  <c r="J2300" i="16"/>
  <c r="S2238" i="16"/>
  <c r="Y2238" i="16"/>
  <c r="S2234" i="16"/>
  <c r="Y2234" i="16"/>
  <c r="S2202" i="16"/>
  <c r="Y2202" i="16"/>
  <c r="S2124" i="16"/>
  <c r="Y1007" i="16"/>
  <c r="S1007" i="16"/>
  <c r="S650" i="16"/>
  <c r="S630" i="16"/>
  <c r="S628" i="16"/>
  <c r="S566" i="16"/>
  <c r="Y566" i="16"/>
  <c r="S562" i="16"/>
  <c r="Y543" i="16"/>
  <c r="S2163" i="16"/>
  <c r="Y2163" i="16"/>
  <c r="S2144" i="16"/>
  <c r="S2142" i="16"/>
  <c r="Y2142" i="16"/>
  <c r="S2027" i="16"/>
  <c r="S1844" i="16"/>
  <c r="Y1844" i="16"/>
  <c r="S1824" i="16"/>
  <c r="S1808" i="16"/>
  <c r="Y1808" i="16"/>
  <c r="S1712" i="16"/>
  <c r="S1708" i="16"/>
  <c r="S1518" i="16"/>
  <c r="S1441" i="16"/>
  <c r="Y1441" i="16"/>
  <c r="S1383" i="16"/>
  <c r="S1353" i="16"/>
  <c r="S1331" i="16"/>
  <c r="Y1331" i="16"/>
  <c r="S1311" i="16"/>
  <c r="S1294" i="16"/>
  <c r="S1260" i="16"/>
  <c r="S1229" i="16"/>
  <c r="S997" i="16"/>
  <c r="S995" i="16"/>
  <c r="Y995" i="16"/>
  <c r="S956" i="16"/>
  <c r="S946" i="16"/>
  <c r="S874" i="16"/>
  <c r="S816" i="16"/>
  <c r="S640" i="16"/>
  <c r="S611" i="16"/>
  <c r="S583" i="16"/>
  <c r="S2453" i="16"/>
  <c r="D2453" i="16" s="1"/>
  <c r="Y2386" i="16"/>
  <c r="S2338" i="16"/>
  <c r="D2338" i="16"/>
  <c r="Y2338" i="16"/>
  <c r="H2320" i="16"/>
  <c r="S2131" i="16"/>
  <c r="S2088" i="16"/>
  <c r="Y2088" i="16"/>
  <c r="S2076" i="16"/>
  <c r="S1922" i="16"/>
  <c r="S1918" i="16"/>
  <c r="Y1918" i="16"/>
  <c r="S1879" i="16"/>
  <c r="S1877" i="16"/>
  <c r="Y1877" i="16"/>
  <c r="S1875" i="16"/>
  <c r="S1809" i="16"/>
  <c r="Y1760" i="16"/>
  <c r="S1756" i="16"/>
  <c r="Y1755" i="16"/>
  <c r="Y1732" i="16"/>
  <c r="S1295" i="16"/>
  <c r="S1278" i="16"/>
  <c r="S1261" i="16"/>
  <c r="Y1212" i="16"/>
  <c r="S1048" i="16"/>
  <c r="S988" i="16"/>
  <c r="S755" i="16"/>
  <c r="S744" i="16"/>
  <c r="S696" i="16"/>
  <c r="Y696" i="16"/>
  <c r="S694" i="16"/>
  <c r="S683" i="16"/>
  <c r="S586" i="16"/>
  <c r="S554" i="16"/>
  <c r="S2504" i="16"/>
  <c r="D2504" i="16"/>
  <c r="Y2504" i="16"/>
  <c r="Y2466" i="16"/>
  <c r="G2458" i="16"/>
  <c r="I2365" i="16"/>
  <c r="F2365" i="16"/>
  <c r="H2328" i="16"/>
  <c r="G2290" i="16"/>
  <c r="S2283" i="16"/>
  <c r="F2283" i="16" s="1"/>
  <c r="H2283" i="16"/>
  <c r="S2190" i="16"/>
  <c r="Y2190" i="16"/>
  <c r="S2148" i="16"/>
  <c r="Y2133" i="16"/>
  <c r="S2125" i="16"/>
  <c r="S2093" i="16"/>
  <c r="Y2093" i="16"/>
  <c r="S2033" i="16"/>
  <c r="S2016" i="16"/>
  <c r="S2004" i="16"/>
  <c r="S1993" i="16"/>
  <c r="Y1988" i="16"/>
  <c r="S1954" i="16"/>
  <c r="S1885" i="16"/>
  <c r="Y1885" i="16"/>
  <c r="S1854" i="16"/>
  <c r="Y1816" i="16"/>
  <c r="S1810" i="16"/>
  <c r="S1801" i="16"/>
  <c r="Y1756" i="16"/>
  <c r="Y1748" i="16"/>
  <c r="Y1714" i="16"/>
  <c r="S1714" i="16"/>
  <c r="Y1604" i="16"/>
  <c r="S1592" i="16"/>
  <c r="S1509" i="16"/>
  <c r="S1394" i="16"/>
  <c r="S1324" i="16"/>
  <c r="S1296" i="16"/>
  <c r="S1217" i="16"/>
  <c r="S1215" i="16"/>
  <c r="S1207" i="16"/>
  <c r="S1192" i="16"/>
  <c r="S1134" i="16"/>
  <c r="Y1134" i="16"/>
  <c r="S1130" i="16"/>
  <c r="S1114" i="16"/>
  <c r="S1112" i="16"/>
  <c r="Y1112" i="16"/>
  <c r="S1071" i="16"/>
  <c r="Y1071" i="16"/>
  <c r="S921" i="16"/>
  <c r="S906" i="16"/>
  <c r="Y906" i="16"/>
  <c r="S869" i="16"/>
  <c r="S805" i="16"/>
  <c r="Y805" i="16"/>
  <c r="S789" i="16"/>
  <c r="Y789" i="16"/>
  <c r="Y755" i="16"/>
  <c r="S734" i="16"/>
  <c r="I2459" i="16"/>
  <c r="S2454" i="16"/>
  <c r="E2454" i="16"/>
  <c r="S2237" i="16"/>
  <c r="S2110" i="16"/>
  <c r="S1912" i="16"/>
  <c r="S1855" i="16"/>
  <c r="S1777" i="16"/>
  <c r="S1716" i="16"/>
  <c r="S1625" i="16"/>
  <c r="Y1625" i="16"/>
  <c r="S1601" i="16"/>
  <c r="Y1548" i="16"/>
  <c r="S1538" i="16"/>
  <c r="S1469" i="16"/>
  <c r="S1314" i="16"/>
  <c r="S1306" i="16"/>
  <c r="S1284" i="16"/>
  <c r="Y1281" i="16"/>
  <c r="Y1196" i="16"/>
  <c r="Y1163" i="16"/>
  <c r="Y1088" i="16"/>
  <c r="Y1053" i="16"/>
  <c r="Y981" i="16"/>
  <c r="S981" i="16"/>
  <c r="S930" i="16"/>
  <c r="Y816" i="16"/>
  <c r="S773" i="16"/>
  <c r="Y773" i="16"/>
  <c r="S678" i="16"/>
  <c r="Y678" i="16"/>
  <c r="S635" i="16"/>
  <c r="Y635" i="16"/>
  <c r="J2447" i="16"/>
  <c r="Y2146" i="16"/>
  <c r="Y1849" i="16"/>
  <c r="Y1836" i="16"/>
  <c r="Y1780" i="16"/>
  <c r="Y1174" i="16"/>
  <c r="Y1169" i="16"/>
  <c r="Y992" i="16"/>
  <c r="S702" i="16"/>
  <c r="S607" i="16"/>
  <c r="S603" i="16"/>
  <c r="Y603" i="16"/>
  <c r="Y2455" i="16"/>
  <c r="Y2446" i="16"/>
  <c r="Y2393" i="16"/>
  <c r="Y2358" i="16"/>
  <c r="Y2247" i="16"/>
  <c r="Y2221" i="16"/>
  <c r="Y2067" i="16"/>
  <c r="Y1847" i="16"/>
  <c r="Y1554" i="16"/>
  <c r="Y1471" i="16"/>
  <c r="Y1429" i="16"/>
  <c r="Y1414" i="16"/>
  <c r="Y1280" i="16"/>
  <c r="Y1271" i="16"/>
  <c r="Y1213" i="16"/>
  <c r="Y1208" i="16"/>
  <c r="Y889" i="16"/>
  <c r="Y766" i="16"/>
  <c r="S646" i="16"/>
  <c r="Y1410" i="16"/>
  <c r="Y1262" i="16"/>
  <c r="Y1145" i="16"/>
  <c r="Y1005" i="16"/>
  <c r="Y782" i="16"/>
  <c r="Y751" i="16"/>
  <c r="Y583" i="16"/>
  <c r="I2480" i="16"/>
  <c r="J2480" i="16"/>
  <c r="F2480" i="16"/>
  <c r="G2480" i="16"/>
  <c r="H2480" i="16"/>
  <c r="G2420" i="16"/>
  <c r="S2404" i="16"/>
  <c r="D2404" i="16"/>
  <c r="G2394" i="16"/>
  <c r="J2394" i="16"/>
  <c r="I2394" i="16"/>
  <c r="F2394" i="16"/>
  <c r="S2388" i="16"/>
  <c r="F2388" i="16" s="1"/>
  <c r="D2388" i="16"/>
  <c r="J2381" i="16"/>
  <c r="I2381" i="16"/>
  <c r="H2381" i="16"/>
  <c r="G2381" i="16"/>
  <c r="S2361" i="16"/>
  <c r="J2361" i="16" s="1"/>
  <c r="D2361" i="16"/>
  <c r="I2359" i="16"/>
  <c r="Y2352" i="16"/>
  <c r="J2500" i="16"/>
  <c r="F2500" i="16"/>
  <c r="I2500" i="16"/>
  <c r="H2500" i="16"/>
  <c r="G2500" i="16"/>
  <c r="F2420" i="16"/>
  <c r="I2278" i="16"/>
  <c r="S2483" i="16"/>
  <c r="D2483" i="16"/>
  <c r="S2443" i="16"/>
  <c r="D2443" i="16"/>
  <c r="S2431" i="16"/>
  <c r="D2431" i="16"/>
  <c r="G2431" i="16"/>
  <c r="Y2431" i="16"/>
  <c r="I2448" i="16"/>
  <c r="F2448" i="16"/>
  <c r="J2481" i="16"/>
  <c r="S2478" i="16"/>
  <c r="D2478" i="16"/>
  <c r="F2462" i="16"/>
  <c r="G2459" i="16"/>
  <c r="F2366" i="16"/>
  <c r="S2316" i="16"/>
  <c r="D2316" i="16" s="1"/>
  <c r="G2307" i="16"/>
  <c r="S2195" i="16"/>
  <c r="S2096" i="16"/>
  <c r="S2091" i="16"/>
  <c r="S2083" i="16"/>
  <c r="Y2083" i="16"/>
  <c r="S2068" i="16"/>
  <c r="S1874" i="16"/>
  <c r="S1785" i="16"/>
  <c r="S1520" i="16"/>
  <c r="S1304" i="16"/>
  <c r="Y1304" i="16"/>
  <c r="S1051" i="16"/>
  <c r="S736" i="16"/>
  <c r="S708" i="16"/>
  <c r="G2490" i="16"/>
  <c r="J2425" i="16"/>
  <c r="S2419" i="16"/>
  <c r="E2419" i="16"/>
  <c r="J2459" i="16"/>
  <c r="G2409" i="16"/>
  <c r="F2409" i="16"/>
  <c r="H2350" i="16"/>
  <c r="J2350" i="16"/>
  <c r="F2350" i="16"/>
  <c r="S2258" i="16"/>
  <c r="Y1845" i="16"/>
  <c r="S1845" i="16"/>
  <c r="S1843" i="16"/>
  <c r="Y1773" i="16"/>
  <c r="S1773" i="16"/>
  <c r="Y2316" i="16"/>
  <c r="S2298" i="16"/>
  <c r="D2298" i="16"/>
  <c r="S2244" i="16"/>
  <c r="Y1794" i="16"/>
  <c r="S1794" i="16"/>
  <c r="Y1763" i="16"/>
  <c r="Y1758" i="16"/>
  <c r="S1758" i="16"/>
  <c r="S2225" i="16"/>
  <c r="S2194" i="16"/>
  <c r="Y2084" i="16"/>
  <c r="S2084" i="16"/>
  <c r="Y1629" i="16"/>
  <c r="S1556" i="16"/>
  <c r="Y1556" i="16"/>
  <c r="Y1592" i="16"/>
  <c r="Y1526" i="16"/>
  <c r="Y1272" i="16"/>
  <c r="Y1260" i="16"/>
  <c r="Y1179" i="16"/>
  <c r="Y1177" i="16"/>
  <c r="Y238" i="16"/>
  <c r="S1343" i="16"/>
  <c r="Y1399" i="16"/>
  <c r="Y1324" i="16"/>
  <c r="Y1285" i="16"/>
  <c r="Y1191" i="16"/>
  <c r="Y1017" i="16"/>
  <c r="S1017" i="16"/>
  <c r="S975" i="16"/>
  <c r="Y1041" i="16"/>
  <c r="Y1039" i="16"/>
  <c r="Y820" i="16"/>
  <c r="S778" i="16"/>
  <c r="Y778" i="16"/>
  <c r="Y632" i="16"/>
  <c r="Y563" i="16"/>
  <c r="S923" i="16"/>
  <c r="Y938" i="16"/>
  <c r="Y861" i="16"/>
  <c r="Y818" i="16"/>
  <c r="Y647" i="16"/>
  <c r="Y628" i="16"/>
  <c r="Y1026" i="16"/>
  <c r="Y940" i="16"/>
  <c r="Y859" i="16"/>
  <c r="Y839" i="16"/>
  <c r="Y636" i="16"/>
  <c r="J2439" i="16"/>
  <c r="H2272" i="16"/>
  <c r="F2374" i="16"/>
  <c r="I2374" i="16"/>
  <c r="J2354" i="16"/>
  <c r="H2378" i="16"/>
  <c r="I2447" i="16"/>
  <c r="F2370" i="16"/>
  <c r="H2310" i="16"/>
  <c r="J2310" i="16"/>
  <c r="G2384" i="16"/>
  <c r="F2460" i="16"/>
  <c r="J2308" i="16"/>
  <c r="I2273" i="16"/>
  <c r="I2400" i="16"/>
  <c r="J2367" i="16"/>
  <c r="I2367" i="16"/>
  <c r="F2367" i="16"/>
  <c r="I2469" i="16"/>
  <c r="F2469" i="16"/>
  <c r="J2469" i="16"/>
  <c r="J2504" i="16"/>
  <c r="H2366" i="16"/>
  <c r="J2366" i="16"/>
  <c r="J2444" i="16"/>
  <c r="F2486" i="16"/>
  <c r="G2486" i="16"/>
  <c r="F2433" i="16"/>
  <c r="J2388" i="16"/>
  <c r="I2361" i="16"/>
  <c r="J2483" i="16"/>
  <c r="J2280" i="16"/>
  <c r="H2280" i="16"/>
  <c r="G2475" i="16"/>
  <c r="F2495" i="16"/>
  <c r="J2492" i="16"/>
  <c r="H2492" i="16"/>
  <c r="S1651" i="16"/>
  <c r="Y1651" i="16"/>
  <c r="S1643" i="16"/>
  <c r="Y1643" i="16"/>
  <c r="S1635" i="16"/>
  <c r="Y1635" i="16"/>
  <c r="S1627" i="16"/>
  <c r="S1611" i="16"/>
  <c r="Y1611" i="16"/>
  <c r="S1599" i="16"/>
  <c r="Y1599" i="16"/>
  <c r="S1579" i="16"/>
  <c r="Y1579" i="16"/>
  <c r="Y1523" i="16"/>
  <c r="S1523" i="16"/>
  <c r="Y1519" i="16"/>
  <c r="S1519" i="16"/>
  <c r="S1464" i="16"/>
  <c r="S1456" i="16"/>
  <c r="Y1440" i="16"/>
  <c r="S1440" i="16"/>
  <c r="S1432" i="16"/>
  <c r="Y1432" i="16"/>
  <c r="S1420" i="16"/>
  <c r="S1412" i="16"/>
  <c r="Y1412" i="16"/>
  <c r="S1404" i="16"/>
  <c r="Y1404" i="16"/>
  <c r="S729" i="16"/>
  <c r="Y721" i="16"/>
  <c r="S721" i="16"/>
  <c r="S705" i="16"/>
  <c r="Y705" i="16"/>
  <c r="S693" i="16"/>
  <c r="S661" i="16"/>
  <c r="Y649" i="16"/>
  <c r="S649" i="16"/>
  <c r="S645" i="16"/>
  <c r="Y645" i="16"/>
  <c r="S637" i="16"/>
  <c r="S633" i="16"/>
  <c r="Y621" i="16"/>
  <c r="S621" i="16"/>
  <c r="S617" i="16"/>
  <c r="S609" i="16"/>
  <c r="S601" i="16"/>
  <c r="Y601" i="16"/>
  <c r="S597" i="16"/>
  <c r="Y597" i="16"/>
  <c r="Y589" i="16"/>
  <c r="S589" i="16"/>
  <c r="S585" i="16"/>
  <c r="Y585" i="16"/>
  <c r="S565" i="16"/>
  <c r="Y565" i="16"/>
  <c r="S557" i="16"/>
  <c r="Y557" i="16"/>
  <c r="S553" i="16"/>
  <c r="Y553" i="16"/>
  <c r="S549" i="16"/>
  <c r="Y549" i="16"/>
  <c r="S545" i="16"/>
  <c r="Y545" i="16"/>
  <c r="S541" i="16"/>
  <c r="S537" i="16"/>
  <c r="Y537" i="16"/>
  <c r="Y641" i="16"/>
  <c r="H2332" i="16"/>
  <c r="H2306" i="16"/>
  <c r="H2333" i="16"/>
  <c r="F2333" i="16"/>
  <c r="I2333" i="16"/>
  <c r="G2333" i="16"/>
  <c r="G2392" i="16"/>
  <c r="F2392" i="16"/>
  <c r="I2392" i="16"/>
  <c r="H2392" i="16"/>
  <c r="G2332" i="16"/>
  <c r="F2332" i="16"/>
  <c r="F2361" i="16"/>
  <c r="Y605" i="16"/>
  <c r="J2454" i="16"/>
  <c r="I2454" i="16"/>
  <c r="Y1539" i="16"/>
  <c r="Y737" i="16"/>
  <c r="Y1460" i="16"/>
  <c r="S1488" i="16"/>
  <c r="G2310" i="16"/>
  <c r="G2352" i="16"/>
  <c r="I2352" i="16"/>
  <c r="F2455" i="16"/>
  <c r="Y1603" i="16"/>
  <c r="Y1511" i="16"/>
  <c r="G2438" i="16"/>
  <c r="S1639" i="16"/>
  <c r="Y1631" i="16"/>
  <c r="S1631" i="16"/>
  <c r="S1623" i="16"/>
  <c r="S1615" i="16"/>
  <c r="S1607" i="16"/>
  <c r="S1591" i="16"/>
  <c r="Y1591" i="16"/>
  <c r="S1583" i="16"/>
  <c r="S1575" i="16"/>
  <c r="S1551" i="16"/>
  <c r="S1543" i="16"/>
  <c r="Y1543" i="16"/>
  <c r="S1499" i="16"/>
  <c r="Y1499" i="16"/>
  <c r="S1495" i="16"/>
  <c r="Y1495" i="16"/>
  <c r="Y1468" i="16"/>
  <c r="S1468" i="16"/>
  <c r="S1436" i="16"/>
  <c r="Y1436" i="16"/>
  <c r="S1416" i="16"/>
  <c r="S1392" i="16"/>
  <c r="S733" i="16"/>
  <c r="Y733" i="16"/>
  <c r="S725" i="16"/>
  <c r="Y725" i="16"/>
  <c r="S709" i="16"/>
  <c r="S701" i="16"/>
  <c r="Y701" i="16"/>
  <c r="S657" i="16"/>
  <c r="Y657" i="16"/>
  <c r="Y661" i="16"/>
  <c r="Y729" i="16"/>
  <c r="Y1627" i="16"/>
  <c r="S581" i="16"/>
  <c r="Y1476" i="16"/>
  <c r="J2325" i="16"/>
  <c r="G2325" i="16"/>
  <c r="H2325" i="16"/>
  <c r="I2491" i="16"/>
  <c r="H2491" i="16"/>
  <c r="J2314" i="16"/>
  <c r="H2314" i="16"/>
  <c r="Y1639" i="16"/>
  <c r="Y1623" i="16"/>
  <c r="Y1619" i="16"/>
  <c r="Y1615" i="16"/>
  <c r="Y1607" i="16"/>
  <c r="Y1583" i="16"/>
  <c r="Y1575" i="16"/>
  <c r="Y1571" i="16"/>
  <c r="Y1551" i="16"/>
  <c r="Y1547" i="16"/>
  <c r="Y1535" i="16"/>
  <c r="Y1531" i="16"/>
  <c r="Y1396" i="16"/>
  <c r="Y1392" i="16"/>
  <c r="J2272" i="16"/>
  <c r="G2386" i="16"/>
  <c r="I2386" i="16"/>
  <c r="G2491" i="16"/>
  <c r="F2491" i="16"/>
  <c r="H2276" i="16"/>
  <c r="F2276" i="16"/>
  <c r="G2373" i="16"/>
  <c r="F2466" i="16"/>
  <c r="J2466" i="16"/>
  <c r="Y609" i="16"/>
  <c r="S2128" i="16"/>
  <c r="S2025" i="16"/>
  <c r="Y2025" i="16"/>
  <c r="S2005" i="16"/>
  <c r="S1717" i="16"/>
  <c r="Y1717" i="16"/>
  <c r="S1352" i="16"/>
  <c r="Y1352" i="16"/>
  <c r="S1230" i="16"/>
  <c r="Y1230" i="16"/>
  <c r="S1072" i="16"/>
  <c r="Y1072" i="16"/>
  <c r="S1016" i="16"/>
  <c r="Y948" i="16"/>
  <c r="S948" i="16"/>
  <c r="Y944" i="16"/>
  <c r="S944" i="16"/>
  <c r="S873" i="16"/>
  <c r="S819" i="16"/>
  <c r="Y819" i="16"/>
  <c r="S748" i="16"/>
  <c r="Y748" i="16"/>
  <c r="Y976" i="16"/>
  <c r="Y1269" i="16"/>
  <c r="Y2057" i="16"/>
  <c r="Y2053" i="16"/>
  <c r="Y1674" i="16"/>
  <c r="Y1670" i="16"/>
  <c r="Y1666" i="16"/>
  <c r="Y787" i="16"/>
  <c r="Y779" i="16"/>
  <c r="Y760" i="16"/>
  <c r="S752" i="16"/>
  <c r="Y709" i="16"/>
  <c r="Y697" i="16"/>
  <c r="I2462" i="16"/>
  <c r="Y2176" i="16"/>
  <c r="Y2124" i="16"/>
  <c r="Y2089" i="16"/>
  <c r="Y2077" i="16"/>
  <c r="Y2013" i="16"/>
  <c r="Y2009" i="16"/>
  <c r="Y2005" i="16"/>
  <c r="Y1881" i="16"/>
  <c r="Y1662" i="16"/>
  <c r="Y1367" i="16"/>
  <c r="Y1328" i="16"/>
  <c r="Y1320" i="16"/>
  <c r="Y1316" i="16"/>
  <c r="Y1300" i="16"/>
  <c r="Y1288" i="16"/>
  <c r="Y1048" i="16"/>
  <c r="Y1044" i="16"/>
  <c r="Y1040" i="16"/>
  <c r="Y1036" i="16"/>
  <c r="Y1028" i="16"/>
  <c r="Y1024" i="16"/>
  <c r="Y956" i="16"/>
  <c r="Y640" i="16"/>
  <c r="Y637" i="16"/>
  <c r="Y633" i="16"/>
  <c r="S2501" i="16"/>
  <c r="E2501" i="16" s="1"/>
  <c r="S1972" i="16"/>
  <c r="S1581" i="16"/>
  <c r="Y1581" i="16"/>
  <c r="Y1456" i="16"/>
  <c r="Y1448" i="16"/>
  <c r="Y908" i="16"/>
  <c r="Y803" i="16"/>
  <c r="Y799" i="16"/>
  <c r="Y617" i="16"/>
  <c r="S2487" i="16"/>
  <c r="D2487" i="16" s="1"/>
  <c r="S2353" i="16"/>
  <c r="D2353" i="16" s="1"/>
  <c r="Y1031" i="16"/>
  <c r="Y1035" i="16"/>
  <c r="Y1171" i="16"/>
  <c r="Y2401" i="16"/>
  <c r="Y2394" i="16"/>
  <c r="Y2242" i="16"/>
  <c r="Y1996" i="16"/>
  <c r="Y1472" i="16"/>
  <c r="Y1391" i="16"/>
  <c r="Y744" i="16"/>
  <c r="Y740" i="16"/>
  <c r="Y548" i="16"/>
  <c r="Y544" i="16"/>
  <c r="G2453" i="16"/>
  <c r="G2415" i="16"/>
  <c r="Y2365" i="16"/>
  <c r="Y2353" i="16"/>
  <c r="Y2346" i="16"/>
  <c r="Y2317" i="16"/>
  <c r="Y2237" i="16"/>
  <c r="Y2211" i="16"/>
  <c r="Y2151" i="16"/>
  <c r="Y2128" i="16"/>
  <c r="Y2108" i="16"/>
  <c r="Y2104" i="16"/>
  <c r="Y2082" i="16"/>
  <c r="Y2052" i="16"/>
  <c r="Y2048" i="16"/>
  <c r="Y2045" i="16"/>
  <c r="Y2041" i="16"/>
  <c r="Y2033" i="16"/>
  <c r="Y2029" i="16"/>
  <c r="Y1993" i="16"/>
  <c r="Y1944" i="16"/>
  <c r="Y1920" i="16"/>
  <c r="Y1913" i="16"/>
  <c r="Y1880" i="16"/>
  <c r="Y1865" i="16"/>
  <c r="Y1848" i="16"/>
  <c r="Y1818" i="16"/>
  <c r="Y1797" i="16"/>
  <c r="Y1782" i="16"/>
  <c r="Y1694" i="16"/>
  <c r="Y1637" i="16"/>
  <c r="Y1577" i="16"/>
  <c r="Y1515" i="16"/>
  <c r="Y1507" i="16"/>
  <c r="Y1503" i="16"/>
  <c r="Y1402" i="16"/>
  <c r="Y1398" i="16"/>
  <c r="Y1394" i="16"/>
  <c r="Y1390" i="16"/>
  <c r="Y1383" i="16"/>
  <c r="Y1344" i="16"/>
  <c r="Y1247" i="16"/>
  <c r="Y1168" i="16"/>
  <c r="Y1164" i="16"/>
  <c r="Y1160" i="16"/>
  <c r="Y1152" i="16"/>
  <c r="Y1079" i="16"/>
  <c r="Y1004" i="16"/>
  <c r="Y1000" i="16"/>
  <c r="Y959" i="16"/>
  <c r="Y926" i="16"/>
  <c r="Y754" i="16"/>
  <c r="Y665" i="16"/>
  <c r="Y653" i="16"/>
  <c r="J2502" i="16"/>
  <c r="F2502" i="16"/>
  <c r="I2319" i="16"/>
  <c r="H2319" i="16"/>
  <c r="J2319" i="16"/>
  <c r="F2443" i="16"/>
  <c r="J2342" i="16"/>
  <c r="H2290" i="16"/>
  <c r="F2498" i="16"/>
  <c r="I2498" i="16"/>
  <c r="J2485" i="16"/>
  <c r="G2391" i="16"/>
  <c r="J2391" i="16"/>
  <c r="I2354" i="16"/>
  <c r="H2354" i="16"/>
  <c r="G2354" i="16"/>
  <c r="H2287" i="16"/>
  <c r="H2388" i="16"/>
  <c r="H2342" i="16"/>
  <c r="I2502" i="16"/>
  <c r="G2446" i="16"/>
  <c r="F2446" i="16"/>
  <c r="G2502" i="16"/>
  <c r="I2314" i="16"/>
  <c r="S2473" i="16"/>
  <c r="E2473" i="16" s="1"/>
  <c r="Y2473" i="16"/>
  <c r="H2465" i="16"/>
  <c r="F2465" i="16"/>
  <c r="I2465" i="16"/>
  <c r="S2461" i="16"/>
  <c r="D2461" i="16"/>
  <c r="Y2461" i="16"/>
  <c r="Y2445" i="16"/>
  <c r="S2429" i="16"/>
  <c r="D2429" i="16"/>
  <c r="F2425" i="16"/>
  <c r="I2425" i="16"/>
  <c r="S2422" i="16"/>
  <c r="E2422" i="16"/>
  <c r="Y2422" i="16"/>
  <c r="S2418" i="16"/>
  <c r="D2418" i="16"/>
  <c r="Y2418" i="16"/>
  <c r="H2411" i="16"/>
  <c r="I2411" i="16"/>
  <c r="I2403" i="16"/>
  <c r="S2399" i="16"/>
  <c r="D2399" i="16" s="1"/>
  <c r="S2387" i="16"/>
  <c r="D2387" i="16"/>
  <c r="I2387" i="16"/>
  <c r="Y2387" i="16"/>
  <c r="I2379" i="16"/>
  <c r="H2379" i="16"/>
  <c r="J2379" i="16"/>
  <c r="F2375" i="16"/>
  <c r="H2375" i="16"/>
  <c r="J2375" i="16"/>
  <c r="H2363" i="16"/>
  <c r="F2359" i="16"/>
  <c r="H2359" i="16"/>
  <c r="S2355" i="16"/>
  <c r="H2355" i="16" s="1"/>
  <c r="E2355" i="16"/>
  <c r="F2351" i="16"/>
  <c r="G2335" i="16"/>
  <c r="F2335" i="16"/>
  <c r="J2335" i="16"/>
  <c r="S2331" i="16"/>
  <c r="D2331" i="16"/>
  <c r="Y2331" i="16"/>
  <c r="S2323" i="16"/>
  <c r="D2323" i="16" s="1"/>
  <c r="Y2323" i="16"/>
  <c r="S2315" i="16"/>
  <c r="D2315" i="16"/>
  <c r="I2307" i="16"/>
  <c r="F2307" i="16"/>
  <c r="S2299" i="16"/>
  <c r="D2299" i="16"/>
  <c r="Y2259" i="16"/>
  <c r="S2259" i="16"/>
  <c r="S2255" i="16"/>
  <c r="S2235" i="16"/>
  <c r="Y2235" i="16"/>
  <c r="S2208" i="16"/>
  <c r="S2149" i="16"/>
  <c r="S2141" i="16"/>
  <c r="Y2137" i="16"/>
  <c r="S2137" i="16"/>
  <c r="S2121" i="16"/>
  <c r="Y2121" i="16"/>
  <c r="S2113" i="16"/>
  <c r="Y2113" i="16"/>
  <c r="S2109" i="16"/>
  <c r="S2101" i="16"/>
  <c r="Y2101" i="16"/>
  <c r="S2090" i="16"/>
  <c r="S2022" i="16"/>
  <c r="Y2022" i="16"/>
  <c r="S2010" i="16"/>
  <c r="S2006" i="16"/>
  <c r="S2002" i="16"/>
  <c r="S1569" i="16"/>
  <c r="S1561" i="16"/>
  <c r="Y1561" i="16"/>
  <c r="S1513" i="16"/>
  <c r="S1116" i="16"/>
  <c r="Y1116" i="16"/>
  <c r="Y1104" i="16"/>
  <c r="Y1096" i="16"/>
  <c r="S673" i="16"/>
  <c r="Y673" i="16"/>
  <c r="S669" i="16"/>
  <c r="Y669" i="16"/>
  <c r="G2367" i="16"/>
  <c r="H2469" i="16"/>
  <c r="G2400" i="16"/>
  <c r="F2352" i="16"/>
  <c r="J2477" i="16"/>
  <c r="G2481" i="16"/>
  <c r="J2307" i="16"/>
  <c r="G2359" i="16"/>
  <c r="H2395" i="16"/>
  <c r="F2411" i="16"/>
  <c r="Y1553" i="16"/>
  <c r="I2370" i="16"/>
  <c r="S2489" i="16"/>
  <c r="E2489" i="16" s="1"/>
  <c r="Y2070" i="16"/>
  <c r="Y2200" i="16"/>
  <c r="S2275" i="16"/>
  <c r="D2275" i="16" s="1"/>
  <c r="H2351" i="16"/>
  <c r="Y2173" i="16"/>
  <c r="Y2177" i="16"/>
  <c r="S2105" i="16"/>
  <c r="S2018" i="16"/>
  <c r="Y2267" i="16"/>
  <c r="H2335" i="16"/>
  <c r="G2339" i="16"/>
  <c r="G2411" i="16"/>
  <c r="S1104" i="16"/>
  <c r="S1100" i="16"/>
  <c r="F2438" i="16"/>
  <c r="J2438" i="16"/>
  <c r="J2405" i="16"/>
  <c r="H2405" i="16"/>
  <c r="G2433" i="16"/>
  <c r="F2329" i="16"/>
  <c r="I2329" i="16"/>
  <c r="G2469" i="16"/>
  <c r="F2400" i="16"/>
  <c r="H2270" i="16"/>
  <c r="H2425" i="16"/>
  <c r="Y1723" i="16"/>
  <c r="G2445" i="16"/>
  <c r="G2465" i="16"/>
  <c r="J2359" i="16"/>
  <c r="Y1521" i="16"/>
  <c r="Y2367" i="16"/>
  <c r="Y2469" i="16"/>
  <c r="Y2481" i="16"/>
  <c r="S677" i="16"/>
  <c r="Y1557" i="16"/>
  <c r="Y2141" i="16"/>
  <c r="Y2477" i="16"/>
  <c r="H2415" i="16"/>
  <c r="Y1497" i="16"/>
  <c r="Y2002" i="16"/>
  <c r="Y2109" i="16"/>
  <c r="F2314" i="16"/>
  <c r="I2280" i="16"/>
  <c r="I2415" i="16"/>
  <c r="I2292" i="16"/>
  <c r="Y2046" i="16"/>
  <c r="G2374" i="16"/>
  <c r="J2374" i="16"/>
  <c r="Y2255" i="16"/>
  <c r="I2335" i="16"/>
  <c r="I2375" i="16"/>
  <c r="G2319" i="16"/>
  <c r="S2094" i="16"/>
  <c r="S2291" i="16"/>
  <c r="D2291" i="16" s="1"/>
  <c r="S1096" i="16"/>
  <c r="S827" i="16"/>
  <c r="I2494" i="16"/>
  <c r="S1533" i="16"/>
  <c r="J2415" i="16"/>
  <c r="G2370" i="16"/>
  <c r="J2370" i="16"/>
  <c r="J2386" i="16"/>
  <c r="H2386" i="16"/>
  <c r="Y2295" i="16"/>
  <c r="I2389" i="16"/>
  <c r="G2368" i="16"/>
  <c r="J2368" i="16"/>
  <c r="Y2441" i="16"/>
  <c r="Y2251" i="16"/>
  <c r="Y2196" i="16"/>
  <c r="Y2169" i="16"/>
  <c r="Y2165" i="16"/>
  <c r="Y2502" i="16"/>
  <c r="G2466" i="16"/>
  <c r="Y2287" i="16"/>
  <c r="Y1541" i="16"/>
  <c r="Y1537" i="16"/>
  <c r="Y1529" i="16"/>
  <c r="Y2391" i="16"/>
  <c r="Y2355" i="16"/>
  <c r="Y2351" i="16"/>
  <c r="Y2185" i="16"/>
  <c r="Y1108" i="16"/>
  <c r="S1636" i="16"/>
  <c r="Y1636" i="16"/>
  <c r="S1580" i="16"/>
  <c r="S648" i="16"/>
  <c r="Y648" i="16"/>
  <c r="S636" i="16"/>
  <c r="S568" i="16"/>
  <c r="Y1789" i="16"/>
  <c r="S1178" i="16"/>
  <c r="Y2449" i="16"/>
  <c r="Y2403" i="16"/>
  <c r="Y2339" i="16"/>
  <c r="Y2335" i="16"/>
  <c r="Y2239" i="16"/>
  <c r="Y2223" i="16"/>
  <c r="Y2042" i="16"/>
  <c r="Y2038" i="16"/>
  <c r="Y2030" i="16"/>
  <c r="Y2026" i="16"/>
  <c r="Y1576" i="16"/>
  <c r="Y1264" i="16"/>
  <c r="Y1186" i="16"/>
  <c r="Y668" i="16"/>
  <c r="Y2415" i="16"/>
  <c r="Y2411" i="16"/>
  <c r="Y2407" i="16"/>
  <c r="Y2383" i="16"/>
  <c r="Y2379" i="16"/>
  <c r="Y2375" i="16"/>
  <c r="Y2363" i="16"/>
  <c r="Y2231" i="16"/>
  <c r="Y1919" i="16"/>
  <c r="Y1861" i="16"/>
  <c r="Y1803" i="16"/>
  <c r="Y1777" i="16"/>
  <c r="Y1757" i="16"/>
  <c r="Y1616" i="16"/>
  <c r="Y1569" i="16"/>
  <c r="Y1549" i="16"/>
  <c r="Y1248" i="16"/>
  <c r="Y708" i="16"/>
  <c r="J2321" i="16"/>
  <c r="I2321" i="16"/>
  <c r="Y2281" i="16"/>
  <c r="Y2241" i="16"/>
  <c r="S1721" i="16"/>
  <c r="Y1555" i="16"/>
  <c r="Y1646" i="16"/>
  <c r="Y1630" i="16"/>
  <c r="Y1618" i="16"/>
  <c r="Y1610" i="16"/>
  <c r="Y1598" i="16"/>
  <c r="S1013" i="16"/>
  <c r="Y1013" i="16"/>
  <c r="S800" i="16"/>
  <c r="Y800" i="16"/>
  <c r="S757" i="16"/>
  <c r="S542" i="16"/>
  <c r="Y838" i="16"/>
  <c r="Y824" i="16"/>
  <c r="Y798" i="16"/>
  <c r="Y684" i="16"/>
  <c r="Y626" i="16"/>
  <c r="Y978" i="16"/>
  <c r="Y962" i="16"/>
  <c r="Y2485" i="16"/>
  <c r="Y2451" i="16"/>
  <c r="Y2420" i="16"/>
  <c r="Y2377" i="16"/>
  <c r="Y2373" i="16"/>
  <c r="Y2361" i="16"/>
  <c r="Y2311" i="16"/>
  <c r="Y2307" i="16"/>
  <c r="Y2303" i="16"/>
  <c r="Y2279" i="16"/>
  <c r="Y2227" i="16"/>
  <c r="Y2194" i="16"/>
  <c r="Y2129" i="16"/>
  <c r="Y2098" i="16"/>
  <c r="Y2074" i="16"/>
  <c r="Y2056" i="16"/>
  <c r="Y2020" i="16"/>
  <c r="Y2006" i="16"/>
  <c r="Y1965" i="16"/>
  <c r="Y1879" i="16"/>
  <c r="Y1875" i="16"/>
  <c r="Y1805" i="16"/>
  <c r="Y1791" i="16"/>
  <c r="Y1787" i="16"/>
  <c r="Y1783" i="16"/>
  <c r="Y1767" i="16"/>
  <c r="Y1527" i="16"/>
  <c r="Y1517" i="16"/>
  <c r="Y1513" i="16"/>
  <c r="Y1509" i="16"/>
  <c r="Y1505" i="16"/>
  <c r="Y1490" i="16"/>
  <c r="Y1464" i="16"/>
  <c r="Y1413" i="16"/>
  <c r="Y1244" i="16"/>
  <c r="Y1033" i="16"/>
  <c r="Y1029" i="16"/>
  <c r="Y836" i="16"/>
  <c r="Y732" i="16"/>
  <c r="Y724" i="16"/>
  <c r="Y694" i="16"/>
  <c r="Y675" i="16"/>
  <c r="Y671" i="16"/>
  <c r="Y606" i="16"/>
  <c r="Y574" i="16"/>
  <c r="Y672" i="16"/>
  <c r="Y1492" i="16"/>
  <c r="Y1451" i="16"/>
  <c r="Y1447" i="16"/>
  <c r="Y1425" i="16"/>
  <c r="Y1409" i="16"/>
  <c r="Y1403" i="16"/>
  <c r="Y1401" i="16"/>
  <c r="Y1397" i="16"/>
  <c r="Y1380" i="16"/>
  <c r="Y1376" i="16"/>
  <c r="Y1338" i="16"/>
  <c r="Y1325" i="16"/>
  <c r="Y1321" i="16"/>
  <c r="Y1302" i="16"/>
  <c r="Y1298" i="16"/>
  <c r="Y1294" i="16"/>
  <c r="Y1290" i="16"/>
  <c r="Y1282" i="16"/>
  <c r="Y1241" i="16"/>
  <c r="Y1222" i="16"/>
  <c r="Y1138" i="16"/>
  <c r="Y1119" i="16"/>
  <c r="Y1056" i="16"/>
  <c r="Y1012" i="16"/>
  <c r="Y965" i="16"/>
  <c r="Y961" i="16"/>
  <c r="Y957" i="16"/>
  <c r="Y950" i="16"/>
  <c r="Y943" i="16"/>
  <c r="Y930" i="16"/>
  <c r="Y919" i="16"/>
  <c r="Y864" i="16"/>
  <c r="Y860" i="16"/>
  <c r="Y856" i="16"/>
  <c r="Y806" i="16"/>
  <c r="Y792" i="16"/>
  <c r="Y788" i="16"/>
  <c r="Y784" i="16"/>
  <c r="Y711" i="16"/>
  <c r="Y688" i="16"/>
  <c r="Y682" i="16"/>
  <c r="Y667" i="16"/>
  <c r="Y652" i="16"/>
  <c r="Y610" i="16"/>
  <c r="Y582" i="16"/>
  <c r="Y575" i="16"/>
  <c r="Y551" i="16"/>
  <c r="Y1886" i="16"/>
  <c r="Y1047" i="16"/>
  <c r="Y1043" i="16"/>
  <c r="I2305" i="16"/>
  <c r="H2305" i="16"/>
  <c r="H2293" i="16"/>
  <c r="S2253" i="16"/>
  <c r="S2245" i="16"/>
  <c r="S1769" i="16"/>
  <c r="S1745" i="16"/>
  <c r="S1738" i="16"/>
  <c r="Y1738" i="16"/>
  <c r="S1695" i="16"/>
  <c r="S1680" i="16"/>
  <c r="S1668" i="16"/>
  <c r="Y1668" i="16"/>
  <c r="S1657" i="16"/>
  <c r="Y1657" i="16"/>
  <c r="S1638" i="16"/>
  <c r="Y1638" i="16"/>
  <c r="S1622" i="16"/>
  <c r="Y1622" i="16"/>
  <c r="S1606" i="16"/>
  <c r="Y1606" i="16"/>
  <c r="Y1594" i="16"/>
  <c r="S1586" i="16"/>
  <c r="Y1586" i="16"/>
  <c r="S1574" i="16"/>
  <c r="Y1574" i="16"/>
  <c r="S1136" i="16"/>
  <c r="Y1136" i="16"/>
  <c r="S1128" i="16"/>
  <c r="Y1128" i="16"/>
  <c r="Y1105" i="16"/>
  <c r="S1105" i="16"/>
  <c r="S1097" i="16"/>
  <c r="S1082" i="16"/>
  <c r="Y1082" i="16"/>
  <c r="S1058" i="16"/>
  <c r="Y1058" i="16"/>
  <c r="S1046" i="16"/>
  <c r="S1038" i="16"/>
  <c r="Y1030" i="16"/>
  <c r="S1014" i="16"/>
  <c r="Y1014" i="16"/>
  <c r="S990" i="16"/>
  <c r="Y990" i="16"/>
  <c r="S974" i="16"/>
  <c r="S580" i="16"/>
  <c r="Y580" i="16"/>
  <c r="Y576" i="16"/>
  <c r="S576" i="16"/>
  <c r="I2407" i="16"/>
  <c r="F2407" i="16"/>
  <c r="H2486" i="16"/>
  <c r="J2486" i="16"/>
  <c r="Y1742" i="16"/>
  <c r="S1594" i="16"/>
  <c r="Y1614" i="16"/>
  <c r="S1731" i="16"/>
  <c r="H2437" i="16"/>
  <c r="J2437" i="16"/>
  <c r="S2261" i="16"/>
  <c r="I2267" i="16"/>
  <c r="G2267" i="16"/>
  <c r="F2267" i="16"/>
  <c r="Y1703" i="16"/>
  <c r="Y1734" i="16"/>
  <c r="G2282" i="16"/>
  <c r="H2493" i="16"/>
  <c r="J2493" i="16"/>
  <c r="H2390" i="16"/>
  <c r="S2313" i="16"/>
  <c r="D2313" i="16" s="1"/>
  <c r="S2309" i="16"/>
  <c r="D2309" i="16"/>
  <c r="Y2309" i="16"/>
  <c r="I2297" i="16"/>
  <c r="S2285" i="16"/>
  <c r="E2285" i="16"/>
  <c r="Y2285" i="16"/>
  <c r="S2277" i="16"/>
  <c r="E2277" i="16" s="1"/>
  <c r="S2265" i="16"/>
  <c r="G2265" i="16" s="1"/>
  <c r="D2265" i="16"/>
  <c r="Y2265" i="16"/>
  <c r="S2249" i="16"/>
  <c r="S1715" i="16"/>
  <c r="Y1711" i="16"/>
  <c r="S1711" i="16"/>
  <c r="S1707" i="16"/>
  <c r="S1699" i="16"/>
  <c r="S1676" i="16"/>
  <c r="Y1676" i="16"/>
  <c r="S1672" i="16"/>
  <c r="S1664" i="16"/>
  <c r="Y1664" i="16"/>
  <c r="S1653" i="16"/>
  <c r="Y1653" i="16"/>
  <c r="S1642" i="16"/>
  <c r="Y1642" i="16"/>
  <c r="S1602" i="16"/>
  <c r="Y1602" i="16"/>
  <c r="S1598" i="16"/>
  <c r="S1582" i="16"/>
  <c r="Y1582" i="16"/>
  <c r="S1578" i="16"/>
  <c r="S1567" i="16"/>
  <c r="Y1567" i="16"/>
  <c r="S1563" i="16"/>
  <c r="Y1563" i="16"/>
  <c r="S1465" i="16"/>
  <c r="Y1465" i="16"/>
  <c r="S1148" i="16"/>
  <c r="Y1148" i="16"/>
  <c r="Y1140" i="16"/>
  <c r="S1140" i="16"/>
  <c r="S1120" i="16"/>
  <c r="Y1120" i="16"/>
  <c r="Y1113" i="16"/>
  <c r="S1113" i="16"/>
  <c r="S1109" i="16"/>
  <c r="S1101" i="16"/>
  <c r="Y1089" i="16"/>
  <c r="S1089" i="16"/>
  <c r="Y1078" i="16"/>
  <c r="S1078" i="16"/>
  <c r="Y1062" i="16"/>
  <c r="S1062" i="16"/>
  <c r="S1054" i="16"/>
  <c r="Y1050" i="16"/>
  <c r="S1050" i="16"/>
  <c r="Y1042" i="16"/>
  <c r="S1042" i="16"/>
  <c r="S1018" i="16"/>
  <c r="Y1018" i="16"/>
  <c r="Y1010" i="16"/>
  <c r="S1010" i="16"/>
  <c r="S1006" i="16"/>
  <c r="Y1006" i="16"/>
  <c r="S998" i="16"/>
  <c r="Y998" i="16"/>
  <c r="S958" i="16"/>
  <c r="F2282" i="16"/>
  <c r="Y954" i="16"/>
  <c r="Y1626" i="16"/>
  <c r="G2342" i="16"/>
  <c r="Y2277" i="16"/>
  <c r="H2361" i="16"/>
  <c r="F2342" i="16"/>
  <c r="I2342" i="16"/>
  <c r="H2282" i="16"/>
  <c r="F2293" i="16"/>
  <c r="Y1660" i="16"/>
  <c r="G2366" i="16"/>
  <c r="I2366" i="16"/>
  <c r="Y1745" i="16"/>
  <c r="Y1144" i="16"/>
  <c r="S1030" i="16"/>
  <c r="S1570" i="16"/>
  <c r="S2257" i="16"/>
  <c r="H2422" i="16"/>
  <c r="F2422" i="16"/>
  <c r="F2273" i="16"/>
  <c r="J2282" i="16"/>
  <c r="Y1590" i="16"/>
  <c r="S1555" i="16"/>
  <c r="G2483" i="16"/>
  <c r="S1132" i="16"/>
  <c r="S1610" i="16"/>
  <c r="Y2297" i="16"/>
  <c r="Y1461" i="16"/>
  <c r="Y1650" i="16"/>
  <c r="Y1559" i="16"/>
  <c r="F2272" i="16"/>
  <c r="I2272" i="16"/>
  <c r="I2332" i="16"/>
  <c r="G2306" i="16"/>
  <c r="F2306" i="16"/>
  <c r="H2292" i="16"/>
  <c r="G2292" i="16"/>
  <c r="F2292" i="16"/>
  <c r="Y2253" i="16"/>
  <c r="J2329" i="16"/>
  <c r="H2502" i="16"/>
  <c r="I2481" i="16"/>
  <c r="J2332" i="16"/>
  <c r="F2481" i="16"/>
  <c r="G2492" i="16"/>
  <c r="I2492" i="16"/>
  <c r="J2445" i="16"/>
  <c r="H2438" i="16"/>
  <c r="I2438" i="16"/>
  <c r="F2415" i="16"/>
  <c r="J2339" i="16"/>
  <c r="S2364" i="16"/>
  <c r="D2364" i="16" s="1"/>
  <c r="H2373" i="16"/>
  <c r="I2373" i="16"/>
  <c r="I2339" i="16"/>
  <c r="H2377" i="16"/>
  <c r="G2430" i="16"/>
  <c r="F2430" i="16"/>
  <c r="H2430" i="16"/>
  <c r="Y1695" i="16"/>
  <c r="Y1684" i="16"/>
  <c r="Y1680" i="16"/>
  <c r="Y1066" i="16"/>
  <c r="Y2360" i="16"/>
  <c r="Y2324" i="16"/>
  <c r="Y2313" i="16"/>
  <c r="Y2301" i="16"/>
  <c r="Y2269" i="16"/>
  <c r="Y2249" i="16"/>
  <c r="Y2245" i="16"/>
  <c r="Y982" i="16"/>
  <c r="Y974" i="16"/>
  <c r="S1776" i="16"/>
  <c r="Y1218" i="16"/>
  <c r="Y1214" i="16"/>
  <c r="Y703" i="16"/>
  <c r="J2312" i="16"/>
  <c r="Y1672" i="16"/>
  <c r="Y1634" i="16"/>
  <c r="Y1038" i="16"/>
  <c r="Y1034" i="16"/>
  <c r="Y1022" i="16"/>
  <c r="Y2145" i="16"/>
  <c r="Y2090" i="16"/>
  <c r="Y2054" i="16"/>
  <c r="Y2348" i="16"/>
  <c r="Y2344" i="16"/>
  <c r="Y2305" i="16"/>
  <c r="Y1769" i="16"/>
  <c r="Y1765" i="16"/>
  <c r="Y1727" i="16"/>
  <c r="Y1688" i="16"/>
  <c r="Y1469" i="16"/>
  <c r="I2353" i="16"/>
  <c r="J2353" i="16"/>
  <c r="Y2230" i="16"/>
  <c r="Y1894" i="16"/>
  <c r="Y1878" i="16"/>
  <c r="Y1949" i="16"/>
  <c r="Y1809" i="16"/>
  <c r="Y1741" i="16"/>
  <c r="Y1679" i="16"/>
  <c r="Y734" i="16"/>
  <c r="Y2298" i="16"/>
  <c r="Y2293" i="16"/>
  <c r="Y2289" i="16"/>
  <c r="Y2219" i="16"/>
  <c r="Y2212" i="16"/>
  <c r="Y2208" i="16"/>
  <c r="Y2161" i="16"/>
  <c r="Y1914" i="16"/>
  <c r="Y1910" i="16"/>
  <c r="Y1883" i="16"/>
  <c r="Y1843" i="16"/>
  <c r="Y1835" i="16"/>
  <c r="Y1830" i="16"/>
  <c r="Y1786" i="16"/>
  <c r="Y1480" i="16"/>
  <c r="Y1416" i="16"/>
  <c r="Y1389" i="16"/>
  <c r="Y1339" i="16"/>
  <c r="Y1334" i="16"/>
  <c r="Y1284" i="16"/>
  <c r="Y846" i="16"/>
  <c r="Y831" i="16"/>
  <c r="Y769" i="16"/>
  <c r="Y2500" i="16"/>
  <c r="Y1992" i="16"/>
  <c r="Y1686" i="16"/>
  <c r="Y1682" i="16"/>
  <c r="Y1249" i="16"/>
  <c r="Y1011" i="16"/>
  <c r="Y1217" i="16"/>
  <c r="Y1210" i="16"/>
  <c r="Y1182" i="16"/>
  <c r="Y1167" i="16"/>
  <c r="Y1132" i="16"/>
  <c r="Y1077" i="16"/>
  <c r="Y999" i="16"/>
  <c r="Y993" i="16"/>
  <c r="Y951" i="16"/>
  <c r="Y935" i="16"/>
  <c r="Y902" i="16"/>
  <c r="Y844" i="16"/>
  <c r="Y833" i="16"/>
  <c r="Y687" i="16"/>
  <c r="Y638" i="16"/>
  <c r="Y634" i="16"/>
  <c r="Y599" i="16"/>
  <c r="Y593" i="16"/>
  <c r="Y569" i="16"/>
  <c r="G2312" i="16"/>
  <c r="Y2233" i="16"/>
  <c r="Y1840" i="16"/>
  <c r="Y1491" i="16"/>
  <c r="Y1273" i="16"/>
  <c r="Y1231" i="16"/>
  <c r="F2316" i="16"/>
  <c r="G2412" i="16"/>
  <c r="F2412" i="16"/>
  <c r="H2412" i="16"/>
  <c r="J2412" i="16"/>
  <c r="F2434" i="16"/>
  <c r="H2434" i="16"/>
  <c r="J2434" i="16"/>
  <c r="G2434" i="16"/>
  <c r="I2434" i="16"/>
  <c r="H2387" i="16"/>
  <c r="F2387" i="16"/>
  <c r="J2387" i="16"/>
  <c r="J2264" i="16"/>
  <c r="I2264" i="16"/>
  <c r="G2264" i="16"/>
  <c r="F2264" i="16"/>
  <c r="G2478" i="16"/>
  <c r="H2478" i="16"/>
  <c r="G2279" i="16"/>
  <c r="F2279" i="16"/>
  <c r="I2279" i="16"/>
  <c r="H2279" i="16"/>
  <c r="F2398" i="16"/>
  <c r="G2398" i="16"/>
  <c r="I2369" i="16"/>
  <c r="J2369" i="16"/>
  <c r="F2369" i="16"/>
  <c r="I2289" i="16"/>
  <c r="J2289" i="16"/>
  <c r="G2289" i="16"/>
  <c r="F2289" i="16"/>
  <c r="H2289" i="16"/>
  <c r="H2402" i="16"/>
  <c r="G2393" i="16"/>
  <c r="J2393" i="16"/>
  <c r="J2503" i="16"/>
  <c r="H2503" i="16"/>
  <c r="G2503" i="16"/>
  <c r="I2316" i="16"/>
  <c r="I2412" i="16"/>
  <c r="J2283" i="16"/>
  <c r="G2387" i="16"/>
  <c r="G2444" i="16"/>
  <c r="F2444" i="16"/>
  <c r="H2444" i="16"/>
  <c r="H2264" i="16"/>
  <c r="G2273" i="16"/>
  <c r="J2273" i="16"/>
  <c r="H2273" i="16"/>
  <c r="I2285" i="16"/>
  <c r="J2316" i="16"/>
  <c r="J2279" i="16"/>
  <c r="G2443" i="16"/>
  <c r="J2443" i="16"/>
  <c r="G2388" i="16"/>
  <c r="I2388" i="16"/>
  <c r="H2347" i="16"/>
  <c r="G2347" i="16"/>
  <c r="I2382" i="16"/>
  <c r="H2382" i="16"/>
  <c r="G2382" i="16"/>
  <c r="F2269" i="16"/>
  <c r="H2360" i="16"/>
  <c r="I2360" i="16"/>
  <c r="J2360" i="16"/>
  <c r="F2360" i="16"/>
  <c r="H2365" i="16"/>
  <c r="J2363" i="16"/>
  <c r="F2363" i="16"/>
  <c r="G2363" i="16"/>
  <c r="I2363" i="16"/>
  <c r="J2328" i="16"/>
  <c r="F2328" i="16"/>
  <c r="J2296" i="16"/>
  <c r="J2278" i="16"/>
  <c r="F2278" i="16"/>
  <c r="H2278" i="16"/>
  <c r="S2440" i="16"/>
  <c r="E2440" i="16"/>
  <c r="S2421" i="16"/>
  <c r="D2421" i="16" s="1"/>
  <c r="Y2421" i="16"/>
  <c r="S1989" i="16"/>
  <c r="S1977" i="16"/>
  <c r="S1973" i="16"/>
  <c r="S1901" i="16"/>
  <c r="S1890" i="16"/>
  <c r="Y1890" i="16"/>
  <c r="S1870" i="16"/>
  <c r="Y1870" i="16"/>
  <c r="S1074" i="16"/>
  <c r="Y1074" i="16"/>
  <c r="Y895" i="16"/>
  <c r="S888" i="16"/>
  <c r="S885" i="16"/>
  <c r="Y885" i="16"/>
  <c r="S741" i="16"/>
  <c r="S730" i="16"/>
  <c r="S619" i="16"/>
  <c r="Y619" i="16"/>
  <c r="S615" i="16"/>
  <c r="Y615" i="16"/>
  <c r="S608" i="16"/>
  <c r="Y604" i="16"/>
  <c r="S604" i="16"/>
  <c r="S600" i="16"/>
  <c r="S592" i="16"/>
  <c r="Y584" i="16"/>
  <c r="S584" i="16"/>
  <c r="S577" i="16"/>
  <c r="Y577" i="16"/>
  <c r="G2378" i="16"/>
  <c r="F2378" i="16"/>
  <c r="G2305" i="16"/>
  <c r="F2305" i="16"/>
  <c r="H2391" i="16"/>
  <c r="F2308" i="16"/>
  <c r="F2356" i="16"/>
  <c r="I2378" i="16"/>
  <c r="I2418" i="16"/>
  <c r="J2392" i="16"/>
  <c r="H2266" i="16"/>
  <c r="H2427" i="16"/>
  <c r="G2287" i="16"/>
  <c r="J2287" i="16"/>
  <c r="H2295" i="16"/>
  <c r="F2295" i="16"/>
  <c r="G2426" i="16"/>
  <c r="H2426" i="16"/>
  <c r="I2324" i="16"/>
  <c r="F2324" i="16"/>
  <c r="F2383" i="16"/>
  <c r="I2383" i="16"/>
  <c r="Y726" i="16"/>
  <c r="Y899" i="16"/>
  <c r="S2436" i="16"/>
  <c r="D2436" i="16"/>
  <c r="H2436" i="16"/>
  <c r="Y573" i="16"/>
  <c r="F2317" i="16"/>
  <c r="J2305" i="16"/>
  <c r="F2391" i="16"/>
  <c r="I2391" i="16"/>
  <c r="J2475" i="16"/>
  <c r="J2400" i="16"/>
  <c r="F2287" i="16"/>
  <c r="F2310" i="16"/>
  <c r="J2427" i="16"/>
  <c r="H2274" i="16"/>
  <c r="Y1874" i="16"/>
  <c r="G2278" i="16"/>
  <c r="Y588" i="16"/>
  <c r="I2287" i="16"/>
  <c r="Y570" i="16"/>
  <c r="Y764" i="16"/>
  <c r="F2270" i="16"/>
  <c r="G2328" i="16"/>
  <c r="Y558" i="16"/>
  <c r="S1886" i="16"/>
  <c r="F2354" i="16"/>
  <c r="H2447" i="16"/>
  <c r="H2267" i="16"/>
  <c r="G2281" i="16"/>
  <c r="Y772" i="16"/>
  <c r="Y1953" i="16"/>
  <c r="G2365" i="16"/>
  <c r="I2426" i="16"/>
  <c r="J2324" i="16"/>
  <c r="F2349" i="16"/>
  <c r="S1093" i="16"/>
  <c r="Y627" i="16"/>
  <c r="H2307" i="16"/>
  <c r="S1630" i="16"/>
  <c r="S1618" i="16"/>
  <c r="S1546" i="16"/>
  <c r="Y1546" i="16"/>
  <c r="Y1985" i="16"/>
  <c r="Y1901" i="16"/>
  <c r="S2479" i="16"/>
  <c r="D2479" i="16"/>
  <c r="Y2479" i="16"/>
  <c r="Y2471" i="16"/>
  <c r="S2471" i="16"/>
  <c r="D2471" i="16"/>
  <c r="S2153" i="16"/>
  <c r="Y2153" i="16"/>
  <c r="Y2078" i="16"/>
  <c r="S2078" i="16"/>
  <c r="Y2062" i="16"/>
  <c r="S2062" i="16"/>
  <c r="S2058" i="16"/>
  <c r="Y2058" i="16"/>
  <c r="Y2035" i="16"/>
  <c r="S2035" i="16"/>
  <c r="Y2015" i="16"/>
  <c r="S2015" i="16"/>
  <c r="S1319" i="16"/>
  <c r="S1267" i="16"/>
  <c r="Y1267" i="16"/>
  <c r="Y888" i="16"/>
  <c r="S2186" i="16"/>
  <c r="Y2000" i="16"/>
  <c r="Y1202" i="16"/>
  <c r="S1003" i="16"/>
  <c r="S904" i="16"/>
  <c r="S544" i="16"/>
  <c r="F2492" i="16"/>
  <c r="Y2436" i="16"/>
  <c r="G2405" i="16"/>
  <c r="Y2357" i="16"/>
  <c r="Y2263" i="16"/>
  <c r="Y2094" i="16"/>
  <c r="Y1101" i="16"/>
  <c r="Y1097" i="16"/>
  <c r="Y1093" i="16"/>
  <c r="Y1726" i="16"/>
  <c r="Y1375" i="16"/>
  <c r="S1212" i="16"/>
  <c r="S1200" i="16"/>
  <c r="S2000" i="16"/>
  <c r="G2379" i="16"/>
  <c r="I2501" i="16"/>
  <c r="F2379" i="16"/>
  <c r="F2405" i="16"/>
  <c r="S1011" i="16"/>
  <c r="S1218" i="16"/>
  <c r="S1491" i="16"/>
  <c r="S1273" i="16"/>
  <c r="Y1486" i="16"/>
  <c r="Y1117" i="16"/>
  <c r="Y1059" i="16"/>
  <c r="S1202" i="16"/>
  <c r="Y693" i="16"/>
  <c r="Y2501" i="16"/>
  <c r="Y2452" i="16"/>
  <c r="Y2192" i="16"/>
  <c r="Y2066" i="16"/>
  <c r="Y2051" i="16"/>
  <c r="Y1833" i="16"/>
  <c r="Y1663" i="16"/>
  <c r="Y1430" i="16"/>
  <c r="Y1341" i="16"/>
  <c r="Y1239" i="16"/>
  <c r="Y1227" i="16"/>
  <c r="S1027" i="16"/>
  <c r="Y1003" i="16"/>
  <c r="Y988" i="16"/>
  <c r="Y815" i="16"/>
  <c r="Y618" i="16"/>
  <c r="Y608" i="16"/>
  <c r="S2336" i="16"/>
  <c r="D2336" i="16" s="1"/>
  <c r="Y1975" i="16"/>
  <c r="S1975" i="16"/>
  <c r="Y1899" i="16"/>
  <c r="S1899" i="16"/>
  <c r="S1399" i="16"/>
  <c r="Y1378" i="16"/>
  <c r="S1348" i="16"/>
  <c r="S1321" i="16"/>
  <c r="S1060" i="16"/>
  <c r="Y996" i="16"/>
  <c r="S890" i="16"/>
  <c r="S883" i="16"/>
  <c r="Y2448" i="16"/>
  <c r="Y2433" i="16"/>
  <c r="Y2385" i="16"/>
  <c r="Y2370" i="16"/>
  <c r="Y2356" i="16"/>
  <c r="Y2328" i="16"/>
  <c r="Y2252" i="16"/>
  <c r="Y2149" i="16"/>
  <c r="Y2086" i="16"/>
  <c r="Y2008" i="16"/>
  <c r="Y1419" i="16"/>
  <c r="Y1314" i="16"/>
  <c r="Y1291" i="16"/>
  <c r="Y1261" i="16"/>
  <c r="Y1023" i="16"/>
  <c r="Y969" i="16"/>
  <c r="Y933" i="16"/>
  <c r="Y797" i="16"/>
  <c r="Y790" i="16"/>
  <c r="Y786" i="16"/>
  <c r="Y2499" i="16"/>
  <c r="S2499" i="16"/>
  <c r="D2499" i="16"/>
  <c r="Y1207" i="16"/>
  <c r="Y586" i="16"/>
  <c r="Y2136" i="16"/>
  <c r="Y2117" i="16"/>
  <c r="Y1986" i="16"/>
  <c r="Y1983" i="16"/>
  <c r="Y1967" i="16"/>
  <c r="Y1948" i="16"/>
  <c r="Y1945" i="16"/>
  <c r="Y1942" i="16"/>
  <c r="Y1936" i="16"/>
  <c r="Y1932" i="16"/>
  <c r="Y1924" i="16"/>
  <c r="Y1922" i="16"/>
  <c r="Y1915" i="16"/>
  <c r="Y1868" i="16"/>
  <c r="Y1859" i="16"/>
  <c r="Y1785" i="16"/>
  <c r="Y1722" i="16"/>
  <c r="Y1713" i="16"/>
  <c r="Y1655" i="16"/>
  <c r="Y1595" i="16"/>
  <c r="Y1587" i="16"/>
  <c r="Y1558" i="16"/>
  <c r="Y1426" i="16"/>
  <c r="Y1423" i="16"/>
  <c r="Y1381" i="16"/>
  <c r="Y1372" i="16"/>
  <c r="Y1346" i="16"/>
  <c r="Y1329" i="16"/>
  <c r="Y1299" i="16"/>
  <c r="Y1295" i="16"/>
  <c r="Y1278" i="16"/>
  <c r="Y1233" i="16"/>
  <c r="Y1122" i="16"/>
  <c r="Y1045" i="16"/>
  <c r="Y970" i="16"/>
  <c r="Y932" i="16"/>
  <c r="Y851" i="16"/>
  <c r="Y807" i="16"/>
  <c r="Y796" i="16"/>
  <c r="Y781" i="16"/>
  <c r="Y777" i="16"/>
  <c r="Y762" i="16"/>
  <c r="Y730" i="16"/>
  <c r="Y699" i="16"/>
  <c r="Y695" i="16"/>
  <c r="Y689" i="16"/>
  <c r="Y685" i="16"/>
  <c r="Y680" i="16"/>
  <c r="Y664" i="16"/>
  <c r="Y660" i="16"/>
  <c r="Y613" i="16"/>
  <c r="Y562" i="16"/>
  <c r="Y2314" i="16"/>
  <c r="Y2207" i="16"/>
  <c r="Y1002" i="16"/>
  <c r="Y2491" i="16"/>
  <c r="Y1854" i="16"/>
  <c r="Y1323" i="16"/>
  <c r="Y1252" i="16"/>
  <c r="Y923" i="16"/>
  <c r="Y892" i="16"/>
  <c r="Y887" i="16"/>
  <c r="Y857" i="16"/>
  <c r="Y842" i="16"/>
  <c r="H2441" i="16"/>
  <c r="G2441" i="16"/>
  <c r="J2404" i="16"/>
  <c r="G2274" i="16"/>
  <c r="H2477" i="16"/>
  <c r="I2406" i="16"/>
  <c r="J2498" i="16"/>
  <c r="I2485" i="16"/>
  <c r="H2269" i="16"/>
  <c r="I2495" i="16"/>
  <c r="H2495" i="16"/>
  <c r="J2495" i="16"/>
  <c r="J2490" i="16"/>
  <c r="H2490" i="16"/>
  <c r="I2490" i="16"/>
  <c r="G2408" i="16"/>
  <c r="F2408" i="16"/>
  <c r="F2311" i="16"/>
  <c r="H2311" i="16"/>
  <c r="J2311" i="16"/>
  <c r="S1788" i="16"/>
  <c r="Y1788" i="16"/>
  <c r="Y1774" i="16"/>
  <c r="S1774" i="16"/>
  <c r="G2316" i="16"/>
  <c r="I2431" i="16"/>
  <c r="F2431" i="16"/>
  <c r="J2478" i="16"/>
  <c r="H2433" i="16"/>
  <c r="H2475" i="16"/>
  <c r="F2475" i="16"/>
  <c r="H2396" i="16"/>
  <c r="I2460" i="16"/>
  <c r="I2269" i="16"/>
  <c r="H2498" i="16"/>
  <c r="G2327" i="16"/>
  <c r="H2418" i="16"/>
  <c r="J2396" i="16"/>
  <c r="G2269" i="16"/>
  <c r="G2283" i="16"/>
  <c r="H2453" i="16"/>
  <c r="I2311" i="16"/>
  <c r="Y1750" i="16"/>
  <c r="G2437" i="16"/>
  <c r="I2437" i="16"/>
  <c r="J2408" i="16"/>
  <c r="H2408" i="16"/>
  <c r="S1741" i="16"/>
  <c r="I2402" i="16"/>
  <c r="I2408" i="16"/>
  <c r="F2274" i="16"/>
  <c r="G2477" i="16"/>
  <c r="H2435" i="16"/>
  <c r="J2435" i="16"/>
  <c r="F2435" i="16"/>
  <c r="G2295" i="16"/>
  <c r="I2295" i="16"/>
  <c r="I2463" i="16"/>
  <c r="I2302" i="16"/>
  <c r="F2297" i="16"/>
  <c r="H2297" i="16"/>
  <c r="Y1761" i="16"/>
  <c r="S1761" i="16"/>
  <c r="S1754" i="16"/>
  <c r="S1744" i="16"/>
  <c r="J2431" i="16"/>
  <c r="I2478" i="16"/>
  <c r="I2504" i="16"/>
  <c r="I2396" i="16"/>
  <c r="H2338" i="16"/>
  <c r="I2338" i="16"/>
  <c r="I2308" i="16"/>
  <c r="G2297" i="16"/>
  <c r="J2297" i="16"/>
  <c r="I2327" i="16"/>
  <c r="H2327" i="16"/>
  <c r="G2404" i="16"/>
  <c r="H2404" i="16"/>
  <c r="I2404" i="16"/>
  <c r="H2316" i="16"/>
  <c r="G2504" i="16"/>
  <c r="F2504" i="16"/>
  <c r="H2431" i="16"/>
  <c r="F2478" i="16"/>
  <c r="J2433" i="16"/>
  <c r="F2441" i="16"/>
  <c r="I2475" i="16"/>
  <c r="F2338" i="16"/>
  <c r="F2485" i="16"/>
  <c r="H2308" i="16"/>
  <c r="J2460" i="16"/>
  <c r="J2269" i="16"/>
  <c r="H2449" i="16"/>
  <c r="F2477" i="16"/>
  <c r="J2295" i="16"/>
  <c r="F2285" i="16"/>
  <c r="F2327" i="16"/>
  <c r="I2274" i="16"/>
  <c r="J2453" i="16"/>
  <c r="I2441" i="16"/>
  <c r="G2495" i="16"/>
  <c r="G2396" i="16"/>
  <c r="I2435" i="16"/>
  <c r="G2343" i="16"/>
  <c r="J2352" i="16"/>
  <c r="H2352" i="16"/>
  <c r="F2382" i="16"/>
  <c r="F2386" i="16"/>
  <c r="G2447" i="16"/>
  <c r="F2447" i="16"/>
  <c r="G2498" i="16"/>
  <c r="J2293" i="16"/>
  <c r="I2293" i="16"/>
  <c r="G2293" i="16"/>
  <c r="G2410" i="16"/>
  <c r="G2418" i="16"/>
  <c r="H2458" i="16"/>
  <c r="G2360" i="16"/>
  <c r="J2411" i="16"/>
  <c r="F2503" i="16"/>
  <c r="I2503" i="16"/>
  <c r="F2319" i="16"/>
  <c r="H2358" i="16"/>
  <c r="G2280" i="16"/>
  <c r="S1832" i="16"/>
  <c r="S1825" i="16"/>
  <c r="S1821" i="16"/>
  <c r="Y1821" i="16"/>
  <c r="S1817" i="16"/>
  <c r="Y1817" i="16"/>
  <c r="S1805" i="16"/>
  <c r="S962" i="16"/>
  <c r="S955" i="16"/>
  <c r="S924" i="16"/>
  <c r="S920" i="16"/>
  <c r="S866" i="16"/>
  <c r="S834" i="16"/>
  <c r="S809" i="16"/>
  <c r="S753" i="16"/>
  <c r="Y750" i="16"/>
  <c r="S750" i="16"/>
  <c r="S672" i="16"/>
  <c r="S659" i="16"/>
  <c r="Y659" i="16"/>
  <c r="Y1825" i="16"/>
  <c r="Y966" i="16"/>
  <c r="S994" i="16"/>
  <c r="Y890" i="16"/>
  <c r="Y834" i="16"/>
  <c r="F2487" i="16"/>
  <c r="S2341" i="16"/>
  <c r="E2341" i="16" s="1"/>
  <c r="Y2337" i="16"/>
  <c r="S2337" i="16"/>
  <c r="E2337" i="16" s="1"/>
  <c r="Y1957" i="16"/>
  <c r="S1957" i="16"/>
  <c r="S1950" i="16"/>
  <c r="Y2495" i="16"/>
  <c r="J2317" i="16"/>
  <c r="G2317" i="16"/>
  <c r="H2317" i="16"/>
  <c r="Y1862" i="16"/>
  <c r="Y826" i="16"/>
  <c r="S2303" i="16"/>
  <c r="E2303" i="16"/>
  <c r="S2182" i="16"/>
  <c r="Y2182" i="16"/>
  <c r="S1728" i="16"/>
  <c r="S1316" i="16"/>
  <c r="S1308" i="16"/>
  <c r="S1256" i="16"/>
  <c r="Y1256" i="16"/>
  <c r="Y1246" i="16"/>
  <c r="S1155" i="16"/>
  <c r="Y1155" i="16"/>
  <c r="S1151" i="16"/>
  <c r="S1099" i="16"/>
  <c r="S602" i="16"/>
  <c r="S561" i="16"/>
  <c r="G2321" i="16"/>
  <c r="H2321" i="16"/>
  <c r="G2314" i="16"/>
  <c r="Y1916" i="16"/>
  <c r="Y736" i="16"/>
  <c r="Y713" i="16"/>
  <c r="G2389" i="16"/>
  <c r="Y1966" i="16"/>
  <c r="S1792" i="16"/>
  <c r="Y1778" i="16"/>
  <c r="Y1644" i="16"/>
  <c r="S1644" i="16"/>
  <c r="S1588" i="16"/>
  <c r="S1540" i="16"/>
  <c r="S1444" i="16"/>
  <c r="Y1444" i="16"/>
  <c r="S1336" i="16"/>
  <c r="Y1236" i="16"/>
  <c r="S1236" i="16"/>
  <c r="Y1198" i="16"/>
  <c r="S1198" i="16"/>
  <c r="S1172" i="16"/>
  <c r="S711" i="16"/>
  <c r="Y707" i="16"/>
  <c r="S623" i="16"/>
  <c r="Y623" i="16"/>
  <c r="S564" i="16"/>
  <c r="S560" i="16"/>
  <c r="Y994" i="16"/>
  <c r="Y869" i="16"/>
  <c r="G2494" i="16"/>
  <c r="G2452" i="16"/>
  <c r="S2288" i="16"/>
  <c r="D2288" i="16" s="1"/>
  <c r="S2011" i="16"/>
  <c r="S1978" i="16"/>
  <c r="S1067" i="16"/>
  <c r="S1024" i="16"/>
  <c r="S978" i="16"/>
  <c r="S905" i="16"/>
  <c r="Y896" i="16"/>
  <c r="S896" i="16"/>
  <c r="S865" i="16"/>
  <c r="Y865" i="16"/>
  <c r="S826" i="16"/>
  <c r="S799" i="16"/>
  <c r="S746" i="16"/>
  <c r="S720" i="16"/>
  <c r="F2346" i="16"/>
  <c r="Y2091" i="16"/>
  <c r="Y1978" i="16"/>
  <c r="Y1970" i="16"/>
  <c r="Y1908" i="16"/>
  <c r="Y1889" i="16"/>
  <c r="Y1858" i="16"/>
  <c r="Y1822" i="16"/>
  <c r="Y1678" i="16"/>
  <c r="Y1326" i="16"/>
  <c r="Y1076" i="16"/>
  <c r="Y1032" i="16"/>
  <c r="Y924" i="16"/>
  <c r="Y602" i="16"/>
  <c r="Y590" i="16"/>
  <c r="I2351" i="16"/>
  <c r="J2351" i="16"/>
  <c r="S1749" i="16"/>
  <c r="Y1749" i="16"/>
  <c r="S1696" i="16"/>
  <c r="Y1696" i="16"/>
  <c r="S1387" i="16"/>
  <c r="Y1369" i="16"/>
  <c r="S1299" i="16"/>
  <c r="S1288" i="16"/>
  <c r="S1235" i="16"/>
  <c r="S832" i="16"/>
  <c r="S781" i="16"/>
  <c r="S686" i="16"/>
  <c r="Y686" i="16"/>
  <c r="S563" i="16"/>
  <c r="S2199" i="16"/>
  <c r="H2369" i="16"/>
  <c r="G2369" i="16"/>
  <c r="Y2205" i="16"/>
  <c r="G2351" i="16"/>
  <c r="Y2362" i="16"/>
  <c r="Y1258" i="16"/>
  <c r="S1375" i="16"/>
  <c r="Y629" i="16"/>
  <c r="Y2442" i="16"/>
  <c r="Y2425" i="16"/>
  <c r="Y2334" i="16"/>
  <c r="Y1800" i="16"/>
  <c r="Y1771" i="16"/>
  <c r="S1426" i="16"/>
  <c r="Y1306" i="16"/>
  <c r="Y1296" i="16"/>
  <c r="Y1232" i="16"/>
  <c r="Y1021" i="16"/>
  <c r="Y1001" i="16"/>
  <c r="S2357" i="16"/>
  <c r="G2311" i="16"/>
  <c r="S2147" i="16"/>
  <c r="Y2147" i="16"/>
  <c r="S2024" i="16"/>
  <c r="Y2024" i="16"/>
  <c r="S1167" i="16"/>
  <c r="Y882" i="16"/>
  <c r="Y2341" i="16"/>
  <c r="Y2319" i="16"/>
  <c r="Y2210" i="16"/>
  <c r="Y2186" i="16"/>
  <c r="Y1708" i="16"/>
  <c r="Y1661" i="16"/>
  <c r="Y1438" i="16"/>
  <c r="Y651" i="16"/>
  <c r="Y600" i="16"/>
  <c r="Y592" i="16"/>
  <c r="Y561" i="16"/>
  <c r="Y536" i="16"/>
  <c r="Y301" i="16"/>
  <c r="G2423" i="16"/>
  <c r="S754" i="16"/>
  <c r="S722" i="16"/>
  <c r="S681" i="16"/>
  <c r="Y681" i="16"/>
  <c r="Y2487" i="16"/>
  <c r="Y2027" i="16"/>
  <c r="Y1192" i="16"/>
  <c r="Y631" i="16"/>
  <c r="Y1016" i="16"/>
  <c r="B2496" i="16"/>
  <c r="Y2496" i="16"/>
  <c r="C2496" i="16"/>
  <c r="F27" i="10"/>
  <c r="Y296" i="16"/>
  <c r="Y515" i="16"/>
  <c r="Y308" i="16"/>
  <c r="Y409" i="16"/>
  <c r="Y416" i="16"/>
  <c r="Y424" i="16"/>
  <c r="Y434" i="16"/>
  <c r="Y465" i="16"/>
  <c r="Y498" i="16"/>
  <c r="Y514" i="16"/>
  <c r="Y257" i="16"/>
  <c r="Y262" i="16"/>
  <c r="Y270" i="16"/>
  <c r="Y281" i="16"/>
  <c r="Y315" i="16"/>
  <c r="Y348" i="16"/>
  <c r="Y372" i="16"/>
  <c r="Y397" i="16"/>
  <c r="Y400" i="16"/>
  <c r="Y423" i="16"/>
  <c r="Y427" i="16"/>
  <c r="Y429" i="16"/>
  <c r="Y447" i="16"/>
  <c r="Y456" i="16"/>
  <c r="Y460" i="16"/>
  <c r="Y473" i="16"/>
  <c r="Y477" i="16"/>
  <c r="Y506" i="16"/>
  <c r="Y513" i="16"/>
  <c r="Y527" i="16"/>
  <c r="Y260" i="16"/>
  <c r="Y367" i="16"/>
  <c r="Y395" i="16"/>
  <c r="Y373" i="16"/>
  <c r="Y377" i="16"/>
  <c r="Y390" i="16"/>
  <c r="Y411" i="16"/>
  <c r="Y442" i="16"/>
  <c r="Y457" i="16"/>
  <c r="Y475" i="16"/>
  <c r="Y488" i="16"/>
  <c r="Y493" i="16"/>
  <c r="Y507" i="16"/>
  <c r="Y521" i="16"/>
  <c r="Y254" i="16"/>
  <c r="Y303" i="16"/>
  <c r="Y342" i="16"/>
  <c r="Y349" i="16"/>
  <c r="Y374" i="16"/>
  <c r="Y382" i="16"/>
  <c r="Y388" i="16"/>
  <c r="Y444" i="16"/>
  <c r="Y490" i="16"/>
  <c r="Y347" i="16"/>
  <c r="Y258" i="16"/>
  <c r="Y284" i="16"/>
  <c r="Y316" i="16"/>
  <c r="Y331" i="16"/>
  <c r="Y370" i="16"/>
  <c r="Y394" i="16"/>
  <c r="Y405" i="16"/>
  <c r="Y417" i="16"/>
  <c r="Y461" i="16"/>
  <c r="Y470" i="16"/>
  <c r="Y485" i="16"/>
  <c r="Y499" i="16"/>
  <c r="Y509" i="16"/>
  <c r="Y530" i="16"/>
  <c r="Y274" i="16"/>
  <c r="Y365" i="16"/>
  <c r="Y376" i="16"/>
  <c r="Y428" i="16"/>
  <c r="Y237" i="16"/>
  <c r="Y293" i="16"/>
  <c r="Y321" i="16"/>
  <c r="Y329" i="16"/>
  <c r="Y341" i="16"/>
  <c r="Y386" i="16"/>
  <c r="Y418" i="16"/>
  <c r="Y439" i="16"/>
  <c r="Y449" i="16"/>
  <c r="Y486" i="16"/>
  <c r="Y500" i="16"/>
  <c r="Y532" i="16"/>
  <c r="Y288" i="16"/>
  <c r="Y501" i="16"/>
  <c r="Y277" i="16"/>
  <c r="Y392" i="16"/>
  <c r="Y422" i="16"/>
  <c r="Y494" i="16"/>
  <c r="Y525" i="16"/>
  <c r="Y317" i="16"/>
  <c r="Y346" i="16"/>
  <c r="Y471" i="16"/>
  <c r="Y533" i="16"/>
  <c r="Y511" i="16"/>
  <c r="Y414" i="16"/>
  <c r="Y287" i="16"/>
  <c r="Y489" i="16"/>
  <c r="Y462" i="16"/>
  <c r="Y412" i="16"/>
  <c r="Y268" i="16"/>
  <c r="Y480" i="16"/>
  <c r="F28" i="10"/>
  <c r="F26" i="10"/>
  <c r="F2355" i="16"/>
  <c r="J2355" i="16"/>
  <c r="F2275" i="16"/>
  <c r="J2364" i="16"/>
  <c r="H2353" i="16"/>
  <c r="F2353" i="16"/>
  <c r="J2487" i="16"/>
  <c r="H2487" i="16"/>
  <c r="I2487" i="16"/>
  <c r="H2501" i="16"/>
  <c r="J2501" i="16"/>
  <c r="F2501" i="16"/>
  <c r="J2277" i="16"/>
  <c r="I2277" i="16"/>
  <c r="G2277" i="16"/>
  <c r="I2323" i="16"/>
  <c r="H2323" i="16"/>
  <c r="F2323" i="16"/>
  <c r="I2445" i="16"/>
  <c r="F2445" i="16"/>
  <c r="H2445" i="16"/>
  <c r="I2275" i="16"/>
  <c r="J2275" i="16"/>
  <c r="G2489" i="16"/>
  <c r="H2489" i="16"/>
  <c r="F2489" i="16"/>
  <c r="J2399" i="16"/>
  <c r="F2399" i="16"/>
  <c r="H2399" i="16"/>
  <c r="I2399" i="16"/>
  <c r="J2291" i="16"/>
  <c r="I2291" i="16"/>
  <c r="F2291" i="16"/>
  <c r="H2291" i="16"/>
  <c r="F2299" i="16"/>
  <c r="H2299" i="16"/>
  <c r="I2422" i="16"/>
  <c r="J2422" i="16"/>
  <c r="I2473" i="16"/>
  <c r="H2473" i="16"/>
  <c r="J2473" i="16"/>
  <c r="F2277" i="16"/>
  <c r="G2355" i="16"/>
  <c r="F2461" i="16"/>
  <c r="F2309" i="16"/>
  <c r="H2309" i="16"/>
  <c r="I2309" i="16"/>
  <c r="G2364" i="16"/>
  <c r="F2313" i="16"/>
  <c r="I2313" i="16"/>
  <c r="H2313" i="16"/>
  <c r="J2313" i="16"/>
  <c r="H2265" i="16"/>
  <c r="F2265" i="16"/>
  <c r="G2309" i="16"/>
  <c r="H2499" i="16"/>
  <c r="J2499" i="16"/>
  <c r="F2499" i="16"/>
  <c r="I2436" i="16"/>
  <c r="J2436" i="16"/>
  <c r="J2440" i="16"/>
  <c r="F2440" i="16"/>
  <c r="I2440" i="16"/>
  <c r="H2440" i="16"/>
  <c r="J2336" i="16"/>
  <c r="I2336" i="16"/>
  <c r="Y436" i="16"/>
  <c r="Y330" i="16"/>
  <c r="Y529" i="16"/>
  <c r="Y454" i="16"/>
  <c r="Y332" i="16"/>
  <c r="F2479" i="16"/>
  <c r="I2479" i="16"/>
  <c r="J2479" i="16"/>
  <c r="G2479" i="16"/>
  <c r="F2421" i="16"/>
  <c r="I2421" i="16"/>
  <c r="J2421" i="16"/>
  <c r="G2421" i="16"/>
  <c r="Y311" i="16"/>
  <c r="Y472" i="16"/>
  <c r="G2336" i="16"/>
  <c r="H2471" i="16"/>
  <c r="J2471" i="16"/>
  <c r="G2436" i="16"/>
  <c r="J2357" i="16"/>
  <c r="Y371" i="16"/>
  <c r="F2288" i="16"/>
  <c r="I2288" i="16"/>
  <c r="J2288" i="16"/>
  <c r="H2288" i="16"/>
  <c r="F2303" i="16"/>
  <c r="I2303" i="16"/>
  <c r="I2337" i="16"/>
  <c r="Y363" i="16"/>
  <c r="Y337" i="16"/>
  <c r="Y402" i="16"/>
  <c r="Y408" i="16"/>
  <c r="Y425" i="16"/>
  <c r="Y247" i="16"/>
  <c r="Y280" i="16"/>
  <c r="Y510" i="16"/>
  <c r="Y364" i="16"/>
  <c r="Y286" i="16"/>
  <c r="Y531" i="16"/>
  <c r="Y389" i="16"/>
  <c r="Y328" i="16"/>
  <c r="F2341" i="16"/>
  <c r="J2341" i="16"/>
  <c r="H2341" i="16"/>
  <c r="Y307" i="16"/>
  <c r="Y393" i="16"/>
  <c r="Y261" i="16"/>
  <c r="G2357" i="16"/>
  <c r="S2496" i="16"/>
  <c r="F46" i="10"/>
  <c r="H28" i="10"/>
  <c r="F33" i="10"/>
  <c r="Y396" i="16"/>
  <c r="Y437" i="16"/>
  <c r="Y249" i="16"/>
  <c r="Y474" i="16"/>
  <c r="Y283" i="16"/>
  <c r="Y352" i="16"/>
  <c r="Y292" i="16"/>
  <c r="Y492" i="16"/>
  <c r="Y312" i="16"/>
  <c r="Y535" i="16"/>
  <c r="Y504" i="16"/>
  <c r="Y355" i="16"/>
  <c r="Y294" i="16"/>
  <c r="Y269" i="16"/>
  <c r="Y252" i="16"/>
  <c r="Y495" i="16"/>
  <c r="Y404" i="16"/>
  <c r="Y534" i="16"/>
  <c r="Y516" i="16"/>
  <c r="Y464" i="16"/>
  <c r="Y375" i="16"/>
  <c r="Y297" i="16"/>
  <c r="Y246" i="16"/>
  <c r="Y476" i="16"/>
  <c r="Y426" i="16"/>
  <c r="Y248" i="16"/>
  <c r="Y385" i="16"/>
  <c r="Y369" i="16"/>
  <c r="Y275" i="16"/>
  <c r="Y264" i="16"/>
  <c r="Y253" i="16"/>
  <c r="Y438" i="16"/>
  <c r="Y520" i="16"/>
  <c r="Y526" i="16"/>
  <c r="Y445" i="16"/>
  <c r="Y265" i="16"/>
  <c r="Y358" i="16"/>
  <c r="Y278" i="16"/>
  <c r="Y267" i="16"/>
  <c r="Y244" i="16"/>
  <c r="Y433" i="16"/>
  <c r="Y479" i="16"/>
  <c r="Y431" i="16"/>
  <c r="Y391" i="16"/>
  <c r="Y318" i="16"/>
  <c r="Y326" i="16"/>
  <c r="Y353" i="16"/>
  <c r="Y320" i="16"/>
  <c r="Y350" i="16"/>
  <c r="Y272" i="16"/>
  <c r="Y240" i="16"/>
  <c r="Y455" i="16"/>
  <c r="Y271" i="16"/>
  <c r="Y380" i="16"/>
  <c r="Y304" i="16"/>
  <c r="Y487" i="16"/>
  <c r="Y441" i="16"/>
  <c r="Y413" i="16"/>
  <c r="Y340" i="16"/>
  <c r="Y324" i="16"/>
  <c r="Y310" i="16"/>
  <c r="Y235" i="16"/>
  <c r="Y339" i="16"/>
  <c r="Y362" i="16"/>
  <c r="Y398" i="16"/>
  <c r="Y243" i="16"/>
  <c r="Y430" i="16"/>
  <c r="Y309" i="16"/>
  <c r="Y250" i="16"/>
  <c r="Y236" i="16"/>
  <c r="Y491" i="16"/>
  <c r="Y379" i="16"/>
  <c r="Y323" i="16"/>
  <c r="Y403" i="16"/>
  <c r="Y458" i="16"/>
  <c r="Y357" i="16"/>
  <c r="Y259" i="16"/>
  <c r="Y453" i="16"/>
  <c r="Y298" i="16"/>
  <c r="Y463" i="16"/>
  <c r="Y496" i="16"/>
  <c r="Y313" i="16"/>
  <c r="Y241" i="16"/>
  <c r="Y440" i="16"/>
  <c r="Y343" i="16"/>
  <c r="Y266" i="16"/>
  <c r="Y508" i="16"/>
  <c r="Y451" i="16"/>
  <c r="Y419" i="16"/>
  <c r="Y335" i="16"/>
  <c r="Y299" i="16"/>
  <c r="Y518" i="16"/>
  <c r="Y503" i="16"/>
  <c r="Y399" i="16"/>
  <c r="Y322" i="16"/>
  <c r="Y300" i="16"/>
  <c r="Y256" i="16"/>
  <c r="Y245" i="16"/>
  <c r="Y522" i="16"/>
  <c r="Y502" i="16"/>
  <c r="Y435" i="16"/>
  <c r="Y410" i="16"/>
  <c r="Y383" i="16"/>
  <c r="Y366" i="16"/>
  <c r="Y351" i="16"/>
  <c r="Y319" i="16"/>
  <c r="Y306" i="16"/>
  <c r="Y285" i="16"/>
  <c r="Y273" i="16"/>
  <c r="Y251" i="16"/>
  <c r="Y432" i="16"/>
  <c r="Y325" i="16"/>
  <c r="F2496" i="16"/>
  <c r="H2496" i="16"/>
  <c r="J2496" i="16"/>
  <c r="Y524" i="16"/>
  <c r="J2266" i="16"/>
  <c r="I2266" i="16"/>
  <c r="F2266" i="16"/>
  <c r="G2284" i="16"/>
  <c r="J2284" i="16"/>
  <c r="F2284" i="16"/>
  <c r="F2456" i="16"/>
  <c r="J2456" i="16"/>
  <c r="H2456" i="16"/>
  <c r="G2456" i="16"/>
  <c r="I2474" i="16"/>
  <c r="F2474" i="16"/>
  <c r="H2474" i="16"/>
  <c r="G2474" i="16"/>
  <c r="J2474" i="16"/>
  <c r="G2302" i="16"/>
  <c r="H2302" i="16"/>
  <c r="J2302" i="16"/>
  <c r="F2302" i="16"/>
  <c r="S2044" i="16"/>
  <c r="Y2044" i="16"/>
  <c r="S1790" i="16"/>
  <c r="Y1790" i="16"/>
  <c r="S1725" i="16"/>
  <c r="Y1725" i="16"/>
  <c r="S1467" i="16"/>
  <c r="Y1467" i="16"/>
  <c r="S1365" i="16"/>
  <c r="Y1365" i="16"/>
  <c r="Y1355" i="16"/>
  <c r="S1355" i="16"/>
  <c r="Y1351" i="16"/>
  <c r="S1351" i="16"/>
  <c r="Y1313" i="16"/>
  <c r="S1313" i="16"/>
  <c r="S1307" i="16"/>
  <c r="Y1307" i="16"/>
  <c r="S1289" i="16"/>
  <c r="Y1289" i="16"/>
  <c r="Y1283" i="16"/>
  <c r="S1283" i="16"/>
  <c r="S1276" i="16"/>
  <c r="Y1276" i="16"/>
  <c r="S1147" i="16"/>
  <c r="Y1147" i="16"/>
  <c r="S1124" i="16"/>
  <c r="Y1124" i="16"/>
  <c r="S837" i="16"/>
  <c r="S817" i="16"/>
  <c r="Y749" i="16"/>
  <c r="S749" i="16"/>
  <c r="S552" i="16"/>
  <c r="Y552" i="16"/>
  <c r="Y345" i="16"/>
  <c r="Y290" i="16"/>
  <c r="F48" i="10"/>
  <c r="F38" i="10"/>
  <c r="F43" i="10"/>
  <c r="Y452" i="16"/>
  <c r="Y295" i="16"/>
  <c r="Y282" i="16"/>
  <c r="Y466" i="16"/>
  <c r="Y415" i="16"/>
  <c r="Y334" i="16"/>
  <c r="Y459" i="16"/>
  <c r="Y406" i="16"/>
  <c r="Y314" i="16"/>
  <c r="S1337" i="16"/>
  <c r="H2284" i="16"/>
  <c r="I2456" i="16"/>
  <c r="Y837" i="16"/>
  <c r="I2298" i="16"/>
  <c r="H2298" i="16"/>
  <c r="J2298" i="16"/>
  <c r="G2298" i="16"/>
  <c r="F2298" i="16"/>
  <c r="J2413" i="16"/>
  <c r="F2413" i="16"/>
  <c r="G2413" i="16"/>
  <c r="H2413" i="16"/>
  <c r="I2413" i="16"/>
  <c r="S1431" i="16"/>
  <c r="Y446" i="16"/>
  <c r="G2337" i="16"/>
  <c r="H2429" i="16"/>
  <c r="F2429" i="16"/>
  <c r="J2429" i="16"/>
  <c r="I2429" i="16"/>
  <c r="H2461" i="16"/>
  <c r="J2461" i="16"/>
  <c r="H2372" i="16"/>
  <c r="J2372" i="16"/>
  <c r="G2372" i="16"/>
  <c r="I2372" i="16"/>
  <c r="F2372" i="16"/>
  <c r="G2380" i="16"/>
  <c r="J2380" i="16"/>
  <c r="F2380" i="16"/>
  <c r="H2380" i="16"/>
  <c r="S1768" i="16"/>
  <c r="Y1768" i="16"/>
  <c r="S1719" i="16"/>
  <c r="S1536" i="16"/>
  <c r="Y1536" i="16"/>
  <c r="S1530" i="16"/>
  <c r="Y1530" i="16"/>
  <c r="S1478" i="16"/>
  <c r="Y1463" i="16"/>
  <c r="S1457" i="16"/>
  <c r="Y1457" i="16"/>
  <c r="S1435" i="16"/>
  <c r="Y1428" i="16"/>
  <c r="S1428" i="16"/>
  <c r="S1422" i="16"/>
  <c r="Y1422" i="16"/>
  <c r="S1362" i="16"/>
  <c r="Y1362" i="16"/>
  <c r="S1317" i="16"/>
  <c r="Y1317" i="16"/>
  <c r="S1292" i="16"/>
  <c r="Y1286" i="16"/>
  <c r="S1286" i="16"/>
  <c r="S1234" i="16"/>
  <c r="Y1234" i="16"/>
  <c r="S1156" i="16"/>
  <c r="Y1156" i="16"/>
  <c r="Y1150" i="16"/>
  <c r="S840" i="16"/>
  <c r="Y840" i="16"/>
  <c r="Y761" i="16"/>
  <c r="S761" i="16"/>
  <c r="Y756" i="16"/>
  <c r="S624" i="16"/>
  <c r="Y624" i="16"/>
  <c r="Y302" i="16"/>
  <c r="Y291" i="16"/>
  <c r="H2337" i="16"/>
  <c r="I2461" i="16"/>
  <c r="Y483" i="16"/>
  <c r="Y305" i="16"/>
  <c r="Y255" i="16"/>
  <c r="Y407" i="16"/>
  <c r="Y401" i="16"/>
  <c r="Y523" i="16"/>
  <c r="Y378" i="16"/>
  <c r="Y327" i="16"/>
  <c r="Y276" i="16"/>
  <c r="Y242" i="16"/>
  <c r="Y817" i="16"/>
  <c r="H2303" i="16"/>
  <c r="J2303" i="16"/>
  <c r="S897" i="16"/>
  <c r="H2275" i="16"/>
  <c r="G2275" i="16"/>
  <c r="G2315" i="16"/>
  <c r="F2315" i="16"/>
  <c r="H2315" i="16"/>
  <c r="J2315" i="16"/>
  <c r="I2315" i="16"/>
  <c r="G2331" i="16"/>
  <c r="J2331" i="16"/>
  <c r="I2331" i="16"/>
  <c r="H2331" i="16"/>
  <c r="I2284" i="16"/>
  <c r="H2322" i="16"/>
  <c r="J2322" i="16"/>
  <c r="F2322" i="16"/>
  <c r="I2322" i="16"/>
  <c r="J2406" i="16"/>
  <c r="F2406" i="16"/>
  <c r="H2406" i="16"/>
  <c r="G2406" i="16"/>
  <c r="F2468" i="16"/>
  <c r="J2468" i="16"/>
  <c r="G2468" i="16"/>
  <c r="H2468" i="16"/>
  <c r="I2468" i="16"/>
  <c r="S2432" i="16"/>
  <c r="G2432" i="16" s="1"/>
  <c r="S2428" i="16"/>
  <c r="S2424" i="16"/>
  <c r="Y2424" i="16"/>
  <c r="S2417" i="16"/>
  <c r="G2417" i="16" s="1"/>
  <c r="Y2417" i="16"/>
  <c r="S2414" i="16"/>
  <c r="G2414" i="16" s="1"/>
  <c r="Y2414" i="16"/>
  <c r="J2410" i="16"/>
  <c r="F2410" i="16"/>
  <c r="F2401" i="16"/>
  <c r="H2401" i="16"/>
  <c r="G2401" i="16"/>
  <c r="I2401" i="16"/>
  <c r="J2395" i="16"/>
  <c r="I2395" i="16"/>
  <c r="F2395" i="16"/>
  <c r="J2347" i="16"/>
  <c r="I2347" i="16"/>
  <c r="F2347" i="16"/>
  <c r="H2343" i="16"/>
  <c r="I2343" i="16"/>
  <c r="F2343" i="16"/>
  <c r="J2343" i="16"/>
  <c r="Y2340" i="16"/>
  <c r="S2340" i="16"/>
  <c r="S2326" i="16"/>
  <c r="Y2326" i="16"/>
  <c r="G2322" i="16"/>
  <c r="Y2318" i="16"/>
  <c r="S2318" i="16"/>
  <c r="F2304" i="16"/>
  <c r="I2304" i="16"/>
  <c r="H2304" i="16"/>
  <c r="J2301" i="16"/>
  <c r="F2301" i="16"/>
  <c r="I2301" i="16"/>
  <c r="H2301" i="16"/>
  <c r="G2294" i="16"/>
  <c r="J2294" i="16"/>
  <c r="I2294" i="16"/>
  <c r="H2294" i="16"/>
  <c r="F2294" i="16"/>
  <c r="F2286" i="16"/>
  <c r="J2286" i="16"/>
  <c r="I2286" i="16"/>
  <c r="G2286" i="16"/>
  <c r="H2286" i="16"/>
  <c r="S2271" i="16"/>
  <c r="G2271" i="16" s="1"/>
  <c r="Y2271" i="16"/>
  <c r="Y2268" i="16"/>
  <c r="S2268" i="16"/>
  <c r="Y2266" i="16"/>
  <c r="G2266" i="16"/>
  <c r="S2222" i="16"/>
  <c r="Y2222" i="16"/>
  <c r="Y2214" i="16"/>
  <c r="S2214" i="16"/>
  <c r="S2201" i="16"/>
  <c r="Y2201" i="16"/>
  <c r="S2107" i="16"/>
  <c r="Y2107" i="16"/>
  <c r="Y2079" i="16"/>
  <c r="S2079" i="16"/>
  <c r="S2075" i="16"/>
  <c r="Y2075" i="16"/>
  <c r="S1796" i="16"/>
  <c r="Y1796" i="16"/>
  <c r="S1496" i="16"/>
  <c r="S1487" i="16"/>
  <c r="Y1487" i="16"/>
  <c r="S1484" i="16"/>
  <c r="Y1484" i="16"/>
  <c r="S1482" i="16"/>
  <c r="Y1482" i="16"/>
  <c r="S1462" i="16"/>
  <c r="S1442" i="16"/>
  <c r="Y1442" i="16"/>
  <c r="S1434" i="16"/>
  <c r="Y1434" i="16"/>
  <c r="S1421" i="16"/>
  <c r="Y1421" i="16"/>
  <c r="Y1418" i="16"/>
  <c r="S1411" i="16"/>
  <c r="Y1411" i="16"/>
  <c r="S1408" i="16"/>
  <c r="Y1408" i="16"/>
  <c r="Y1406" i="16"/>
  <c r="S1406" i="16"/>
  <c r="S1400" i="16"/>
  <c r="S1393" i="16"/>
  <c r="Y1393" i="16"/>
  <c r="S1384" i="16"/>
  <c r="Y1384" i="16"/>
  <c r="S1350" i="16"/>
  <c r="S1346" i="16"/>
  <c r="S1340" i="16"/>
  <c r="Y1340" i="16"/>
  <c r="S1237" i="16"/>
  <c r="S1131" i="16"/>
  <c r="Y1131" i="16"/>
  <c r="Y1127" i="16"/>
  <c r="S1127" i="16"/>
  <c r="S1080" i="16"/>
  <c r="Y1080" i="16"/>
  <c r="S1073" i="16"/>
  <c r="Y1073" i="16"/>
  <c r="S1063" i="16"/>
  <c r="Y1063" i="16"/>
  <c r="S1049" i="16"/>
  <c r="Y1049" i="16"/>
  <c r="Y1046" i="16"/>
  <c r="S985" i="16"/>
  <c r="S982" i="16"/>
  <c r="S972" i="16"/>
  <c r="Y972" i="16"/>
  <c r="S963" i="16"/>
  <c r="S960" i="16"/>
  <c r="Y960" i="16"/>
  <c r="S945" i="16"/>
  <c r="Y945" i="16"/>
  <c r="S942" i="16"/>
  <c r="Y942" i="16"/>
  <c r="S939" i="16"/>
  <c r="Y939" i="16"/>
  <c r="Y931" i="16"/>
  <c r="S931" i="16"/>
  <c r="S928" i="16"/>
  <c r="Y928" i="16"/>
  <c r="S925" i="16"/>
  <c r="Y925" i="16"/>
  <c r="S918" i="16"/>
  <c r="Y918" i="16"/>
  <c r="Y913" i="16"/>
  <c r="S913" i="16"/>
  <c r="S910" i="16"/>
  <c r="S907" i="16"/>
  <c r="Y907" i="16"/>
  <c r="Y903" i="16"/>
  <c r="S555" i="16"/>
  <c r="S539" i="16"/>
  <c r="Y539" i="16"/>
  <c r="D28" i="10"/>
  <c r="G2496" i="16"/>
  <c r="I2496" i="16"/>
  <c r="Y289" i="16"/>
  <c r="Y505" i="16"/>
  <c r="Y356" i="16"/>
  <c r="G2303" i="16"/>
  <c r="Y110" i="16"/>
  <c r="F2337" i="16"/>
  <c r="Y421" i="16"/>
  <c r="F2331" i="16"/>
  <c r="F31" i="10"/>
  <c r="F36" i="10"/>
  <c r="F41" i="10"/>
  <c r="Y469" i="16"/>
  <c r="Y381" i="16"/>
  <c r="Y481" i="16"/>
  <c r="Y512" i="16"/>
  <c r="Y368" i="16"/>
  <c r="Y344" i="16"/>
  <c r="F32" i="10"/>
  <c r="F37" i="10"/>
  <c r="F47" i="10"/>
  <c r="F42" i="10"/>
  <c r="I2357" i="16"/>
  <c r="H2357" i="16"/>
  <c r="F2357" i="16"/>
  <c r="H2410" i="16"/>
  <c r="I2380" i="16"/>
  <c r="Y985" i="16"/>
  <c r="F2471" i="16"/>
  <c r="G2471" i="16"/>
  <c r="I2471" i="16"/>
  <c r="G2301" i="16"/>
  <c r="G2395" i="16"/>
  <c r="G2429" i="16"/>
  <c r="G2461" i="16"/>
  <c r="G2304" i="16"/>
  <c r="S756" i="16"/>
  <c r="Y360" i="16"/>
  <c r="Y384" i="16"/>
  <c r="Y338" i="16"/>
  <c r="Y528" i="16"/>
  <c r="Y478" i="16"/>
  <c r="Y361" i="16"/>
  <c r="Y519" i="16"/>
  <c r="Y359" i="16"/>
  <c r="Y420" i="16"/>
  <c r="F2336" i="16"/>
  <c r="H2336" i="16"/>
  <c r="H2364" i="16"/>
  <c r="F2439" i="16"/>
  <c r="G2390" i="16"/>
  <c r="G2299" i="16"/>
  <c r="I2299" i="16"/>
  <c r="J2299" i="16"/>
  <c r="F2453" i="16"/>
  <c r="I2453" i="16"/>
  <c r="F2396" i="16"/>
  <c r="H2463" i="16"/>
  <c r="F2463" i="16"/>
  <c r="J2463" i="16"/>
  <c r="G2463" i="16"/>
  <c r="J2349" i="16"/>
  <c r="I2349" i="16"/>
  <c r="H2349" i="16"/>
  <c r="G2349" i="16"/>
  <c r="J2398" i="16"/>
  <c r="I2398" i="16"/>
  <c r="H2398" i="16"/>
  <c r="Y443" i="16"/>
  <c r="Y333" i="16"/>
  <c r="Y263" i="16"/>
  <c r="Y517" i="16"/>
  <c r="Y387" i="16"/>
  <c r="Y497" i="16"/>
  <c r="Y234" i="16"/>
  <c r="Y482" i="16"/>
  <c r="Y279" i="16"/>
  <c r="Y450" i="16"/>
  <c r="Y354" i="16"/>
  <c r="Y336" i="16"/>
  <c r="G2341" i="16"/>
  <c r="I2341" i="16"/>
  <c r="F2364" i="16"/>
  <c r="I2364" i="16"/>
  <c r="J2265" i="16"/>
  <c r="I2265" i="16"/>
  <c r="H2285" i="16"/>
  <c r="G2285" i="16"/>
  <c r="J2285" i="16"/>
  <c r="J2309" i="16"/>
  <c r="F2390" i="16"/>
  <c r="J2390" i="16"/>
  <c r="F2427" i="16"/>
  <c r="G2427" i="16"/>
  <c r="I2439" i="16"/>
  <c r="G2439" i="16"/>
  <c r="H2439" i="16"/>
  <c r="J2449" i="16"/>
  <c r="I2449" i="16"/>
  <c r="G2449" i="16"/>
  <c r="F2402" i="16"/>
  <c r="G2402" i="16"/>
  <c r="J2402" i="16"/>
  <c r="G2323" i="16"/>
  <c r="J2418" i="16"/>
  <c r="J2419" i="16"/>
  <c r="G2419" i="16"/>
  <c r="F2483" i="16"/>
  <c r="I2483" i="16"/>
  <c r="J2338" i="16"/>
  <c r="G2338" i="16"/>
  <c r="I2290" i="16"/>
  <c r="J2306" i="16"/>
  <c r="I2306" i="16"/>
  <c r="J2356" i="16"/>
  <c r="H2356" i="16"/>
  <c r="I2356" i="16"/>
  <c r="I2384" i="16"/>
  <c r="H2384" i="16"/>
  <c r="F2384" i="16"/>
  <c r="G2455" i="16"/>
  <c r="H2455" i="16"/>
  <c r="H2281" i="16"/>
  <c r="I2281" i="16"/>
  <c r="F2281" i="16"/>
  <c r="F25" i="10"/>
  <c r="G15" i="10"/>
  <c r="H15" i="10" s="1"/>
  <c r="D15" i="10" s="1"/>
  <c r="Y1237" i="16"/>
  <c r="Y897" i="16"/>
  <c r="I2488" i="16"/>
  <c r="J2488" i="16"/>
  <c r="H2488" i="16"/>
  <c r="F2488" i="16"/>
  <c r="S2482" i="16"/>
  <c r="G2482" i="16" s="1"/>
  <c r="S2476" i="16"/>
  <c r="Y2476" i="16"/>
  <c r="G2472" i="16"/>
  <c r="I2472" i="16"/>
  <c r="F2472" i="16"/>
  <c r="S2464" i="16"/>
  <c r="Y2460" i="16"/>
  <c r="G2460" i="16"/>
  <c r="S2457" i="16"/>
  <c r="Y2457" i="16"/>
  <c r="G2457" i="16"/>
  <c r="G2448" i="16"/>
  <c r="J2448" i="16"/>
  <c r="J2441" i="16"/>
  <c r="I2423" i="16"/>
  <c r="J2423" i="16"/>
  <c r="H2423" i="16"/>
  <c r="F2423" i="16"/>
  <c r="G2416" i="16"/>
  <c r="H2416" i="16"/>
  <c r="F2416" i="16"/>
  <c r="H2407" i="16"/>
  <c r="J2407" i="16"/>
  <c r="F2403" i="16"/>
  <c r="H2403" i="16"/>
  <c r="J2403" i="16"/>
  <c r="H2393" i="16"/>
  <c r="I2393" i="16"/>
  <c r="H2383" i="16"/>
  <c r="G2383" i="16"/>
  <c r="F2436" i="16"/>
  <c r="J2323" i="16"/>
  <c r="Y448" i="16"/>
  <c r="Y484" i="16"/>
  <c r="G2403" i="16"/>
  <c r="I2355" i="16"/>
  <c r="G2435" i="16"/>
  <c r="G2485" i="16"/>
  <c r="I2499" i="16"/>
  <c r="G2499" i="16"/>
  <c r="F2418" i="16"/>
  <c r="H2421" i="16"/>
  <c r="G2440" i="16"/>
  <c r="F2393" i="16"/>
  <c r="G2407" i="16"/>
  <c r="I2489" i="16"/>
  <c r="J2489" i="16"/>
  <c r="G2473" i="16"/>
  <c r="F2473" i="16"/>
  <c r="J2290" i="16"/>
  <c r="H2483" i="16"/>
  <c r="J2281" i="16"/>
  <c r="J2455" i="16"/>
  <c r="F2290" i="16"/>
  <c r="S2451" i="16"/>
  <c r="H2454" i="16"/>
  <c r="F2454" i="16"/>
  <c r="G2454" i="16"/>
  <c r="H2472" i="16"/>
  <c r="G2329" i="16"/>
  <c r="H2329" i="16"/>
  <c r="H2448" i="16"/>
  <c r="J2270" i="16"/>
  <c r="I2270" i="16"/>
  <c r="G2270" i="16"/>
  <c r="I2282" i="16"/>
  <c r="J2472" i="16"/>
  <c r="F2296" i="16"/>
  <c r="H2296" i="16"/>
  <c r="G2296" i="16"/>
  <c r="I2296" i="16"/>
  <c r="G2361" i="16"/>
  <c r="Y1550" i="16"/>
  <c r="Y1350" i="16"/>
  <c r="I2358" i="16"/>
  <c r="G2358" i="16"/>
  <c r="J2494" i="16"/>
  <c r="H2494" i="16"/>
  <c r="A2" i="2"/>
  <c r="A47" i="2"/>
  <c r="A44" i="2"/>
  <c r="A20" i="2"/>
  <c r="A32" i="2"/>
  <c r="A17" i="2"/>
  <c r="A51" i="2"/>
  <c r="A41" i="2"/>
  <c r="A12" i="2"/>
  <c r="J46" i="10"/>
  <c r="I25" i="10"/>
  <c r="J20" i="10"/>
  <c r="B22" i="3"/>
  <c r="F4" i="14"/>
  <c r="C28" i="3"/>
  <c r="I5" i="10"/>
  <c r="B30" i="3"/>
  <c r="B29" i="4"/>
  <c r="B35" i="4" s="1"/>
  <c r="A23" i="10" s="1"/>
  <c r="C30" i="3"/>
  <c r="I58" i="10"/>
  <c r="B32" i="3"/>
  <c r="J7" i="10"/>
  <c r="J17" i="10"/>
  <c r="A72" i="2"/>
  <c r="J61" i="10"/>
  <c r="B68" i="4"/>
  <c r="A49" i="10" s="1"/>
  <c r="J48" i="10"/>
  <c r="B21" i="4"/>
  <c r="A12" i="10" s="1"/>
  <c r="I23" i="10"/>
  <c r="J37" i="10"/>
  <c r="C20" i="3"/>
  <c r="J55" i="10"/>
  <c r="I27" i="10"/>
  <c r="I43" i="10"/>
  <c r="I64" i="10"/>
  <c r="A74" i="2"/>
  <c r="P4" i="16"/>
  <c r="L62" i="10"/>
  <c r="I30" i="10"/>
  <c r="C23" i="3"/>
  <c r="B13" i="4"/>
  <c r="C29" i="3"/>
  <c r="J51" i="10"/>
  <c r="A63" i="2"/>
  <c r="C16" i="3"/>
  <c r="B20" i="4"/>
  <c r="A11" i="10" s="1"/>
  <c r="O4" i="16"/>
  <c r="J40" i="10"/>
  <c r="I22" i="10"/>
  <c r="J23" i="10"/>
  <c r="B11" i="3"/>
  <c r="N4" i="16"/>
  <c r="I37" i="10"/>
  <c r="H4" i="16"/>
  <c r="J53" i="10"/>
  <c r="J10" i="10"/>
  <c r="A71" i="2"/>
  <c r="C3" i="3"/>
  <c r="I33" i="10"/>
  <c r="I15" i="10"/>
  <c r="A75" i="2"/>
  <c r="I36" i="10"/>
  <c r="L65" i="10"/>
  <c r="A3" i="10"/>
  <c r="J22" i="10"/>
  <c r="B7" i="4"/>
  <c r="C10" i="3"/>
  <c r="L63" i="10"/>
  <c r="B25" i="3"/>
  <c r="B4" i="3"/>
  <c r="J5" i="10"/>
  <c r="J36" i="10"/>
  <c r="C17" i="3"/>
  <c r="A55" i="2"/>
  <c r="B27" i="4"/>
  <c r="A16" i="10" s="1"/>
  <c r="L64" i="10"/>
  <c r="M4" i="16"/>
  <c r="B21" i="3"/>
  <c r="I4" i="10"/>
  <c r="C4" i="10" s="1"/>
  <c r="A14" i="2"/>
  <c r="A11" i="2"/>
  <c r="A25" i="2"/>
  <c r="A43" i="2"/>
  <c r="A24" i="2"/>
  <c r="I26" i="10"/>
  <c r="J26" i="10"/>
  <c r="C25" i="3"/>
  <c r="B20" i="3"/>
  <c r="J47" i="10"/>
  <c r="J4" i="10"/>
  <c r="J60" i="10"/>
  <c r="I12" i="10"/>
  <c r="B12" i="4"/>
  <c r="B23" i="3"/>
  <c r="B67" i="4"/>
  <c r="B17" i="4"/>
  <c r="A9" i="10" s="1"/>
  <c r="J16" i="10"/>
  <c r="J21" i="10"/>
  <c r="J30" i="10"/>
  <c r="J45" i="10"/>
  <c r="C26" i="3"/>
  <c r="B22" i="4"/>
  <c r="A13" i="10" s="1"/>
  <c r="B8" i="4"/>
  <c r="A4" i="10" s="1"/>
  <c r="I17" i="10"/>
  <c r="I41" i="10"/>
  <c r="J27" i="10"/>
  <c r="J11" i="10"/>
  <c r="B4" i="4"/>
  <c r="A66" i="2"/>
  <c r="E4" i="16"/>
  <c r="I6" i="10"/>
  <c r="C4" i="3"/>
  <c r="I9" i="10"/>
  <c r="B15" i="4"/>
  <c r="A7" i="10" s="1"/>
  <c r="A89" i="4"/>
  <c r="L4" i="16"/>
  <c r="D4" i="16"/>
  <c r="J42" i="10"/>
  <c r="H4" i="14"/>
  <c r="C9" i="3"/>
  <c r="Q4" i="16"/>
  <c r="F4" i="16"/>
  <c r="I42" i="10"/>
  <c r="B18" i="4"/>
  <c r="A10" i="10" s="1"/>
  <c r="J56" i="10"/>
  <c r="I55" i="10"/>
  <c r="B27" i="3"/>
  <c r="C5" i="11"/>
  <c r="I16" i="10"/>
  <c r="A73" i="2"/>
  <c r="A69" i="2"/>
  <c r="I54" i="10"/>
  <c r="A4" i="14"/>
  <c r="I59" i="10"/>
  <c r="B6" i="4"/>
  <c r="C15" i="3"/>
  <c r="I20" i="10"/>
  <c r="I18" i="10"/>
  <c r="J12" i="10"/>
  <c r="B5" i="11"/>
  <c r="C27" i="3"/>
  <c r="C21" i="3"/>
  <c r="B14" i="3"/>
  <c r="J52" i="10"/>
  <c r="J2" i="16"/>
  <c r="C7" i="3"/>
  <c r="G2488" i="16"/>
  <c r="Y2488" i="16"/>
  <c r="S1811" i="16"/>
  <c r="I2362" i="16"/>
  <c r="F2362" i="16"/>
  <c r="S2252" i="16"/>
  <c r="S2209" i="16"/>
  <c r="S2013" i="16"/>
  <c r="S1956" i="16"/>
  <c r="Y1956" i="16"/>
  <c r="Y1867" i="16"/>
  <c r="S1867" i="16"/>
  <c r="S1857" i="16"/>
  <c r="Y1857" i="16"/>
  <c r="S1765" i="16"/>
  <c r="A19" i="2"/>
  <c r="A42" i="2"/>
  <c r="A34" i="2"/>
  <c r="A28" i="2"/>
  <c r="A30" i="2"/>
  <c r="A8" i="2"/>
  <c r="B2" i="16"/>
  <c r="F6" i="10"/>
  <c r="H6" i="10"/>
  <c r="Y2482" i="16"/>
  <c r="Y910" i="16"/>
  <c r="Y900" i="16"/>
  <c r="S2371" i="16"/>
  <c r="F2371" i="16" s="1"/>
  <c r="Y2371" i="16"/>
  <c r="I68" i="4"/>
  <c r="A21" i="2"/>
  <c r="A54" i="2"/>
  <c r="A37" i="2"/>
  <c r="A46" i="2"/>
  <c r="A49" i="2"/>
  <c r="A7" i="2"/>
  <c r="A23" i="2"/>
  <c r="G3" i="16"/>
  <c r="A33" i="2"/>
  <c r="B39" i="4"/>
  <c r="A26" i="10" s="1"/>
  <c r="B40" i="4"/>
  <c r="B64" i="4" s="1"/>
  <c r="A47" i="10" s="1"/>
  <c r="B38" i="4"/>
  <c r="B44" i="4" s="1"/>
  <c r="A30" i="10" s="1"/>
  <c r="Y2503" i="16"/>
  <c r="Y2347" i="16"/>
  <c r="Y1999" i="16"/>
  <c r="S2246" i="16"/>
  <c r="Y2246" i="16"/>
  <c r="S1157" i="16"/>
  <c r="Y1157" i="16"/>
  <c r="S573" i="16"/>
  <c r="Y1498" i="16"/>
  <c r="S1174" i="16"/>
  <c r="Y1452" i="16"/>
  <c r="Y1781" i="16"/>
  <c r="Y1719" i="16"/>
  <c r="Y1400" i="16"/>
  <c r="I2371" i="16"/>
  <c r="G2371" i="16"/>
  <c r="H2371" i="16"/>
  <c r="I2476" i="16"/>
  <c r="J2476" i="16"/>
  <c r="F2476" i="16"/>
  <c r="G2476" i="16"/>
  <c r="H2476" i="16"/>
  <c r="F30" i="10"/>
  <c r="F45" i="10"/>
  <c r="F40" i="10"/>
  <c r="F50" i="10"/>
  <c r="F57" i="10" s="1"/>
  <c r="F35" i="10"/>
  <c r="F2482" i="16"/>
  <c r="H2482" i="16"/>
  <c r="J2482" i="16"/>
  <c r="I2482" i="16"/>
  <c r="I2271" i="16"/>
  <c r="J2271" i="16"/>
  <c r="H2271" i="16"/>
  <c r="F2271" i="16"/>
  <c r="F2318" i="16"/>
  <c r="J2318" i="16"/>
  <c r="H2318" i="16"/>
  <c r="I2318" i="16"/>
  <c r="G2318" i="16"/>
  <c r="F2326" i="16"/>
  <c r="H2326" i="16"/>
  <c r="I2326" i="16"/>
  <c r="J2326" i="16"/>
  <c r="G2326" i="16"/>
  <c r="J2414" i="16"/>
  <c r="H2414" i="16"/>
  <c r="F2414" i="16"/>
  <c r="I2414" i="16"/>
  <c r="I2417" i="16"/>
  <c r="J2417" i="16"/>
  <c r="F2417" i="16"/>
  <c r="H2417" i="16"/>
  <c r="I2428" i="16"/>
  <c r="H2428" i="16"/>
  <c r="J2428" i="16"/>
  <c r="G2428" i="16"/>
  <c r="F2428" i="16"/>
  <c r="J2340" i="16"/>
  <c r="H2340" i="16"/>
  <c r="F2340" i="16"/>
  <c r="I2340" i="16"/>
  <c r="J2268" i="16"/>
  <c r="F2268" i="16"/>
  <c r="H2268" i="16"/>
  <c r="I2268" i="16"/>
  <c r="I2424" i="16"/>
  <c r="J2424" i="16"/>
  <c r="H2424" i="16"/>
  <c r="F2424" i="16"/>
  <c r="J2432" i="16"/>
  <c r="F2432" i="16"/>
  <c r="I2432" i="16"/>
  <c r="H2432" i="16"/>
  <c r="F2451" i="16"/>
  <c r="I2451" i="16"/>
  <c r="H2451" i="16"/>
  <c r="J2451" i="16"/>
  <c r="G2451" i="16"/>
  <c r="I2457" i="16"/>
  <c r="F2457" i="16"/>
  <c r="H2457" i="16"/>
  <c r="J2457" i="16"/>
  <c r="F2464" i="16"/>
  <c r="H2464" i="16"/>
  <c r="I2464" i="16"/>
  <c r="J2464" i="16"/>
  <c r="G2464" i="16"/>
  <c r="G2268" i="16"/>
  <c r="G2340" i="16"/>
  <c r="B47" i="4"/>
  <c r="A33" i="10" s="1"/>
  <c r="D49" i="4"/>
  <c r="B53" i="4"/>
  <c r="A38" i="10" s="1"/>
  <c r="A28" i="10"/>
  <c r="B59" i="4"/>
  <c r="A43" i="10" s="1"/>
  <c r="D43" i="4"/>
  <c r="D31" i="4"/>
  <c r="P37" i="4" s="1"/>
  <c r="Q37" i="4" s="1"/>
  <c r="B69" i="4" s="1"/>
  <c r="A50" i="10" s="1"/>
  <c r="D55" i="4"/>
  <c r="D61" i="4"/>
  <c r="D37" i="4"/>
  <c r="U848" i="16"/>
  <c r="U687" i="16"/>
  <c r="U1747" i="16"/>
  <c r="U1736" i="16"/>
  <c r="U2300" i="16"/>
  <c r="C2" i="10"/>
  <c r="C28" i="10"/>
  <c r="U1913" i="16"/>
  <c r="U1103" i="16"/>
  <c r="U812" i="16"/>
  <c r="U2466" i="16"/>
  <c r="U2445" i="16"/>
  <c r="U1802" i="16"/>
  <c r="U1275" i="16"/>
  <c r="U1347" i="16"/>
  <c r="U1325" i="16"/>
  <c r="U881" i="16"/>
  <c r="U1942" i="16"/>
  <c r="U2151" i="16"/>
  <c r="U2145" i="16"/>
  <c r="U1953" i="16"/>
  <c r="U1868" i="16"/>
  <c r="U1858" i="16"/>
  <c r="U723" i="16"/>
  <c r="U594" i="16"/>
  <c r="U953" i="16"/>
  <c r="U663" i="16"/>
  <c r="U1897" i="16"/>
  <c r="U2415" i="16"/>
  <c r="U2351" i="16"/>
  <c r="U2043" i="16"/>
  <c r="U2029" i="16"/>
  <c r="U1039" i="16"/>
  <c r="U788" i="16"/>
  <c r="U570" i="16"/>
  <c r="U467" i="16"/>
  <c r="U451" i="16"/>
  <c r="U435" i="16"/>
  <c r="U419" i="16"/>
  <c r="U403" i="16"/>
  <c r="U387" i="16"/>
  <c r="U381" i="16"/>
  <c r="U373" i="16"/>
  <c r="U365" i="16"/>
  <c r="U856" i="16"/>
  <c r="U1924" i="16"/>
  <c r="U2480" i="16"/>
  <c r="U2339" i="16"/>
  <c r="U2334" i="16"/>
  <c r="U2098" i="16"/>
  <c r="U1999" i="16"/>
  <c r="U1694" i="16"/>
  <c r="U1662" i="16"/>
  <c r="U1659" i="16"/>
  <c r="U1577" i="16"/>
  <c r="U1558" i="16"/>
  <c r="U1189" i="16"/>
  <c r="U1938" i="16"/>
  <c r="U1210" i="16"/>
  <c r="U1068" i="16"/>
  <c r="U801" i="16"/>
  <c r="U676" i="16"/>
  <c r="U558" i="16"/>
  <c r="U1322" i="16"/>
  <c r="U2129" i="16"/>
  <c r="U1742" i="16"/>
  <c r="U1552" i="16"/>
  <c r="U1138" i="16"/>
  <c r="U1052" i="16"/>
  <c r="U766" i="16"/>
  <c r="U459" i="16"/>
  <c r="U443" i="16"/>
  <c r="U427" i="16"/>
  <c r="U411" i="16"/>
  <c r="U395" i="16"/>
  <c r="U377" i="16"/>
  <c r="U369" i="16"/>
  <c r="U2278" i="16"/>
  <c r="U2254" i="16"/>
  <c r="U1984" i="16"/>
  <c r="U1974" i="16"/>
  <c r="U1334" i="16"/>
  <c r="U2126" i="16"/>
  <c r="U1377" i="16"/>
  <c r="U1342" i="16"/>
  <c r="U872" i="16"/>
  <c r="U2347" i="16"/>
  <c r="U2292" i="16"/>
  <c r="U2240" i="16"/>
  <c r="U2217" i="16"/>
  <c r="U1865" i="16"/>
  <c r="U1271" i="16"/>
  <c r="U1029" i="16"/>
  <c r="U940" i="16"/>
  <c r="U908" i="16"/>
  <c r="U899" i="16"/>
  <c r="U893" i="16"/>
  <c r="U631" i="16"/>
  <c r="U2423" i="16"/>
  <c r="U2296" i="16"/>
  <c r="U2064" i="16"/>
  <c r="U1966" i="16"/>
  <c r="U1390" i="16"/>
  <c r="U1305" i="16"/>
  <c r="U1216" i="16"/>
  <c r="U1196" i="16"/>
  <c r="U914" i="16"/>
  <c r="U884" i="16"/>
  <c r="U863" i="16"/>
  <c r="U841" i="16"/>
  <c r="U836" i="16"/>
  <c r="U831" i="16"/>
  <c r="U2500" i="16"/>
  <c r="U2491" i="16"/>
  <c r="U719" i="16"/>
  <c r="U717" i="16"/>
  <c r="U1479" i="16"/>
  <c r="U2395" i="16"/>
  <c r="U2381" i="16"/>
  <c r="U2377" i="16"/>
  <c r="U2305" i="16"/>
  <c r="U2189" i="16"/>
  <c r="U2177" i="16"/>
  <c r="U2104" i="16"/>
  <c r="U2086" i="16"/>
  <c r="U2041" i="16"/>
  <c r="U2003" i="16"/>
  <c r="U1891" i="16"/>
  <c r="U1882" i="16"/>
  <c r="U1873" i="16"/>
  <c r="U1856" i="16"/>
  <c r="U1779" i="16"/>
  <c r="U1535" i="16"/>
  <c r="U1501" i="16"/>
  <c r="U1497" i="16"/>
  <c r="U1888" i="16"/>
  <c r="U1782" i="16"/>
  <c r="U1724" i="16"/>
  <c r="U1718" i="16"/>
  <c r="U1686" i="16"/>
  <c r="U1666" i="16"/>
  <c r="U1430" i="16"/>
  <c r="U1419" i="16"/>
  <c r="U1243" i="16"/>
  <c r="U967" i="16"/>
  <c r="U961" i="16"/>
  <c r="U950" i="16"/>
  <c r="U821" i="16"/>
  <c r="U790" i="16"/>
  <c r="U763" i="16"/>
  <c r="U634" i="16"/>
  <c r="U571" i="16"/>
  <c r="U2462" i="16"/>
  <c r="U2441" i="16"/>
  <c r="U2349" i="16"/>
  <c r="U2294" i="16"/>
  <c r="U2173" i="16"/>
  <c r="U2070" i="16"/>
  <c r="U2031" i="16"/>
  <c r="U1962" i="16"/>
  <c r="U1960" i="16"/>
  <c r="U1928" i="16"/>
  <c r="U1388" i="16"/>
  <c r="U1034" i="16"/>
  <c r="U891" i="16"/>
  <c r="U1171" i="16"/>
  <c r="U2403" i="16"/>
  <c r="U2398" i="16"/>
  <c r="U2391" i="16"/>
  <c r="U2320" i="16"/>
  <c r="U2317" i="16"/>
  <c r="U2242" i="16"/>
  <c r="U2120" i="16"/>
  <c r="U2115" i="16"/>
  <c r="U1997" i="16"/>
  <c r="U1945" i="16"/>
  <c r="U1471" i="16"/>
  <c r="U692" i="16"/>
  <c r="U482" i="16"/>
  <c r="U470" i="16"/>
  <c r="U2484" i="16"/>
  <c r="U2184" i="16"/>
  <c r="U2080" i="16"/>
  <c r="U1838" i="16"/>
  <c r="U1827" i="16"/>
  <c r="U1793" i="16"/>
  <c r="U1671" i="16"/>
  <c r="U1560" i="16"/>
  <c r="U1547" i="16"/>
  <c r="U1438" i="16"/>
  <c r="U1327" i="16"/>
  <c r="U1193" i="16"/>
  <c r="U1161" i="16"/>
  <c r="U666" i="16"/>
  <c r="U593" i="16"/>
  <c r="U575" i="16"/>
  <c r="U1705" i="16"/>
  <c r="U1684" i="16"/>
  <c r="U1318" i="16"/>
  <c r="U1310" i="16"/>
  <c r="U1115" i="16"/>
  <c r="U1023" i="16"/>
  <c r="U957" i="16"/>
  <c r="U653" i="16"/>
  <c r="U644" i="16"/>
  <c r="U629" i="16"/>
  <c r="U1871" i="16"/>
  <c r="U1835" i="16"/>
  <c r="U1371" i="16"/>
  <c r="U522" i="16"/>
  <c r="U514" i="16"/>
  <c r="U506" i="16"/>
  <c r="U498" i="16"/>
  <c r="U490" i="16"/>
  <c r="U1851" i="16"/>
  <c r="U1815" i="16"/>
  <c r="U1281" i="16"/>
  <c r="U2494" i="16"/>
  <c r="U2470" i="16"/>
  <c r="U2330" i="16"/>
  <c r="U2267" i="16"/>
  <c r="U2263" i="16"/>
  <c r="U2171" i="16"/>
  <c r="U2038" i="16"/>
  <c r="U2019" i="16"/>
  <c r="U1863" i="16"/>
  <c r="U1846" i="16"/>
  <c r="U1841" i="16"/>
  <c r="U1823" i="16"/>
  <c r="U1786" i="16"/>
  <c r="U1755" i="16"/>
  <c r="U1751" i="16"/>
  <c r="U1748" i="16"/>
  <c r="U1628" i="16"/>
  <c r="U1483" i="16"/>
  <c r="U1144" i="16"/>
  <c r="U1141" i="16"/>
  <c r="U1303" i="16"/>
  <c r="U1298" i="16"/>
  <c r="U1279" i="16"/>
  <c r="U684" i="16"/>
  <c r="U668" i="16"/>
  <c r="U1703" i="16"/>
  <c r="U1677" i="16"/>
  <c r="U1619" i="16"/>
  <c r="U1571" i="16"/>
  <c r="U1526" i="16"/>
  <c r="U1511" i="16"/>
  <c r="U1448" i="16"/>
  <c r="U1443" i="16"/>
  <c r="U1402" i="16"/>
  <c r="U1021" i="16"/>
  <c r="U1019" i="16"/>
  <c r="U947" i="16"/>
  <c r="U887" i="16"/>
  <c r="U845" i="16"/>
  <c r="U774" i="16"/>
  <c r="U726" i="16"/>
  <c r="U642" i="16"/>
  <c r="U625" i="16"/>
  <c r="U1139" i="16"/>
  <c r="U1126" i="16"/>
  <c r="U1098" i="16"/>
  <c r="U1005" i="16"/>
  <c r="U843" i="16"/>
  <c r="U810" i="16"/>
  <c r="U770" i="16"/>
  <c r="U751" i="16"/>
  <c r="U745" i="16"/>
  <c r="U614" i="16"/>
  <c r="U524" i="16"/>
  <c r="U516" i="16"/>
  <c r="U508" i="16"/>
  <c r="U492" i="16"/>
  <c r="U1108" i="16"/>
  <c r="U1026" i="16"/>
  <c r="U991" i="16"/>
  <c r="U674" i="16"/>
  <c r="U662" i="16"/>
  <c r="U455" i="16"/>
  <c r="U439" i="16"/>
  <c r="U423" i="16"/>
  <c r="U407" i="16"/>
  <c r="U391" i="16"/>
  <c r="U379" i="16"/>
  <c r="U371" i="16"/>
  <c r="U363" i="16"/>
  <c r="U306" i="16"/>
  <c r="U290" i="16"/>
  <c r="U274" i="16"/>
  <c r="U258" i="16"/>
  <c r="U242" i="16"/>
  <c r="U1079" i="16"/>
  <c r="U463" i="16"/>
  <c r="U447" i="16"/>
  <c r="U431" i="16"/>
  <c r="U415" i="16"/>
  <c r="U399" i="16"/>
  <c r="U383" i="16"/>
  <c r="U375" i="16"/>
  <c r="U367" i="16"/>
  <c r="U310" i="16"/>
  <c r="U294" i="16"/>
  <c r="U278" i="16"/>
  <c r="U262" i="16"/>
  <c r="U246" i="16"/>
  <c r="D6" i="10"/>
  <c r="E2371" i="16"/>
  <c r="D2371" i="16"/>
  <c r="E2451" i="16"/>
  <c r="D2451" i="16"/>
  <c r="D2457" i="16"/>
  <c r="E2457" i="16"/>
  <c r="D2476" i="16"/>
  <c r="E2476" i="16"/>
  <c r="D2424" i="16"/>
  <c r="E2424" i="16"/>
  <c r="D2496" i="16"/>
  <c r="E2496" i="16"/>
  <c r="F62" i="10"/>
  <c r="B2" i="10" s="1"/>
  <c r="E2318" i="16"/>
  <c r="D2318" i="16"/>
  <c r="E2326" i="16"/>
  <c r="D2326" i="16"/>
  <c r="D2417" i="16"/>
  <c r="E2417" i="16"/>
  <c r="D2428" i="16"/>
  <c r="E2428" i="16"/>
  <c r="D2482" i="16"/>
  <c r="E2482" i="16"/>
  <c r="D2340" i="16"/>
  <c r="E2340" i="16"/>
  <c r="D2414" i="16"/>
  <c r="E2414" i="16"/>
  <c r="F53" i="10"/>
  <c r="J2371" i="16"/>
  <c r="D2464" i="16"/>
  <c r="E2464" i="16"/>
  <c r="D2268" i="16"/>
  <c r="E2268" i="16"/>
  <c r="D2271" i="16"/>
  <c r="E2271" i="16"/>
  <c r="G2424" i="16"/>
  <c r="D2432" i="16"/>
  <c r="E2432" i="16"/>
  <c r="D2357" i="16"/>
  <c r="E2357" i="16"/>
  <c r="G2288" i="16"/>
  <c r="J2337" i="16"/>
  <c r="G2313" i="16"/>
  <c r="G2291" i="16"/>
  <c r="G2399" i="16"/>
  <c r="G2422" i="16"/>
  <c r="G2487" i="16"/>
  <c r="H2419" i="16"/>
  <c r="H2443" i="16"/>
  <c r="F2404" i="16"/>
  <c r="I2283" i="16"/>
  <c r="I2486" i="16"/>
  <c r="H2460" i="16"/>
  <c r="H2370" i="16"/>
  <c r="H2374" i="16"/>
  <c r="J2384" i="16"/>
  <c r="D2501" i="16"/>
  <c r="U2501" i="16" s="1"/>
  <c r="D2493" i="16"/>
  <c r="U2493" i="16" s="1"/>
  <c r="D2489" i="16"/>
  <c r="E2486" i="16"/>
  <c r="E2478" i="16"/>
  <c r="D2473" i="16"/>
  <c r="U2473" i="16" s="1"/>
  <c r="E2463" i="16"/>
  <c r="U2463" i="16" s="1"/>
  <c r="E2455" i="16"/>
  <c r="U2455" i="16" s="1"/>
  <c r="D2454" i="16"/>
  <c r="U2454" i="16" s="1"/>
  <c r="D2447" i="16"/>
  <c r="U2447" i="16" s="1"/>
  <c r="D2444" i="16"/>
  <c r="D2440" i="16"/>
  <c r="E2431" i="16"/>
  <c r="U2431" i="16" s="1"/>
  <c r="E2427" i="16"/>
  <c r="U2427" i="16" s="1"/>
  <c r="D2422" i="16"/>
  <c r="D2419" i="16"/>
  <c r="E2413" i="16"/>
  <c r="U2413" i="16" s="1"/>
  <c r="D2412" i="16"/>
  <c r="U2412" i="16" s="1"/>
  <c r="E2406" i="16"/>
  <c r="U2406" i="16" s="1"/>
  <c r="E2402" i="16"/>
  <c r="D2390" i="16"/>
  <c r="U2390" i="16" s="1"/>
  <c r="E2387" i="16"/>
  <c r="U2387" i="16" s="1"/>
  <c r="D2386" i="16"/>
  <c r="U2386" i="16" s="1"/>
  <c r="D2382" i="16"/>
  <c r="D2378" i="16"/>
  <c r="U2378" i="16" s="1"/>
  <c r="D2374" i="16"/>
  <c r="U2374" i="16" s="1"/>
  <c r="E2372" i="16"/>
  <c r="U2372" i="16" s="1"/>
  <c r="E2364" i="16"/>
  <c r="E2356" i="16"/>
  <c r="U2356" i="16" s="1"/>
  <c r="D2355" i="16"/>
  <c r="U2355" i="16" s="1"/>
  <c r="E2352" i="16"/>
  <c r="E2342" i="16"/>
  <c r="D2341" i="16"/>
  <c r="E2338" i="16"/>
  <c r="U2338" i="16" s="1"/>
  <c r="D2337" i="16"/>
  <c r="D2329" i="16"/>
  <c r="E2323" i="16"/>
  <c r="U2323" i="16" s="1"/>
  <c r="D2322" i="16"/>
  <c r="E2315" i="16"/>
  <c r="E2308" i="16"/>
  <c r="D2303" i="16"/>
  <c r="E2290" i="16"/>
  <c r="U2290" i="16" s="1"/>
  <c r="D2285" i="16"/>
  <c r="U2285" i="16" s="1"/>
  <c r="E2282" i="16"/>
  <c r="D2281" i="16"/>
  <c r="U2281" i="16" s="1"/>
  <c r="D2277" i="16"/>
  <c r="E2274" i="16"/>
  <c r="U2274" i="16" s="1"/>
  <c r="D2270" i="16"/>
  <c r="U2270" i="16" s="1"/>
  <c r="D2266" i="16"/>
  <c r="U2266" i="16" s="1"/>
  <c r="U2259" i="16"/>
  <c r="U2243" i="16"/>
  <c r="U2215" i="16"/>
  <c r="U2210" i="16"/>
  <c r="U2197" i="16"/>
  <c r="U2182" i="16"/>
  <c r="U2131" i="16"/>
  <c r="U2087" i="16"/>
  <c r="U2067" i="16"/>
  <c r="U2052" i="16"/>
  <c r="U1948" i="16"/>
  <c r="U1920" i="16"/>
  <c r="U1820" i="16"/>
  <c r="U1812" i="16"/>
  <c r="U1762" i="16"/>
  <c r="U1721" i="16"/>
  <c r="U1664" i="16"/>
  <c r="U1594" i="16"/>
  <c r="U1568" i="16"/>
  <c r="U1563" i="16"/>
  <c r="H2479" i="16"/>
  <c r="H2277" i="16"/>
  <c r="G2501" i="16"/>
  <c r="F2419" i="16"/>
  <c r="I2443" i="16"/>
  <c r="H2504" i="16"/>
  <c r="H2400" i="16"/>
  <c r="I2444" i="16"/>
  <c r="G2308" i="16"/>
  <c r="I2310" i="16"/>
  <c r="E2499" i="16"/>
  <c r="E2487" i="16"/>
  <c r="E2483" i="16"/>
  <c r="E2479" i="16"/>
  <c r="U2479" i="16" s="1"/>
  <c r="E2475" i="16"/>
  <c r="E2471" i="16"/>
  <c r="U2471" i="16" s="1"/>
  <c r="E2460" i="16"/>
  <c r="E2449" i="16"/>
  <c r="U2449" i="16" s="1"/>
  <c r="E2399" i="16"/>
  <c r="E2388" i="16"/>
  <c r="E2384" i="16"/>
  <c r="E2380" i="16"/>
  <c r="U2380" i="16" s="1"/>
  <c r="E2361" i="16"/>
  <c r="U2361" i="16" s="1"/>
  <c r="E2353" i="16"/>
  <c r="E2331" i="16"/>
  <c r="U2331" i="16" s="1"/>
  <c r="E2316" i="16"/>
  <c r="U2316" i="16" s="1"/>
  <c r="E2309" i="16"/>
  <c r="U2309" i="16" s="1"/>
  <c r="E2298" i="16"/>
  <c r="E2291" i="16"/>
  <c r="E2287" i="16"/>
  <c r="U2287" i="16" s="1"/>
  <c r="E2283" i="16"/>
  <c r="E2275" i="16"/>
  <c r="E2272" i="16"/>
  <c r="U2260" i="16"/>
  <c r="U2094" i="16"/>
  <c r="U2035" i="16"/>
  <c r="U2000" i="16"/>
  <c r="U1932" i="16"/>
  <c r="U1903" i="16"/>
  <c r="U1785" i="16"/>
  <c r="U1695" i="16"/>
  <c r="U1687" i="16"/>
  <c r="U1589" i="16"/>
  <c r="E2504" i="16"/>
  <c r="U2504" i="16" s="1"/>
  <c r="E2461" i="16"/>
  <c r="E2453" i="16"/>
  <c r="E2446" i="16"/>
  <c r="E2443" i="16"/>
  <c r="E2439" i="16"/>
  <c r="E2436" i="16"/>
  <c r="U2436" i="16" s="1"/>
  <c r="E2429" i="16"/>
  <c r="E2421" i="16"/>
  <c r="E2418" i="16"/>
  <c r="E2404" i="16"/>
  <c r="U2404" i="16" s="1"/>
  <c r="E2400" i="16"/>
  <c r="E2396" i="16"/>
  <c r="U2396" i="16" s="1"/>
  <c r="E2370" i="16"/>
  <c r="E2366" i="16"/>
  <c r="U2366" i="16" s="1"/>
  <c r="E2354" i="16"/>
  <c r="E2336" i="16"/>
  <c r="E2332" i="16"/>
  <c r="E2313" i="16"/>
  <c r="E2310" i="16"/>
  <c r="E2306" i="16"/>
  <c r="E2299" i="16"/>
  <c r="E2288" i="16"/>
  <c r="E2284" i="16"/>
  <c r="D2283" i="16"/>
  <c r="E2265" i="16"/>
  <c r="U2265" i="16" s="1"/>
  <c r="U2253" i="16"/>
  <c r="U2241" i="16"/>
  <c r="U2238" i="16"/>
  <c r="U2219" i="16"/>
  <c r="U2170" i="16"/>
  <c r="U2125" i="16"/>
  <c r="U2090" i="16"/>
  <c r="U2055" i="16"/>
  <c r="U2042" i="16"/>
  <c r="U2028" i="16"/>
  <c r="U2007" i="16"/>
  <c r="U1976" i="16"/>
  <c r="U1943" i="16"/>
  <c r="U1916" i="16"/>
  <c r="U1908" i="16"/>
  <c r="U1900" i="16"/>
  <c r="U1896" i="16"/>
  <c r="U1874" i="16"/>
  <c r="U1831" i="16"/>
  <c r="U1729" i="16"/>
  <c r="U1714" i="16"/>
  <c r="U1690" i="16"/>
  <c r="U1657" i="16"/>
  <c r="I2419" i="16"/>
  <c r="U2190" i="16"/>
  <c r="U2175" i="16"/>
  <c r="U2148" i="16"/>
  <c r="U2132" i="16"/>
  <c r="U2128" i="16"/>
  <c r="U2048" i="16"/>
  <c r="U2020" i="16"/>
  <c r="U1994" i="16"/>
  <c r="U1981" i="16"/>
  <c r="U1969" i="16"/>
  <c r="U1925" i="16"/>
  <c r="U1899" i="16"/>
  <c r="U1860" i="16"/>
  <c r="U1839" i="16"/>
  <c r="U1808" i="16"/>
  <c r="U1678" i="16"/>
  <c r="U1579" i="16"/>
  <c r="U1538" i="16"/>
  <c r="U1587" i="16"/>
  <c r="U1486" i="16"/>
  <c r="U1473" i="16"/>
  <c r="U1649" i="16"/>
  <c r="U1309" i="16"/>
  <c r="U1118" i="16"/>
  <c r="U1106" i="16"/>
  <c r="U1329" i="16"/>
  <c r="U1262" i="16"/>
  <c r="U1250" i="16"/>
  <c r="U1213" i="16"/>
  <c r="U1176" i="16"/>
  <c r="U1169" i="16"/>
  <c r="U1075" i="16"/>
  <c r="U996" i="16"/>
  <c r="U980" i="16"/>
  <c r="U828" i="16"/>
  <c r="U794" i="16"/>
  <c r="U776" i="16"/>
  <c r="U970" i="16"/>
  <c r="U952" i="16"/>
  <c r="U941" i="16"/>
  <c r="U861" i="16"/>
  <c r="U804" i="16"/>
  <c r="U707" i="16"/>
  <c r="U814" i="16"/>
  <c r="U713" i="16"/>
  <c r="U639" i="16"/>
  <c r="U535" i="16"/>
  <c r="U527" i="16"/>
  <c r="U519" i="16"/>
  <c r="U511" i="16"/>
  <c r="U503" i="16"/>
  <c r="U495" i="16"/>
  <c r="U487" i="16"/>
  <c r="U484" i="16"/>
  <c r="U479" i="16"/>
  <c r="U465" i="16"/>
  <c r="U457" i="16"/>
  <c r="U449" i="16"/>
  <c r="U441" i="16"/>
  <c r="U433" i="16"/>
  <c r="U425" i="16"/>
  <c r="U417" i="16"/>
  <c r="U409" i="16"/>
  <c r="U401" i="16"/>
  <c r="U393" i="16"/>
  <c r="U385" i="16"/>
  <c r="U485" i="16"/>
  <c r="U477" i="16"/>
  <c r="U469" i="16"/>
  <c r="U533" i="16"/>
  <c r="U529" i="16"/>
  <c r="U525" i="16"/>
  <c r="U521" i="16"/>
  <c r="U517" i="16"/>
  <c r="U513" i="16"/>
  <c r="U509" i="16"/>
  <c r="U505" i="16"/>
  <c r="U501" i="16"/>
  <c r="U497" i="16"/>
  <c r="U493" i="16"/>
  <c r="U489" i="16"/>
  <c r="U483" i="16"/>
  <c r="U480" i="16"/>
  <c r="U475" i="16"/>
  <c r="U472" i="16"/>
  <c r="U461" i="16"/>
  <c r="U453" i="16"/>
  <c r="U445" i="16"/>
  <c r="U437" i="16"/>
  <c r="U429" i="16"/>
  <c r="U421" i="16"/>
  <c r="U413" i="16"/>
  <c r="U405" i="16"/>
  <c r="U397" i="16"/>
  <c r="U389" i="16"/>
  <c r="U309" i="16"/>
  <c r="U305" i="16"/>
  <c r="U301" i="16"/>
  <c r="U289" i="16"/>
  <c r="U285" i="16"/>
  <c r="U273" i="16"/>
  <c r="U269" i="16"/>
  <c r="U257" i="16"/>
  <c r="U253" i="16"/>
  <c r="U245" i="16"/>
  <c r="U241" i="16"/>
  <c r="U237" i="16"/>
  <c r="U311" i="16"/>
  <c r="U303" i="16"/>
  <c r="U299" i="16"/>
  <c r="U295" i="16"/>
  <c r="U287" i="16"/>
  <c r="U283" i="16"/>
  <c r="U279" i="16"/>
  <c r="U271" i="16"/>
  <c r="U267" i="16"/>
  <c r="U263" i="16"/>
  <c r="U255" i="16"/>
  <c r="U251" i="16"/>
  <c r="U247" i="16"/>
  <c r="U239" i="16"/>
  <c r="U235" i="16"/>
  <c r="U989" i="16"/>
  <c r="U1291" i="16"/>
  <c r="A9" i="2"/>
  <c r="A36" i="2"/>
  <c r="A45" i="2"/>
  <c r="A64" i="2"/>
  <c r="B3" i="16"/>
  <c r="E4" i="14"/>
  <c r="S1159" i="16"/>
  <c r="U979" i="16"/>
  <c r="S806" i="16"/>
  <c r="D10" i="10"/>
  <c r="U1537" i="16"/>
  <c r="U851" i="16"/>
  <c r="A18" i="10"/>
  <c r="U807" i="16"/>
  <c r="U710" i="16"/>
  <c r="D4" i="10"/>
  <c r="U1415" i="16"/>
  <c r="U2207" i="16"/>
  <c r="U2192" i="16"/>
  <c r="B71" i="4"/>
  <c r="A51" i="10" s="1"/>
  <c r="B85" i="4"/>
  <c r="A59" i="10" s="1"/>
  <c r="B81" i="4"/>
  <c r="A57" i="10" s="1"/>
  <c r="B55" i="4"/>
  <c r="A39" i="10" s="1"/>
  <c r="U1064" i="16" l="1"/>
  <c r="U977" i="16"/>
  <c r="B83" i="4"/>
  <c r="A58" i="10" s="1"/>
  <c r="U2468" i="16"/>
  <c r="U2458" i="16"/>
  <c r="U2435" i="16"/>
  <c r="U2433" i="16"/>
  <c r="U2426" i="16"/>
  <c r="U2410" i="16"/>
  <c r="U2385" i="16"/>
  <c r="U2375" i="16"/>
  <c r="U2327" i="16"/>
  <c r="U2324" i="16"/>
  <c r="U2273" i="16"/>
  <c r="U2250" i="16"/>
  <c r="U2211" i="16"/>
  <c r="U2200" i="16"/>
  <c r="U2072" i="16"/>
  <c r="U1988" i="16"/>
  <c r="U1968" i="16"/>
  <c r="U1964" i="16"/>
  <c r="U1884" i="16"/>
  <c r="U1861" i="16"/>
  <c r="U1848" i="16"/>
  <c r="U1830" i="16"/>
  <c r="U1783" i="16"/>
  <c r="U1698" i="16"/>
  <c r="U1691" i="16"/>
  <c r="U1669" i="16"/>
  <c r="U1624" i="16"/>
  <c r="U1549" i="16"/>
  <c r="U1544" i="16"/>
  <c r="U1541" i="16"/>
  <c r="U1397" i="16"/>
  <c r="U1332" i="16"/>
  <c r="U1285" i="16"/>
  <c r="U1239" i="16"/>
  <c r="U1233" i="16"/>
  <c r="U1181" i="16"/>
  <c r="U1123" i="16"/>
  <c r="U984" i="16"/>
  <c r="U965" i="16"/>
  <c r="U901" i="16"/>
  <c r="U879" i="16"/>
  <c r="U852" i="16"/>
  <c r="U829" i="16"/>
  <c r="U768" i="16"/>
  <c r="U596" i="16"/>
  <c r="U550" i="16"/>
  <c r="U530" i="16"/>
  <c r="U1532" i="16"/>
  <c r="B75" i="4"/>
  <c r="A54" i="10" s="1"/>
  <c r="U2503" i="16"/>
  <c r="U2497" i="16"/>
  <c r="U2488" i="16"/>
  <c r="U2474" i="16"/>
  <c r="U2450" i="16"/>
  <c r="U2407" i="16"/>
  <c r="U2379" i="16"/>
  <c r="U2368" i="16"/>
  <c r="U2365" i="16"/>
  <c r="U2362" i="16"/>
  <c r="U2359" i="16"/>
  <c r="U2344" i="16"/>
  <c r="U2311" i="16"/>
  <c r="U2302" i="16"/>
  <c r="U2289" i="16"/>
  <c r="U2280" i="16"/>
  <c r="U2233" i="16"/>
  <c r="U2230" i="16"/>
  <c r="U2227" i="16"/>
  <c r="U2180" i="16"/>
  <c r="U2165" i="16"/>
  <c r="U2161" i="16"/>
  <c r="U2157" i="16"/>
  <c r="U2138" i="16"/>
  <c r="U2134" i="16"/>
  <c r="U2117" i="16"/>
  <c r="U2108" i="16"/>
  <c r="U2060" i="16"/>
  <c r="U2056" i="16"/>
  <c r="U2046" i="16"/>
  <c r="U2023" i="16"/>
  <c r="U2012" i="16"/>
  <c r="U1991" i="16"/>
  <c r="U1926" i="16"/>
  <c r="U1910" i="16"/>
  <c r="U1904" i="16"/>
  <c r="U1819" i="16"/>
  <c r="U1814" i="16"/>
  <c r="U1797" i="16"/>
  <c r="U1789" i="16"/>
  <c r="U1778" i="16"/>
  <c r="U1772" i="16"/>
  <c r="U1770" i="16"/>
  <c r="U1764" i="16"/>
  <c r="U1759" i="16"/>
  <c r="U1735" i="16"/>
  <c r="U1733" i="16"/>
  <c r="U1727" i="16"/>
  <c r="U1701" i="16"/>
  <c r="U1652" i="16"/>
  <c r="U1640" i="16"/>
  <c r="U1634" i="16"/>
  <c r="U1608" i="16"/>
  <c r="U1597" i="16"/>
  <c r="U1590" i="16"/>
  <c r="U1585" i="16"/>
  <c r="U1565" i="16"/>
  <c r="U1531" i="16"/>
  <c r="U1528" i="16"/>
  <c r="U1522" i="16"/>
  <c r="U1512" i="16"/>
  <c r="U1510" i="16"/>
  <c r="U1507" i="16"/>
  <c r="U1505" i="16"/>
  <c r="U1503" i="16"/>
  <c r="U1492" i="16"/>
  <c r="U1477" i="16"/>
  <c r="U1475" i="16"/>
  <c r="U1461" i="16"/>
  <c r="U1458" i="16"/>
  <c r="U1453" i="16"/>
  <c r="U1450" i="16"/>
  <c r="U1446" i="16"/>
  <c r="U1425" i="16"/>
  <c r="U1414" i="16"/>
  <c r="U1410" i="16"/>
  <c r="U1396" i="16"/>
  <c r="U1380" i="16"/>
  <c r="U1374" i="16"/>
  <c r="U1367" i="16"/>
  <c r="U1359" i="16"/>
  <c r="U1339" i="16"/>
  <c r="U1301" i="16"/>
  <c r="U1293" i="16"/>
  <c r="U1274" i="16"/>
  <c r="U1269" i="16"/>
  <c r="U1264" i="16"/>
  <c r="U1258" i="16"/>
  <c r="U1247" i="16"/>
  <c r="U1245" i="16"/>
  <c r="U1232" i="16"/>
  <c r="U1227" i="16"/>
  <c r="U1221" i="16"/>
  <c r="U1184" i="16"/>
  <c r="U1150" i="16"/>
  <c r="U1094" i="16"/>
  <c r="U1090" i="16"/>
  <c r="U1085" i="16"/>
  <c r="U1083" i="16"/>
  <c r="U1077" i="16"/>
  <c r="U1061" i="16"/>
  <c r="U1057" i="16"/>
  <c r="U1055" i="16"/>
  <c r="U1044" i="16"/>
  <c r="U1036" i="16"/>
  <c r="U1009" i="16"/>
  <c r="U1002" i="16"/>
  <c r="U1000" i="16"/>
  <c r="U976" i="16"/>
  <c r="U935" i="16"/>
  <c r="U932" i="16"/>
  <c r="U927" i="16"/>
  <c r="U917" i="16"/>
  <c r="U878" i="16"/>
  <c r="U860" i="16"/>
  <c r="U786" i="16"/>
  <c r="U780" i="16"/>
  <c r="U740" i="16"/>
  <c r="U737" i="16"/>
  <c r="U732" i="16"/>
  <c r="U715" i="16"/>
  <c r="U700" i="16"/>
  <c r="U697" i="16"/>
  <c r="U689" i="16"/>
  <c r="U632" i="16"/>
  <c r="U606" i="16"/>
  <c r="U599" i="16"/>
  <c r="U590" i="16"/>
  <c r="U579" i="16"/>
  <c r="U567" i="16"/>
  <c r="U543" i="16"/>
  <c r="U504" i="16"/>
  <c r="U1041" i="16"/>
  <c r="U1417" i="16"/>
  <c r="U574" i="16"/>
  <c r="U1906" i="16"/>
  <c r="U2205" i="16"/>
  <c r="U758" i="16"/>
  <c r="A15" i="10"/>
  <c r="B32" i="4"/>
  <c r="A20" i="10" s="1"/>
  <c r="U2346" i="16"/>
  <c r="U797" i="16"/>
  <c r="U1481" i="16"/>
  <c r="U2373" i="16"/>
  <c r="U1516" i="16"/>
  <c r="B63" i="4"/>
  <c r="A46" i="10" s="1"/>
  <c r="U1915" i="16"/>
  <c r="U2152" i="16"/>
  <c r="U1599" i="16"/>
  <c r="U1711" i="16"/>
  <c r="U2121" i="16"/>
  <c r="U2257" i="16"/>
  <c r="U2284" i="16"/>
  <c r="U2310" i="16"/>
  <c r="U2429" i="16"/>
  <c r="U1561" i="16"/>
  <c r="U1604" i="16"/>
  <c r="U1766" i="16"/>
  <c r="U1909" i="16"/>
  <c r="U1939" i="16"/>
  <c r="U2051" i="16"/>
  <c r="U2105" i="16"/>
  <c r="U2163" i="16"/>
  <c r="U2272" i="16"/>
  <c r="U2384" i="16"/>
  <c r="U2460" i="16"/>
  <c r="U2483" i="16"/>
  <c r="U1606" i="16"/>
  <c r="U1980" i="16"/>
  <c r="U2099" i="16"/>
  <c r="U2071" i="16"/>
  <c r="U903" i="16"/>
  <c r="U886" i="16"/>
  <c r="U842" i="16"/>
  <c r="U1800" i="16"/>
  <c r="U1555" i="16"/>
  <c r="U1878" i="16"/>
  <c r="U2135" i="16"/>
  <c r="U1855" i="16"/>
  <c r="U2245" i="16"/>
  <c r="U2453" i="16"/>
  <c r="U1618" i="16"/>
  <c r="U1947" i="16"/>
  <c r="U2063" i="16"/>
  <c r="U2110" i="16"/>
  <c r="U2275" i="16"/>
  <c r="U2298" i="16"/>
  <c r="U2101" i="16"/>
  <c r="U2258" i="16"/>
  <c r="U2352" i="16"/>
  <c r="U2422" i="16"/>
  <c r="B34" i="4"/>
  <c r="A22" i="10" s="1"/>
  <c r="A17" i="10"/>
  <c r="U1335" i="16"/>
  <c r="U1391" i="16"/>
  <c r="U857" i="16"/>
  <c r="U1653" i="16"/>
  <c r="U2113" i="16"/>
  <c r="U1683" i="16"/>
  <c r="U1929" i="16"/>
  <c r="U2225" i="16"/>
  <c r="U2249" i="16"/>
  <c r="U2332" i="16"/>
  <c r="U2370" i="16"/>
  <c r="U2418" i="16"/>
  <c r="U2439" i="16"/>
  <c r="U2461" i="16"/>
  <c r="U1592" i="16"/>
  <c r="U1894" i="16"/>
  <c r="U1951" i="16"/>
  <c r="U2016" i="16"/>
  <c r="U2475" i="16"/>
  <c r="U1631" i="16"/>
  <c r="U1816" i="16"/>
  <c r="U1933" i="16"/>
  <c r="U2004" i="16"/>
  <c r="U2143" i="16"/>
  <c r="U2206" i="16"/>
  <c r="U2308" i="16"/>
  <c r="U2329" i="16"/>
  <c r="U2342" i="16"/>
  <c r="U2382" i="16"/>
  <c r="U2402" i="16"/>
  <c r="U2419" i="16"/>
  <c r="U2440" i="16"/>
  <c r="U1031" i="16"/>
  <c r="U2178" i="16"/>
  <c r="U1660" i="16"/>
  <c r="U1357" i="16"/>
  <c r="U1053" i="16"/>
  <c r="U638" i="16"/>
  <c r="U598" i="16"/>
  <c r="G464" i="16"/>
  <c r="G457" i="16"/>
  <c r="G425" i="16"/>
  <c r="G417" i="16"/>
  <c r="G412" i="16"/>
  <c r="G442" i="16"/>
  <c r="G434" i="16"/>
  <c r="G426" i="16"/>
  <c r="G331" i="16"/>
  <c r="G371" i="16"/>
  <c r="G363" i="16"/>
  <c r="G355" i="16"/>
  <c r="G327" i="16"/>
  <c r="G350" i="16"/>
  <c r="G338" i="16"/>
  <c r="G303" i="16"/>
  <c r="G329" i="16"/>
  <c r="G321" i="16"/>
  <c r="G472" i="16"/>
  <c r="G481" i="16"/>
  <c r="G497" i="16"/>
  <c r="G471" i="16"/>
  <c r="G498" i="16"/>
  <c r="E471" i="16"/>
  <c r="I471" i="16"/>
  <c r="D471" i="16"/>
  <c r="J471" i="16"/>
  <c r="F471" i="16"/>
  <c r="H471" i="16"/>
  <c r="G467" i="16"/>
  <c r="G466" i="16"/>
  <c r="G476" i="16"/>
  <c r="G492" i="16"/>
  <c r="G414" i="16"/>
  <c r="G448" i="16"/>
  <c r="G440" i="16"/>
  <c r="G432" i="16"/>
  <c r="G416" i="16"/>
  <c r="G451" i="16"/>
  <c r="G443" i="16"/>
  <c r="G435" i="16"/>
  <c r="G419" i="16"/>
  <c r="G409" i="16"/>
  <c r="G398" i="16"/>
  <c r="G413" i="16"/>
  <c r="G415" i="16"/>
  <c r="G407" i="16"/>
  <c r="G391" i="16"/>
  <c r="G383" i="16"/>
  <c r="G375" i="16"/>
  <c r="G382" i="16"/>
  <c r="G374" i="16"/>
  <c r="G365" i="16"/>
  <c r="G397" i="16"/>
  <c r="G381" i="16"/>
  <c r="G392" i="16"/>
  <c r="G384" i="16"/>
  <c r="G376" i="16"/>
  <c r="G356" i="16"/>
  <c r="G348" i="16"/>
  <c r="G323" i="16"/>
  <c r="G340" i="16"/>
  <c r="G317" i="16"/>
  <c r="G309" i="16"/>
  <c r="G293" i="16"/>
  <c r="G285" i="16"/>
  <c r="G308" i="16"/>
  <c r="G284" i="16"/>
  <c r="G314" i="16"/>
  <c r="G298" i="16"/>
  <c r="G470" i="16"/>
  <c r="G469" i="16"/>
  <c r="G453" i="16"/>
  <c r="G445" i="16"/>
  <c r="G402" i="16"/>
  <c r="G446" i="16"/>
  <c r="G430" i="16"/>
  <c r="G422" i="16"/>
  <c r="G410" i="16"/>
  <c r="G401" i="16"/>
  <c r="G373" i="16"/>
  <c r="G361" i="16"/>
  <c r="G320" i="16"/>
  <c r="G351" i="16"/>
  <c r="G339" i="16"/>
  <c r="G354" i="16"/>
  <c r="G307" i="16"/>
  <c r="G335" i="16"/>
  <c r="G326" i="16"/>
  <c r="G287" i="16"/>
  <c r="G333" i="16"/>
  <c r="G325" i="16"/>
  <c r="G316" i="16"/>
  <c r="G456" i="16"/>
  <c r="G493" i="16"/>
  <c r="G478" i="16"/>
  <c r="G494" i="16"/>
  <c r="G502" i="16"/>
  <c r="G491" i="16"/>
  <c r="G499" i="16"/>
  <c r="G460" i="16"/>
  <c r="G488" i="16"/>
  <c r="G496" i="16"/>
  <c r="G444" i="16"/>
  <c r="G436" i="16"/>
  <c r="G428" i="16"/>
  <c r="G420" i="16"/>
  <c r="G447" i="16"/>
  <c r="G439" i="16"/>
  <c r="G431" i="16"/>
  <c r="G423" i="16"/>
  <c r="G394" i="16"/>
  <c r="G403" i="16"/>
  <c r="G387" i="16"/>
  <c r="G378" i="16"/>
  <c r="G349" i="16"/>
  <c r="G385" i="16"/>
  <c r="G377" i="16"/>
  <c r="G388" i="16"/>
  <c r="G368" i="16"/>
  <c r="G342" i="16"/>
  <c r="G336" i="16"/>
  <c r="G315" i="16"/>
  <c r="G297" i="16"/>
  <c r="G289" i="16"/>
  <c r="G312" i="16"/>
  <c r="G288" i="16"/>
  <c r="G318" i="16"/>
  <c r="G294" i="16"/>
  <c r="G459" i="16"/>
  <c r="B51" i="4"/>
  <c r="A36" i="10" s="1"/>
  <c r="U2467" i="16"/>
  <c r="U2465" i="16"/>
  <c r="U2459" i="16"/>
  <c r="U2456" i="16"/>
  <c r="U2442" i="16"/>
  <c r="U2434" i="16"/>
  <c r="U2430" i="16"/>
  <c r="U2425" i="16"/>
  <c r="U2411" i="16"/>
  <c r="U2392" i="16"/>
  <c r="U2389" i="16"/>
  <c r="U2383" i="16"/>
  <c r="U2376" i="16"/>
  <c r="U2350" i="16"/>
  <c r="U2348" i="16"/>
  <c r="U2325" i="16"/>
  <c r="U2321" i="16"/>
  <c r="U2319" i="16"/>
  <c r="U2314" i="16"/>
  <c r="U2297" i="16"/>
  <c r="U2295" i="16"/>
  <c r="U2293" i="16"/>
  <c r="U2269" i="16"/>
  <c r="U2264" i="16"/>
  <c r="U2262" i="16"/>
  <c r="U2251" i="16"/>
  <c r="U2248" i="16"/>
  <c r="U2220" i="16"/>
  <c r="U2218" i="16"/>
  <c r="U2216" i="16"/>
  <c r="U2212" i="16"/>
  <c r="U2196" i="16"/>
  <c r="U2176" i="16"/>
  <c r="U2174" i="16"/>
  <c r="U2172" i="16"/>
  <c r="U2169" i="16"/>
  <c r="U2092" i="16"/>
  <c r="U2082" i="16"/>
  <c r="U2074" i="16"/>
  <c r="U2069" i="16"/>
  <c r="U2066" i="16"/>
  <c r="U2039" i="16"/>
  <c r="U2037" i="16"/>
  <c r="U2030" i="16"/>
  <c r="U2001" i="16"/>
  <c r="U1998" i="16"/>
  <c r="U1996" i="16"/>
  <c r="U1985" i="16"/>
  <c r="U1983" i="16"/>
  <c r="U1979" i="16"/>
  <c r="U1970" i="16"/>
  <c r="U1967" i="16"/>
  <c r="U1965" i="16"/>
  <c r="U1963" i="16"/>
  <c r="U1961" i="16"/>
  <c r="U1959" i="16"/>
  <c r="U1952" i="16"/>
  <c r="U1946" i="16"/>
  <c r="U1944" i="16"/>
  <c r="U1940" i="16"/>
  <c r="U1917" i="16"/>
  <c r="U1914" i="16"/>
  <c r="U1889" i="16"/>
  <c r="U1887" i="16"/>
  <c r="U1883" i="16"/>
  <c r="U1881" i="16"/>
  <c r="U1872" i="16"/>
  <c r="U1869" i="16"/>
  <c r="U1864" i="16"/>
  <c r="U1862" i="16"/>
  <c r="U1859" i="16"/>
  <c r="U1852" i="16"/>
  <c r="U1850" i="16"/>
  <c r="U1780" i="16"/>
  <c r="U1632" i="16"/>
  <c r="U1489" i="16"/>
  <c r="U1300" i="16"/>
  <c r="U992" i="16"/>
  <c r="U971" i="16"/>
  <c r="B73" i="4"/>
  <c r="A53" i="10" s="1"/>
  <c r="B87" i="4"/>
  <c r="A60" i="10" s="1"/>
  <c r="B45" i="4"/>
  <c r="A31" i="10" s="1"/>
  <c r="U1847" i="16"/>
  <c r="U1842" i="16"/>
  <c r="U1840" i="16"/>
  <c r="U1836" i="16"/>
  <c r="U1834" i="16"/>
  <c r="U1828" i="16"/>
  <c r="U1803" i="16"/>
  <c r="U1753" i="16"/>
  <c r="U1750" i="16"/>
  <c r="U1743" i="16"/>
  <c r="U1740" i="16"/>
  <c r="U1723" i="16"/>
  <c r="U1713" i="16"/>
  <c r="U1704" i="16"/>
  <c r="U1697" i="16"/>
  <c r="U1693" i="16"/>
  <c r="U1688" i="16"/>
  <c r="U1673" i="16"/>
  <c r="U1670" i="16"/>
  <c r="U1626" i="16"/>
  <c r="U1620" i="16"/>
  <c r="U1553" i="16"/>
  <c r="U1550" i="16"/>
  <c r="U1548" i="16"/>
  <c r="U1545" i="16"/>
  <c r="U1542" i="16"/>
  <c r="U1539" i="16"/>
  <c r="B33" i="4"/>
  <c r="A21" i="10" s="1"/>
  <c r="U1870" i="16"/>
  <c r="U2499" i="16"/>
  <c r="U2255" i="16"/>
  <c r="U1890" i="16"/>
  <c r="U1973" i="16"/>
  <c r="U2353" i="16"/>
  <c r="U2303" i="16"/>
  <c r="U1807" i="16"/>
  <c r="B46" i="4"/>
  <c r="A32" i="10" s="1"/>
  <c r="U2420" i="16"/>
  <c r="U1047" i="16"/>
  <c r="U912" i="16"/>
  <c r="U2502" i="16"/>
  <c r="U2498" i="16"/>
  <c r="U2495" i="16"/>
  <c r="U2492" i="16"/>
  <c r="U2490" i="16"/>
  <c r="U2485" i="16"/>
  <c r="U2481" i="16"/>
  <c r="U2477" i="16"/>
  <c r="U2472" i="16"/>
  <c r="U2469" i="16"/>
  <c r="U2448" i="16"/>
  <c r="U2437" i="16"/>
  <c r="U2416" i="16"/>
  <c r="U2408" i="16"/>
  <c r="U2405" i="16"/>
  <c r="U2401" i="16"/>
  <c r="U2397" i="16"/>
  <c r="U2394" i="16"/>
  <c r="U2369" i="16"/>
  <c r="U2367" i="16"/>
  <c r="U2363" i="16"/>
  <c r="U2360" i="16"/>
  <c r="U2358" i="16"/>
  <c r="U2345" i="16"/>
  <c r="U2343" i="16"/>
  <c r="U2335" i="16"/>
  <c r="U2333" i="16"/>
  <c r="U2328" i="16"/>
  <c r="U2307" i="16"/>
  <c r="U2304" i="16"/>
  <c r="U2301" i="16"/>
  <c r="U2286" i="16"/>
  <c r="U2279" i="16"/>
  <c r="U2276" i="16"/>
  <c r="U2239" i="16"/>
  <c r="U2231" i="16"/>
  <c r="U2229" i="16"/>
  <c r="U2223" i="16"/>
  <c r="U2045" i="16"/>
  <c r="U1757" i="16"/>
  <c r="U1494" i="16"/>
  <c r="U1287" i="16"/>
  <c r="U1268" i="16"/>
  <c r="U1191" i="16"/>
  <c r="U1182" i="16"/>
  <c r="U1035" i="16"/>
  <c r="U926" i="16"/>
  <c r="U803" i="16"/>
  <c r="U796" i="16"/>
  <c r="U779" i="16"/>
  <c r="U728" i="16"/>
  <c r="U679" i="16"/>
  <c r="U578" i="16"/>
  <c r="U559" i="16"/>
  <c r="U2188" i="16"/>
  <c r="U2181" i="16"/>
  <c r="U2164" i="16"/>
  <c r="U2159" i="16"/>
  <c r="U2156" i="16"/>
  <c r="U2146" i="16"/>
  <c r="U2139" i="16"/>
  <c r="U2136" i="16"/>
  <c r="U2133" i="16"/>
  <c r="U2130" i="16"/>
  <c r="U2122" i="16"/>
  <c r="U2118" i="16"/>
  <c r="U2116" i="16"/>
  <c r="U2114" i="16"/>
  <c r="U2106" i="16"/>
  <c r="U2102" i="16"/>
  <c r="U2059" i="16"/>
  <c r="U2054" i="16"/>
  <c r="U2050" i="16"/>
  <c r="U2047" i="16"/>
  <c r="U1667" i="16"/>
  <c r="U1665" i="16"/>
  <c r="U2021" i="16"/>
  <c r="U2017" i="16"/>
  <c r="U2008" i="16"/>
  <c r="U1992" i="16"/>
  <c r="U1990" i="16"/>
  <c r="U1931" i="16"/>
  <c r="U1927" i="16"/>
  <c r="U1907" i="16"/>
  <c r="U1902" i="16"/>
  <c r="U1893" i="16"/>
  <c r="U1822" i="16"/>
  <c r="U1813" i="16"/>
  <c r="U1798" i="16"/>
  <c r="U1795" i="16"/>
  <c r="U1791" i="16"/>
  <c r="U1787" i="16"/>
  <c r="U1784" i="16"/>
  <c r="U1775" i="16"/>
  <c r="U1771" i="16"/>
  <c r="U1767" i="16"/>
  <c r="U1763" i="16"/>
  <c r="U1734" i="16"/>
  <c r="U1730" i="16"/>
  <c r="U1726" i="16"/>
  <c r="U1682" i="16"/>
  <c r="U1675" i="16"/>
  <c r="U1654" i="16"/>
  <c r="U1650" i="16"/>
  <c r="U1645" i="16"/>
  <c r="U1637" i="16"/>
  <c r="U1614" i="16"/>
  <c r="U1603" i="16"/>
  <c r="U1595" i="16"/>
  <c r="U1584" i="16"/>
  <c r="U1573" i="16"/>
  <c r="U1566" i="16"/>
  <c r="U1564" i="16"/>
  <c r="U1559" i="16"/>
  <c r="U1557" i="16"/>
  <c r="U1534" i="16"/>
  <c r="U1529" i="16"/>
  <c r="U1527" i="16"/>
  <c r="U1524" i="16"/>
  <c r="U1521" i="16"/>
  <c r="U1515" i="16"/>
  <c r="U1508" i="16"/>
  <c r="U1506" i="16"/>
  <c r="U1504" i="16"/>
  <c r="U1502" i="16"/>
  <c r="U1498" i="16"/>
  <c r="U1480" i="16"/>
  <c r="U1476" i="16"/>
  <c r="U1474" i="16"/>
  <c r="U1472" i="16"/>
  <c r="U1463" i="16"/>
  <c r="U1460" i="16"/>
  <c r="U1454" i="16"/>
  <c r="U1452" i="16"/>
  <c r="U1449" i="16"/>
  <c r="U1447" i="16"/>
  <c r="U1445" i="16"/>
  <c r="U1439" i="16"/>
  <c r="U1437" i="16"/>
  <c r="U1427" i="16"/>
  <c r="U1424" i="16"/>
  <c r="U1418" i="16"/>
  <c r="U1413" i="16"/>
  <c r="U1409" i="16"/>
  <c r="U1382" i="16"/>
  <c r="U1376" i="16"/>
  <c r="U1373" i="16"/>
  <c r="U1369" i="16"/>
  <c r="U1363" i="16"/>
  <c r="U1341" i="16"/>
  <c r="U1338" i="16"/>
  <c r="U1302" i="16"/>
  <c r="U1272" i="16"/>
  <c r="U1270" i="16"/>
  <c r="U1263" i="16"/>
  <c r="U1259" i="16"/>
  <c r="U1252" i="16"/>
  <c r="U1248" i="16"/>
  <c r="U1246" i="16"/>
  <c r="U1244" i="16"/>
  <c r="U1231" i="16"/>
  <c r="U1223" i="16"/>
  <c r="U1220" i="16"/>
  <c r="U1214" i="16"/>
  <c r="U1211" i="16"/>
  <c r="U1204" i="16"/>
  <c r="U1195" i="16"/>
  <c r="U1164" i="16"/>
  <c r="U1152" i="16"/>
  <c r="U1149" i="16"/>
  <c r="U1143" i="16"/>
  <c r="Y7" i="16"/>
  <c r="Y9" i="16"/>
  <c r="Y11" i="16"/>
  <c r="Y13" i="16"/>
  <c r="Y15" i="16"/>
  <c r="Y17" i="16"/>
  <c r="Y19" i="16"/>
  <c r="Y21" i="16"/>
  <c r="Y23" i="16"/>
  <c r="Y25" i="16"/>
  <c r="Y27" i="16"/>
  <c r="Y29" i="16"/>
  <c r="Y31" i="16"/>
  <c r="Y33" i="16"/>
  <c r="Y35" i="16"/>
  <c r="Y37" i="16"/>
  <c r="Y39" i="16"/>
  <c r="Y41" i="16"/>
  <c r="Y43" i="16"/>
  <c r="Y45" i="16"/>
  <c r="Y47" i="16"/>
  <c r="Y49" i="16"/>
  <c r="Y51" i="16"/>
  <c r="Y53" i="16"/>
  <c r="Y55" i="16"/>
  <c r="Y57" i="16"/>
  <c r="Y59" i="16"/>
  <c r="Y61" i="16"/>
  <c r="Y63" i="16"/>
  <c r="Y65" i="16"/>
  <c r="Y67" i="16"/>
  <c r="Y69" i="16"/>
  <c r="Y71" i="16"/>
  <c r="Y73" i="16"/>
  <c r="Y75" i="16"/>
  <c r="Y77" i="16"/>
  <c r="Y79" i="16"/>
  <c r="Y81" i="16"/>
  <c r="Y83" i="16"/>
  <c r="Y85" i="16"/>
  <c r="Y87" i="16"/>
  <c r="Y89" i="16"/>
  <c r="Y91" i="16"/>
  <c r="Y93" i="16"/>
  <c r="Y95" i="16"/>
  <c r="Y97" i="16"/>
  <c r="Y99" i="16"/>
  <c r="Y101" i="16"/>
  <c r="Y103" i="16"/>
  <c r="Y105" i="16"/>
  <c r="Y107" i="16"/>
  <c r="Y109" i="16"/>
  <c r="Y111" i="16"/>
  <c r="Y113" i="16"/>
  <c r="Y115" i="16"/>
  <c r="Y117" i="16"/>
  <c r="Y119" i="16"/>
  <c r="Y121" i="16"/>
  <c r="Y123" i="16"/>
  <c r="Y125" i="16"/>
  <c r="Y127" i="16"/>
  <c r="Y129" i="16"/>
  <c r="Y131" i="16"/>
  <c r="Y133" i="16"/>
  <c r="Y135" i="16"/>
  <c r="Y137" i="16"/>
  <c r="Y139" i="16"/>
  <c r="Y141" i="16"/>
  <c r="Y143" i="16"/>
  <c r="Y145" i="16"/>
  <c r="Y147" i="16"/>
  <c r="Y149" i="16"/>
  <c r="Y151" i="16"/>
  <c r="Y153" i="16"/>
  <c r="Y155" i="16"/>
  <c r="Y157" i="16"/>
  <c r="Y159" i="16"/>
  <c r="Y161" i="16"/>
  <c r="Y163" i="16"/>
  <c r="Y165" i="16"/>
  <c r="Y167" i="16"/>
  <c r="Y169" i="16"/>
  <c r="Y171" i="16"/>
  <c r="Y173" i="16"/>
  <c r="Y132" i="16"/>
  <c r="Y136" i="16"/>
  <c r="Y140" i="16"/>
  <c r="Y144" i="16"/>
  <c r="Y148" i="16"/>
  <c r="Y152" i="16"/>
  <c r="Y156" i="16"/>
  <c r="Y160" i="16"/>
  <c r="Y164" i="16"/>
  <c r="Y168" i="16"/>
  <c r="Y172" i="16"/>
  <c r="F66" i="10"/>
  <c r="U261" i="16"/>
  <c r="U250" i="16"/>
  <c r="U1485" i="16"/>
  <c r="U1403" i="16"/>
  <c r="U1401" i="16"/>
  <c r="U1389" i="16"/>
  <c r="U1330" i="16"/>
  <c r="U1328" i="16"/>
  <c r="U1326" i="16"/>
  <c r="U1323" i="16"/>
  <c r="U1320" i="16"/>
  <c r="U1312" i="16"/>
  <c r="U1282" i="16"/>
  <c r="U1280" i="16"/>
  <c r="U1277" i="16"/>
  <c r="U1241" i="16"/>
  <c r="U1238" i="16"/>
  <c r="U1188" i="16"/>
  <c r="U1180" i="16"/>
  <c r="U1173" i="16"/>
  <c r="U1135" i="16"/>
  <c r="U1125" i="16"/>
  <c r="U1119" i="16"/>
  <c r="U1117" i="16"/>
  <c r="U1111" i="16"/>
  <c r="U1107" i="16"/>
  <c r="U1040" i="16"/>
  <c r="U1032" i="16"/>
  <c r="U293" i="16"/>
  <c r="U282" i="16"/>
  <c r="U1731" i="16"/>
  <c r="U1499" i="16"/>
  <c r="U1623" i="16"/>
  <c r="U1754" i="16"/>
  <c r="U2015" i="16"/>
  <c r="U2261" i="16"/>
  <c r="U2487" i="16"/>
  <c r="U2341" i="16"/>
  <c r="C6" i="10"/>
  <c r="U1633" i="16"/>
  <c r="U1641" i="16"/>
  <c r="U1570" i="16"/>
  <c r="U1886" i="16"/>
  <c r="U1638" i="16"/>
  <c r="U1805" i="16"/>
  <c r="U1843" i="16"/>
  <c r="U2144" i="16"/>
  <c r="D2446" i="16"/>
  <c r="U2446" i="16" s="1"/>
  <c r="I2446" i="16"/>
  <c r="J2446" i="16"/>
  <c r="H2446" i="16"/>
  <c r="U2256" i="16"/>
  <c r="U1525" i="16"/>
  <c r="U1972" i="16"/>
  <c r="U1543" i="16"/>
  <c r="U2421" i="16"/>
  <c r="U1977" i="16"/>
  <c r="U1540" i="16"/>
  <c r="U1774" i="16"/>
  <c r="U2083" i="16"/>
  <c r="U2244" i="16"/>
  <c r="U2091" i="16"/>
  <c r="U2027" i="16"/>
  <c r="U1709" i="16"/>
  <c r="U2011" i="16"/>
  <c r="U2186" i="16"/>
  <c r="U2277" i="16"/>
  <c r="G2353" i="16"/>
  <c r="U2234" i="16"/>
  <c r="U1102" i="16"/>
  <c r="U1095" i="16"/>
  <c r="U1091" i="16"/>
  <c r="U1088" i="16"/>
  <c r="U1084" i="16"/>
  <c r="U1081" i="16"/>
  <c r="U1076" i="16"/>
  <c r="U1070" i="16"/>
  <c r="U1059" i="16"/>
  <c r="U1056" i="16"/>
  <c r="U1045" i="16"/>
  <c r="U1043" i="16"/>
  <c r="U1028" i="16"/>
  <c r="U1025" i="16"/>
  <c r="U1022" i="16"/>
  <c r="U1020" i="16"/>
  <c r="U1012" i="16"/>
  <c r="U1008" i="16"/>
  <c r="U1004" i="16"/>
  <c r="U1001" i="16"/>
  <c r="U999" i="16"/>
  <c r="U986" i="16"/>
  <c r="U983" i="16"/>
  <c r="U968" i="16"/>
  <c r="U966" i="16"/>
  <c r="U964" i="16"/>
  <c r="U959" i="16"/>
  <c r="U954" i="16"/>
  <c r="U951" i="16"/>
  <c r="U949" i="16"/>
  <c r="U943" i="16"/>
  <c r="U936" i="16"/>
  <c r="U933" i="16"/>
  <c r="U929" i="16"/>
  <c r="U915" i="16"/>
  <c r="U909" i="16"/>
  <c r="U900" i="16"/>
  <c r="U898" i="16"/>
  <c r="U892" i="16"/>
  <c r="U889" i="16"/>
  <c r="U882" i="16"/>
  <c r="U880" i="16"/>
  <c r="U877" i="16"/>
  <c r="U864" i="16"/>
  <c r="U862" i="16"/>
  <c r="U850" i="16"/>
  <c r="U846" i="16"/>
  <c r="U844" i="16"/>
  <c r="U838" i="16"/>
  <c r="U835" i="16"/>
  <c r="U830" i="16"/>
  <c r="U815" i="16"/>
  <c r="U813" i="16"/>
  <c r="U811" i="16"/>
  <c r="U808" i="16"/>
  <c r="U792" i="16"/>
  <c r="U787" i="16"/>
  <c r="U784" i="16"/>
  <c r="U775" i="16"/>
  <c r="U772" i="16"/>
  <c r="U769" i="16"/>
  <c r="U767" i="16"/>
  <c r="U764" i="16"/>
  <c r="U534" i="16"/>
  <c r="U532" i="16"/>
  <c r="U500" i="16"/>
  <c r="U528" i="16"/>
  <c r="U526" i="16"/>
  <c r="U502" i="16"/>
  <c r="U496" i="16"/>
  <c r="U494" i="16"/>
  <c r="U481" i="16"/>
  <c r="U474" i="16"/>
  <c r="U298" i="16"/>
  <c r="U234" i="16"/>
  <c r="I2493" i="16"/>
  <c r="G2356" i="16"/>
  <c r="J2382" i="16"/>
  <c r="I2427" i="16"/>
  <c r="G2272" i="16"/>
  <c r="I2455" i="16"/>
  <c r="F2493" i="16"/>
  <c r="G2493" i="16"/>
  <c r="U520" i="16"/>
  <c r="U518" i="16"/>
  <c r="U512" i="16"/>
  <c r="U510" i="16"/>
  <c r="U488" i="16"/>
  <c r="U486" i="16"/>
  <c r="U277" i="16"/>
  <c r="U266" i="16"/>
  <c r="U760" i="16"/>
  <c r="U747" i="16"/>
  <c r="U742" i="16"/>
  <c r="U738" i="16"/>
  <c r="U735" i="16"/>
  <c r="U724" i="16"/>
  <c r="U718" i="16"/>
  <c r="U716" i="16"/>
  <c r="U712" i="16"/>
  <c r="U703" i="16"/>
  <c r="U699" i="16"/>
  <c r="U695" i="16"/>
  <c r="U690" i="16"/>
  <c r="U688" i="16"/>
  <c r="U685" i="16"/>
  <c r="U675" i="16"/>
  <c r="U671" i="16"/>
  <c r="U667" i="16"/>
  <c r="U665" i="16"/>
  <c r="U656" i="16"/>
  <c r="U652" i="16"/>
  <c r="U643" i="16"/>
  <c r="U641" i="16"/>
  <c r="U627" i="16"/>
  <c r="U622" i="16"/>
  <c r="U613" i="16"/>
  <c r="U605" i="16"/>
  <c r="U595" i="16"/>
  <c r="U591" i="16"/>
  <c r="U587" i="16"/>
  <c r="U572" i="16"/>
  <c r="U569" i="16"/>
  <c r="U551" i="16"/>
  <c r="U547" i="16"/>
  <c r="U538" i="16"/>
  <c r="U468" i="16"/>
  <c r="U777" i="16"/>
  <c r="H26" i="10"/>
  <c r="D26" i="10" s="1"/>
  <c r="A1" i="2"/>
  <c r="H27" i="10"/>
  <c r="D27" i="10" s="1"/>
  <c r="H33" i="10"/>
  <c r="H35" i="10"/>
  <c r="D35" i="10" s="1"/>
  <c r="H25" i="10"/>
  <c r="H46" i="10"/>
  <c r="D46" i="10" s="1"/>
  <c r="U871" i="16"/>
  <c r="B79" i="4"/>
  <c r="A56" i="10" s="1"/>
  <c r="B37" i="4"/>
  <c r="A24" i="10" s="1"/>
  <c r="B61" i="4"/>
  <c r="A44" i="10" s="1"/>
  <c r="B49" i="4"/>
  <c r="A34" i="10" s="1"/>
  <c r="B43" i="4"/>
  <c r="A29" i="10" s="1"/>
  <c r="B77" i="4"/>
  <c r="A55" i="10" s="1"/>
  <c r="H57" i="10"/>
  <c r="D57" i="10" s="1"/>
  <c r="H53" i="10"/>
  <c r="H48" i="10"/>
  <c r="D48" i="10" s="1"/>
  <c r="U840" i="16"/>
  <c r="U798" i="16"/>
  <c r="B58" i="4"/>
  <c r="A42" i="10" s="1"/>
  <c r="A27" i="10"/>
  <c r="U982" i="16"/>
  <c r="H47" i="10"/>
  <c r="D47" i="10" s="1"/>
  <c r="C46" i="10"/>
  <c r="H45" i="10"/>
  <c r="D45" i="10" s="1"/>
  <c r="H43" i="10"/>
  <c r="H42" i="10"/>
  <c r="D42" i="10" s="1"/>
  <c r="U1627" i="16"/>
  <c r="U1177" i="16"/>
  <c r="U1319" i="16"/>
  <c r="U972" i="16"/>
  <c r="U561" i="16"/>
  <c r="U1484" i="16"/>
  <c r="U1157" i="16"/>
  <c r="B50" i="4"/>
  <c r="A35" i="10" s="1"/>
  <c r="B62" i="4"/>
  <c r="A45" i="10" s="1"/>
  <c r="H41" i="10"/>
  <c r="D41" i="10" s="1"/>
  <c r="A25" i="10"/>
  <c r="B56" i="4"/>
  <c r="A40" i="10" s="1"/>
  <c r="U601" i="16"/>
  <c r="U741" i="16"/>
  <c r="U633" i="16"/>
  <c r="H40" i="10"/>
  <c r="D40" i="10" s="1"/>
  <c r="U1877" i="16"/>
  <c r="U2271" i="16"/>
  <c r="U931" i="16"/>
  <c r="B52" i="4"/>
  <c r="A37" i="10" s="1"/>
  <c r="U990" i="16"/>
  <c r="U1756" i="16"/>
  <c r="U1622" i="16"/>
  <c r="H38" i="10"/>
  <c r="D38" i="10" s="1"/>
  <c r="H37" i="10"/>
  <c r="D37" i="10" s="1"/>
  <c r="H36" i="10"/>
  <c r="D36" i="10" s="1"/>
  <c r="U1364" i="16"/>
  <c r="U1288" i="16"/>
  <c r="D33" i="10"/>
  <c r="C33" i="10"/>
  <c r="U1265" i="16"/>
  <c r="U727" i="16"/>
  <c r="U1440" i="16"/>
  <c r="U1140" i="16"/>
  <c r="U1491" i="16"/>
  <c r="H32" i="10"/>
  <c r="D32" i="10" s="1"/>
  <c r="H30" i="10"/>
  <c r="D30" i="10" s="1"/>
  <c r="U1617" i="16"/>
  <c r="U1148" i="16"/>
  <c r="U1024" i="16"/>
  <c r="U1307" i="16"/>
  <c r="H31" i="10"/>
  <c r="D31" i="10" s="1"/>
  <c r="U1011" i="16"/>
  <c r="U1224" i="16"/>
  <c r="U2053" i="16"/>
  <c r="U2084" i="16"/>
  <c r="U2005" i="16"/>
  <c r="U1672" i="16"/>
  <c r="U1267" i="16"/>
  <c r="U1308" i="16"/>
  <c r="U711" i="16"/>
  <c r="U1362" i="16"/>
  <c r="U1796" i="16"/>
  <c r="U1073" i="16"/>
  <c r="U837" i="16"/>
  <c r="U1299" i="16"/>
  <c r="U1768" i="16"/>
  <c r="U1426" i="16"/>
  <c r="U1434" i="16"/>
  <c r="U963" i="16"/>
  <c r="U2209" i="16"/>
  <c r="U1203" i="16"/>
  <c r="U1105" i="16"/>
  <c r="U746" i="16"/>
  <c r="U1165" i="16"/>
  <c r="U973" i="16"/>
  <c r="U1885" i="16"/>
  <c r="U890" i="16"/>
  <c r="U1168" i="16"/>
  <c r="U755" i="16"/>
  <c r="U1192" i="16"/>
  <c r="U1006" i="16"/>
  <c r="U1387" i="16"/>
  <c r="U1350" i="16"/>
  <c r="U1765" i="16"/>
  <c r="U1406" i="16"/>
  <c r="U867" i="16"/>
  <c r="U1385" i="16"/>
  <c r="U2123" i="16"/>
  <c r="U934" i="16"/>
  <c r="U565" i="16"/>
  <c r="U2062" i="16"/>
  <c r="U2268" i="16"/>
  <c r="U1340" i="16"/>
  <c r="U1487" i="16"/>
  <c r="C27" i="10"/>
  <c r="U762" i="16"/>
  <c r="U1345" i="16"/>
  <c r="U651" i="16"/>
  <c r="C26" i="10"/>
  <c r="C25" i="10"/>
  <c r="U1158" i="16"/>
  <c r="U1217" i="16"/>
  <c r="U317" i="16"/>
  <c r="U338" i="16"/>
  <c r="U661" i="16"/>
  <c r="U1133" i="16"/>
  <c r="U1225" i="16"/>
  <c r="U1113" i="16"/>
  <c r="C22" i="10"/>
  <c r="U2049" i="16"/>
  <c r="U937" i="16"/>
  <c r="U1142" i="16"/>
  <c r="U1651" i="16"/>
  <c r="U1581" i="16"/>
  <c r="U809" i="16"/>
  <c r="U761" i="16"/>
  <c r="C42" i="10"/>
  <c r="C23" i="10"/>
  <c r="U1066" i="16"/>
  <c r="U630" i="16"/>
  <c r="U820" i="16"/>
  <c r="U2002" i="16"/>
  <c r="U2010" i="16"/>
  <c r="U600" i="16"/>
  <c r="U1151" i="16"/>
  <c r="U552" i="16"/>
  <c r="U2024" i="16"/>
  <c r="U573" i="16"/>
  <c r="U1700" i="16"/>
  <c r="C21" i="10"/>
  <c r="C20" i="10"/>
  <c r="F59" i="10"/>
  <c r="H59" i="10" s="1"/>
  <c r="F58" i="10"/>
  <c r="H58" i="10" s="1"/>
  <c r="C43" i="10"/>
  <c r="D43" i="10"/>
  <c r="C15" i="10"/>
  <c r="U396" i="16"/>
  <c r="U2162" i="16"/>
  <c r="U1833" i="16"/>
  <c r="U2006" i="16"/>
  <c r="U1598" i="16"/>
  <c r="U1892" i="16"/>
  <c r="U1935" i="16"/>
  <c r="U1469" i="16"/>
  <c r="U752" i="16"/>
  <c r="U2103" i="16"/>
  <c r="U1398" i="16"/>
  <c r="U1918" i="16"/>
  <c r="U1284" i="16"/>
  <c r="U673" i="16"/>
  <c r="U1062" i="16"/>
  <c r="U920" i="16"/>
  <c r="U1384" i="16"/>
  <c r="U2246" i="16"/>
  <c r="U1375" i="16"/>
  <c r="U1234" i="16"/>
  <c r="U2107" i="16"/>
  <c r="U928" i="16"/>
  <c r="C48" i="10"/>
  <c r="C18" i="10"/>
  <c r="U292" i="16"/>
  <c r="U609" i="16"/>
  <c r="U2283" i="16"/>
  <c r="C35" i="10"/>
  <c r="U332" i="16"/>
  <c r="U436" i="16"/>
  <c r="U750" i="16"/>
  <c r="U995" i="16"/>
  <c r="U1167" i="16"/>
  <c r="U1467" i="16"/>
  <c r="U2318" i="16"/>
  <c r="U1080" i="16"/>
  <c r="U756" i="16"/>
  <c r="U1857" i="16"/>
  <c r="U834" i="16"/>
  <c r="C31" i="10"/>
  <c r="C16" i="10"/>
  <c r="C36" i="10"/>
  <c r="C41" i="10"/>
  <c r="U610" i="16"/>
  <c r="U2203" i="16"/>
  <c r="U240" i="16"/>
  <c r="U315" i="16"/>
  <c r="U364" i="16"/>
  <c r="U335" i="16"/>
  <c r="U357" i="16"/>
  <c r="U1366" i="16"/>
  <c r="U1429" i="16"/>
  <c r="U946" i="16"/>
  <c r="U1818" i="16"/>
  <c r="U654" i="16"/>
  <c r="U902" i="16"/>
  <c r="U2009" i="16"/>
  <c r="U1556" i="16"/>
  <c r="U2141" i="16"/>
  <c r="U1580" i="16"/>
  <c r="C37" i="10"/>
  <c r="U1351" i="16"/>
  <c r="U2414" i="16"/>
  <c r="U2252" i="16"/>
  <c r="U753" i="16"/>
  <c r="U564" i="16"/>
  <c r="U826" i="16"/>
  <c r="U832" i="16"/>
  <c r="U2147" i="16"/>
  <c r="U1725" i="16"/>
  <c r="U817" i="16"/>
  <c r="U1337" i="16"/>
  <c r="U2424" i="16"/>
  <c r="U1462" i="16"/>
  <c r="U1400" i="16"/>
  <c r="U1063" i="16"/>
  <c r="U918" i="16"/>
  <c r="U2451" i="16"/>
  <c r="U2013" i="16"/>
  <c r="C17" i="10"/>
  <c r="F56" i="10"/>
  <c r="H56" i="10" s="1"/>
  <c r="F64" i="10"/>
  <c r="F54" i="10"/>
  <c r="H54" i="10" s="1"/>
  <c r="U374" i="16"/>
  <c r="U392" i="16"/>
  <c r="U440" i="16"/>
  <c r="U331" i="16"/>
  <c r="U348" i="16"/>
  <c r="U404" i="16"/>
  <c r="U420" i="16"/>
  <c r="U2154" i="16"/>
  <c r="U2179" i="16"/>
  <c r="U1370" i="16"/>
  <c r="U1354" i="16"/>
  <c r="U1251" i="16"/>
  <c r="U1194" i="16"/>
  <c r="U795" i="16"/>
  <c r="U660" i="16"/>
  <c r="U802" i="16"/>
  <c r="U731" i="16"/>
  <c r="U1361" i="16"/>
  <c r="U1702" i="16"/>
  <c r="U1360" i="16"/>
  <c r="U1353" i="16"/>
  <c r="U1260" i="16"/>
  <c r="U2076" i="16"/>
  <c r="U1456" i="16"/>
  <c r="U1607" i="16"/>
  <c r="U2022" i="16"/>
  <c r="U1089" i="16"/>
  <c r="U1825" i="16"/>
  <c r="U962" i="16"/>
  <c r="U1644" i="16"/>
  <c r="U1198" i="16"/>
  <c r="U1065" i="16"/>
  <c r="U948" i="16"/>
  <c r="U647" i="16"/>
  <c r="U1656" i="16"/>
  <c r="U1880" i="16"/>
  <c r="U1490" i="16"/>
  <c r="U895" i="16"/>
  <c r="U847" i="16"/>
  <c r="U771" i="16"/>
  <c r="U1732" i="16"/>
  <c r="U2077" i="16"/>
  <c r="U1844" i="16"/>
  <c r="U956" i="16"/>
  <c r="U611" i="16"/>
  <c r="U1314" i="16"/>
  <c r="U1520" i="16"/>
  <c r="U1432" i="16"/>
  <c r="U693" i="16"/>
  <c r="U545" i="16"/>
  <c r="U1551" i="16"/>
  <c r="U1569" i="16"/>
  <c r="U1104" i="16"/>
  <c r="U1178" i="16"/>
  <c r="U1586" i="16"/>
  <c r="U1578" i="16"/>
  <c r="U2058" i="16"/>
  <c r="U1202" i="16"/>
  <c r="U1399" i="16"/>
  <c r="U623" i="16"/>
  <c r="U865" i="16"/>
  <c r="U720" i="16"/>
  <c r="U681" i="16"/>
  <c r="U1365" i="16"/>
  <c r="U1276" i="16"/>
  <c r="U1719" i="16"/>
  <c r="U1457" i="16"/>
  <c r="U2432" i="16"/>
  <c r="U2214" i="16"/>
  <c r="U1049" i="16"/>
  <c r="H50" i="10"/>
  <c r="F55" i="10"/>
  <c r="H55" i="10" s="1"/>
  <c r="D55" i="10" s="1"/>
  <c r="U563" i="16"/>
  <c r="U754" i="16"/>
  <c r="F60" i="10"/>
  <c r="H60" i="10" s="1"/>
  <c r="D25" i="10"/>
  <c r="F51" i="10"/>
  <c r="C45" i="10"/>
  <c r="C55" i="10"/>
  <c r="F63" i="10"/>
  <c r="F65" i="10"/>
  <c r="C13" i="10"/>
  <c r="D13" i="10"/>
  <c r="U1242" i="16"/>
  <c r="U1663" i="16"/>
  <c r="U1455" i="16"/>
  <c r="U1451" i="16"/>
  <c r="U539" i="16"/>
  <c r="U1155" i="16"/>
  <c r="C12" i="10"/>
  <c r="U823" i="16"/>
  <c r="U1290" i="16"/>
  <c r="U1033" i="16"/>
  <c r="U2336" i="16"/>
  <c r="U2364" i="16"/>
  <c r="U1738" i="16"/>
  <c r="U2235" i="16"/>
  <c r="U2399" i="16"/>
  <c r="U1643" i="16"/>
  <c r="U1794" i="16"/>
  <c r="U1801" i="16"/>
  <c r="U2400" i="16"/>
  <c r="U2095" i="16"/>
  <c r="U2282" i="16"/>
  <c r="U1804" i="16"/>
  <c r="U2322" i="16"/>
  <c r="U2354" i="16"/>
  <c r="U1407" i="16"/>
  <c r="U546" i="16"/>
  <c r="U876" i="16"/>
  <c r="U2100" i="16"/>
  <c r="U2312" i="16"/>
  <c r="U2167" i="16"/>
  <c r="U919" i="16"/>
  <c r="U875" i="16"/>
  <c r="U1995" i="16"/>
  <c r="U1661" i="16"/>
  <c r="U1576" i="16"/>
  <c r="U1186" i="16"/>
  <c r="U1554" i="16"/>
  <c r="U1266" i="16"/>
  <c r="U2452" i="16"/>
  <c r="U2393" i="16"/>
  <c r="U2221" i="16"/>
  <c r="U1936" i="16"/>
  <c r="U1517" i="16"/>
  <c r="U626" i="16"/>
  <c r="U1625" i="16"/>
  <c r="U1635" i="16"/>
  <c r="U577" i="16"/>
  <c r="U1646" i="16"/>
  <c r="U1015" i="16"/>
  <c r="U655" i="16"/>
  <c r="U549" i="16"/>
  <c r="U2018" i="16"/>
  <c r="U1212" i="16"/>
  <c r="U1179" i="16"/>
  <c r="U536" i="16"/>
  <c r="U650" i="16"/>
  <c r="U1261" i="16"/>
  <c r="U694" i="16"/>
  <c r="U1257" i="16"/>
  <c r="U620" i="16"/>
  <c r="U894" i="16"/>
  <c r="U553" i="16"/>
  <c r="U1436" i="16"/>
  <c r="U994" i="16"/>
  <c r="U1147" i="16"/>
  <c r="U1428" i="16"/>
  <c r="U1286" i="16"/>
  <c r="U2340" i="16"/>
  <c r="U1131" i="16"/>
  <c r="U960" i="16"/>
  <c r="U1790" i="16"/>
  <c r="U1124" i="16"/>
  <c r="U2428" i="16"/>
  <c r="U2326" i="16"/>
  <c r="U1421" i="16"/>
  <c r="U1346" i="16"/>
  <c r="U555" i="16"/>
  <c r="U1811" i="16"/>
  <c r="U1174" i="16"/>
  <c r="U248" i="16"/>
  <c r="U256" i="16"/>
  <c r="U272" i="16"/>
  <c r="C11" i="10"/>
  <c r="U714" i="16"/>
  <c r="U1333" i="16"/>
  <c r="U1923" i="16"/>
  <c r="U2204" i="16"/>
  <c r="U2185" i="16"/>
  <c r="U783" i="16"/>
  <c r="U1222" i="16"/>
  <c r="U1208" i="16"/>
  <c r="U583" i="16"/>
  <c r="U2486" i="16"/>
  <c r="U586" i="16"/>
  <c r="U1749" i="16"/>
  <c r="U722" i="16"/>
  <c r="U1313" i="16"/>
  <c r="U1317" i="16"/>
  <c r="U2476" i="16"/>
  <c r="G49" i="4"/>
  <c r="G31" i="4"/>
  <c r="G55" i="4"/>
  <c r="G37" i="4"/>
  <c r="G61" i="4"/>
  <c r="G43" i="4"/>
  <c r="G68" i="4"/>
  <c r="U476" i="16"/>
  <c r="U491" i="16"/>
  <c r="U507" i="16"/>
  <c r="U523" i="16"/>
  <c r="U1824" i="16"/>
  <c r="U2140" i="16"/>
  <c r="U2299" i="16"/>
  <c r="U1758" i="16"/>
  <c r="U1773" i="16"/>
  <c r="U1919" i="16"/>
  <c r="U2155" i="16"/>
  <c r="U2127" i="16"/>
  <c r="U2237" i="16"/>
  <c r="U2315" i="16"/>
  <c r="U2337" i="16"/>
  <c r="U2444" i="16"/>
  <c r="U2489" i="16"/>
  <c r="U243" i="16"/>
  <c r="U259" i="16"/>
  <c r="U275" i="16"/>
  <c r="U291" i="16"/>
  <c r="U307" i="16"/>
  <c r="U394" i="16"/>
  <c r="U410" i="16"/>
  <c r="U426" i="16"/>
  <c r="U442" i="16"/>
  <c r="U458" i="16"/>
  <c r="U345" i="16"/>
  <c r="U398" i="16"/>
  <c r="U414" i="16"/>
  <c r="U430" i="16"/>
  <c r="U446" i="16"/>
  <c r="U462" i="16"/>
  <c r="U2306" i="16"/>
  <c r="U2443" i="16"/>
  <c r="U2112" i="16"/>
  <c r="U1206" i="16"/>
  <c r="U1596" i="16"/>
  <c r="U1761" i="16"/>
  <c r="U2160" i="16"/>
  <c r="U1162" i="16"/>
  <c r="U739" i="16"/>
  <c r="U1722" i="16"/>
  <c r="U1378" i="16"/>
  <c r="U637" i="16"/>
  <c r="U597" i="16"/>
  <c r="U1050" i="16"/>
  <c r="U998" i="16"/>
  <c r="U456" i="16"/>
  <c r="U386" i="16"/>
  <c r="U402" i="16"/>
  <c r="U418" i="16"/>
  <c r="U434" i="16"/>
  <c r="U450" i="16"/>
  <c r="U466" i="16"/>
  <c r="U499" i="16"/>
  <c r="U515" i="16"/>
  <c r="U531" i="16"/>
  <c r="U1854" i="16"/>
  <c r="U2078" i="16"/>
  <c r="U562" i="16"/>
  <c r="U1744" i="16"/>
  <c r="U1879" i="16"/>
  <c r="U2034" i="16"/>
  <c r="U1989" i="16"/>
  <c r="U2291" i="16"/>
  <c r="U1546" i="16"/>
  <c r="U1707" i="16"/>
  <c r="U1777" i="16"/>
  <c r="U1993" i="16"/>
  <c r="U2193" i="16"/>
  <c r="U390" i="16"/>
  <c r="U406" i="16"/>
  <c r="U422" i="16"/>
  <c r="U438" i="16"/>
  <c r="U454" i="16"/>
  <c r="U471" i="16"/>
  <c r="U1613" i="16"/>
  <c r="U1500" i="16"/>
  <c r="U1849" i="16"/>
  <c r="U1609" i="16"/>
  <c r="U2232" i="16"/>
  <c r="U2119" i="16"/>
  <c r="U854" i="16"/>
  <c r="U683" i="16"/>
  <c r="U2033" i="16"/>
  <c r="U1394" i="16"/>
  <c r="U1112" i="16"/>
  <c r="U869" i="16"/>
  <c r="U678" i="16"/>
  <c r="U2068" i="16"/>
  <c r="U736" i="16"/>
  <c r="U1017" i="16"/>
  <c r="U709" i="16"/>
  <c r="U1680" i="16"/>
  <c r="U1957" i="16"/>
  <c r="U2109" i="16"/>
  <c r="U2288" i="16"/>
  <c r="U2313" i="16"/>
  <c r="U1746" i="16"/>
  <c r="U1769" i="16"/>
  <c r="U1875" i="16"/>
  <c r="U1912" i="16"/>
  <c r="U2388" i="16"/>
  <c r="U1611" i="16"/>
  <c r="U2226" i="16"/>
  <c r="U2247" i="16"/>
  <c r="U2478" i="16"/>
  <c r="U944" i="16"/>
  <c r="U819" i="16"/>
  <c r="U2149" i="16"/>
  <c r="U1533" i="16"/>
  <c r="U800" i="16"/>
  <c r="U1097" i="16"/>
  <c r="U1014" i="16"/>
  <c r="U576" i="16"/>
  <c r="U1109" i="16"/>
  <c r="U1078" i="16"/>
  <c r="U1610" i="16"/>
  <c r="U888" i="16"/>
  <c r="U1630" i="16"/>
  <c r="U1975" i="16"/>
  <c r="U1741" i="16"/>
  <c r="U1817" i="16"/>
  <c r="U866" i="16"/>
  <c r="U1950" i="16"/>
  <c r="U602" i="16"/>
  <c r="U1356" i="16"/>
  <c r="U785" i="16"/>
  <c r="U646" i="16"/>
  <c r="U1495" i="16"/>
  <c r="U757" i="16"/>
  <c r="U1792" i="16"/>
  <c r="U2236" i="16"/>
  <c r="U1911" i="16"/>
  <c r="U1866" i="16"/>
  <c r="U1372" i="16"/>
  <c r="U1205" i="16"/>
  <c r="U855" i="16"/>
  <c r="U706" i="16"/>
  <c r="U2224" i="16"/>
  <c r="U833" i="16"/>
  <c r="U1092" i="16"/>
  <c r="U612" i="16"/>
  <c r="U1197" i="16"/>
  <c r="U1423" i="16"/>
  <c r="U2195" i="16"/>
  <c r="U2194" i="16"/>
  <c r="U1464" i="16"/>
  <c r="U705" i="16"/>
  <c r="U645" i="16"/>
  <c r="U1615" i="16"/>
  <c r="U1072" i="16"/>
  <c r="U827" i="16"/>
  <c r="U1013" i="16"/>
  <c r="U1128" i="16"/>
  <c r="U974" i="16"/>
  <c r="U1715" i="16"/>
  <c r="U1642" i="16"/>
  <c r="U904" i="16"/>
  <c r="U905" i="16"/>
  <c r="U799" i="16"/>
  <c r="U1235" i="16"/>
  <c r="U2199" i="16"/>
  <c r="U896" i="16"/>
  <c r="U1289" i="16"/>
  <c r="U1156" i="16"/>
  <c r="U897" i="16"/>
  <c r="U2075" i="16"/>
  <c r="U1496" i="16"/>
  <c r="U942" i="16"/>
  <c r="U910" i="16"/>
  <c r="U2464" i="16"/>
  <c r="U672" i="16"/>
  <c r="U1422" i="16"/>
  <c r="U2201" i="16"/>
  <c r="U1408" i="16"/>
  <c r="U1393" i="16"/>
  <c r="U1127" i="16"/>
  <c r="U945" i="16"/>
  <c r="U925" i="16"/>
  <c r="U1316" i="16"/>
  <c r="U1431" i="16"/>
  <c r="U1536" i="16"/>
  <c r="U1292" i="16"/>
  <c r="U624" i="16"/>
  <c r="U2417" i="16"/>
  <c r="U2079" i="16"/>
  <c r="U1442" i="16"/>
  <c r="U1411" i="16"/>
  <c r="U939" i="16"/>
  <c r="U907" i="16"/>
  <c r="U1826" i="16"/>
  <c r="U1518" i="16"/>
  <c r="U806" i="16"/>
  <c r="U280" i="16"/>
  <c r="U296" i="16"/>
  <c r="U304" i="16"/>
  <c r="U316" i="16"/>
  <c r="U452" i="16"/>
  <c r="U911" i="16"/>
  <c r="U1324" i="16"/>
  <c r="U1099" i="16"/>
  <c r="U321" i="16"/>
  <c r="U325" i="16"/>
  <c r="U314" i="16"/>
  <c r="U322" i="16"/>
  <c r="U330" i="16"/>
  <c r="U346" i="16"/>
  <c r="U354" i="16"/>
  <c r="U366" i="16"/>
  <c r="U424" i="16"/>
  <c r="U339" i="16"/>
  <c r="U347" i="16"/>
  <c r="U341" i="16"/>
  <c r="U349" i="16"/>
  <c r="U1255" i="16"/>
  <c r="U839" i="16"/>
  <c r="U680" i="16"/>
  <c r="U743" i="16"/>
  <c r="U1199" i="16"/>
  <c r="U2089" i="16"/>
  <c r="U2124" i="16"/>
  <c r="U1278" i="16"/>
  <c r="U617" i="16"/>
  <c r="U1145" i="16"/>
  <c r="U2036" i="16"/>
  <c r="U1837" i="16"/>
  <c r="U1737" i="16"/>
  <c r="U244" i="16"/>
  <c r="U252" i="16"/>
  <c r="U260" i="16"/>
  <c r="U268" i="16"/>
  <c r="U276" i="16"/>
  <c r="U300" i="16"/>
  <c r="U319" i="16"/>
  <c r="U323" i="16"/>
  <c r="U308" i="16"/>
  <c r="U318" i="16"/>
  <c r="U326" i="16"/>
  <c r="U342" i="16"/>
  <c r="U350" i="16"/>
  <c r="U358" i="16"/>
  <c r="U368" i="16"/>
  <c r="U372" i="16"/>
  <c r="U376" i="16"/>
  <c r="U380" i="16"/>
  <c r="U384" i="16"/>
  <c r="U400" i="16"/>
  <c r="U416" i="16"/>
  <c r="U432" i="16"/>
  <c r="U464" i="16"/>
  <c r="U351" i="16"/>
  <c r="U359" i="16"/>
  <c r="U320" i="16"/>
  <c r="U336" i="16"/>
  <c r="U344" i="16"/>
  <c r="U352" i="16"/>
  <c r="U428" i="16"/>
  <c r="U444" i="16"/>
  <c r="U337" i="16"/>
  <c r="U353" i="16"/>
  <c r="U361" i="16"/>
  <c r="U1368" i="16"/>
  <c r="U1253" i="16"/>
  <c r="U1226" i="16"/>
  <c r="U793" i="16"/>
  <c r="U658" i="16"/>
  <c r="U2228" i="16"/>
  <c r="U1971" i="16"/>
  <c r="U1071" i="16"/>
  <c r="U1601" i="16"/>
  <c r="U1306" i="16"/>
  <c r="U603" i="16"/>
  <c r="U708" i="16"/>
  <c r="U1575" i="16"/>
  <c r="U1468" i="16"/>
  <c r="U725" i="16"/>
  <c r="U619" i="16"/>
  <c r="U924" i="16"/>
  <c r="U1256" i="16"/>
  <c r="U1236" i="16"/>
  <c r="U1978" i="16"/>
  <c r="U698" i="16"/>
  <c r="U1832" i="16"/>
  <c r="U1681" i="16"/>
  <c r="U1605" i="16"/>
  <c r="U1572" i="16"/>
  <c r="U2183" i="16"/>
  <c r="U1982" i="16"/>
  <c r="U1190" i="16"/>
  <c r="U853" i="16"/>
  <c r="U704" i="16"/>
  <c r="U1934" i="16"/>
  <c r="U1612" i="16"/>
  <c r="U825" i="16"/>
  <c r="U582" i="16"/>
  <c r="U1706" i="16"/>
  <c r="U1433" i="16"/>
  <c r="U1086" i="16"/>
  <c r="U2065" i="16"/>
  <c r="U1621" i="16"/>
  <c r="U1315" i="16"/>
  <c r="U782" i="16"/>
  <c r="U1087" i="16"/>
  <c r="U759" i="16"/>
  <c r="U628" i="16"/>
  <c r="U816" i="16"/>
  <c r="U1048" i="16"/>
  <c r="U1207" i="16"/>
  <c r="U1404" i="16"/>
  <c r="U541" i="16"/>
  <c r="U1416" i="16"/>
  <c r="U657" i="16"/>
  <c r="U1230" i="16"/>
  <c r="U669" i="16"/>
  <c r="U677" i="16"/>
  <c r="U1745" i="16"/>
  <c r="U1136" i="16"/>
  <c r="U1582" i="16"/>
  <c r="U1010" i="16"/>
  <c r="U1074" i="16"/>
  <c r="U615" i="16"/>
  <c r="U544" i="16"/>
  <c r="U1060" i="16"/>
  <c r="U1082" i="16"/>
  <c r="U1898" i="16"/>
  <c r="U1685" i="16"/>
  <c r="U1648" i="16"/>
  <c r="U1405" i="16"/>
  <c r="U1930" i="16"/>
  <c r="U2032" i="16"/>
  <c r="U2142" i="16"/>
  <c r="U1712" i="16"/>
  <c r="U1441" i="16"/>
  <c r="U997" i="16"/>
  <c r="U640" i="16"/>
  <c r="U1809" i="16"/>
  <c r="U744" i="16"/>
  <c r="U554" i="16"/>
  <c r="U1114" i="16"/>
  <c r="U2137" i="16"/>
  <c r="U1120" i="16"/>
  <c r="U608" i="16"/>
  <c r="U584" i="16"/>
  <c r="U1218" i="16"/>
  <c r="U1027" i="16"/>
  <c r="U883" i="16"/>
  <c r="U1172" i="16"/>
  <c r="U2357" i="16"/>
  <c r="U2044" i="16"/>
  <c r="U1482" i="16"/>
  <c r="U985" i="16"/>
  <c r="U1956" i="16"/>
  <c r="U781" i="16"/>
  <c r="U2482" i="16"/>
  <c r="U1867" i="16"/>
  <c r="U1728" i="16"/>
  <c r="U1067" i="16"/>
  <c r="U2496" i="16"/>
  <c r="U1355" i="16"/>
  <c r="U1283" i="16"/>
  <c r="U749" i="16"/>
  <c r="U1478" i="16"/>
  <c r="U2222" i="16"/>
  <c r="U1237" i="16"/>
  <c r="U913" i="16"/>
  <c r="U2457" i="16"/>
  <c r="U2371" i="16"/>
  <c r="C9" i="10"/>
  <c r="U362" i="16"/>
  <c r="U370" i="16"/>
  <c r="U382" i="16"/>
  <c r="U408" i="16"/>
  <c r="U312" i="16"/>
  <c r="U360" i="16"/>
  <c r="U460" i="16"/>
  <c r="U540" i="16"/>
  <c r="U729" i="16"/>
  <c r="U805" i="16"/>
  <c r="U930" i="16"/>
  <c r="U557" i="16"/>
  <c r="U1122" i="16"/>
  <c r="U618" i="16"/>
  <c r="U1658" i="16"/>
  <c r="U696" i="16"/>
  <c r="U1137" i="16"/>
  <c r="C8" i="10"/>
  <c r="D7" i="10"/>
  <c r="C7" i="10"/>
  <c r="U588" i="16"/>
  <c r="U236" i="16"/>
  <c r="U284" i="16"/>
  <c r="U328" i="16"/>
  <c r="U2191" i="16"/>
  <c r="U1562" i="16"/>
  <c r="U1187" i="16"/>
  <c r="U1166" i="16"/>
  <c r="U1905" i="16"/>
  <c r="U1806" i="16"/>
  <c r="U2093" i="16"/>
  <c r="U1954" i="16"/>
  <c r="U734" i="16"/>
  <c r="U607" i="16"/>
  <c r="U733" i="16"/>
  <c r="U873" i="16"/>
  <c r="U748" i="16"/>
  <c r="U542" i="16"/>
  <c r="U1046" i="16"/>
  <c r="U1201" i="16"/>
  <c r="U2097" i="16"/>
  <c r="U1395" i="16"/>
  <c r="U1679" i="16"/>
  <c r="U1708" i="16"/>
  <c r="U1051" i="16"/>
  <c r="U701" i="16"/>
  <c r="U581" i="16"/>
  <c r="U2208" i="16"/>
  <c r="U1574" i="16"/>
  <c r="U1132" i="16"/>
  <c r="U1348" i="16"/>
  <c r="U955" i="16"/>
  <c r="U2166" i="16"/>
  <c r="U1958" i="16"/>
  <c r="U1600" i="16"/>
  <c r="U1101" i="16"/>
  <c r="U958" i="16"/>
  <c r="U1776" i="16"/>
  <c r="U264" i="16"/>
  <c r="U327" i="16"/>
  <c r="U334" i="16"/>
  <c r="U343" i="16"/>
  <c r="U324" i="16"/>
  <c r="U388" i="16"/>
  <c r="U329" i="16"/>
  <c r="U1381" i="16"/>
  <c r="U2040" i="16"/>
  <c r="U1459" i="16"/>
  <c r="U1175" i="16"/>
  <c r="U791" i="16"/>
  <c r="U1297" i="16"/>
  <c r="U1254" i="16"/>
  <c r="U1163" i="16"/>
  <c r="U2088" i="16"/>
  <c r="U1215" i="16"/>
  <c r="U589" i="16"/>
  <c r="U1799" i="16"/>
  <c r="U2111" i="16"/>
  <c r="U2057" i="16"/>
  <c r="U1752" i="16"/>
  <c r="U1647" i="16"/>
  <c r="U1514" i="16"/>
  <c r="U1183" i="16"/>
  <c r="U870" i="16"/>
  <c r="U975" i="16"/>
  <c r="U923" i="16"/>
  <c r="U1392" i="16"/>
  <c r="U2025" i="16"/>
  <c r="U1636" i="16"/>
  <c r="U2153" i="16"/>
  <c r="U1821" i="16"/>
  <c r="U1876" i="16"/>
  <c r="U664" i="16"/>
  <c r="U1185" i="16"/>
  <c r="U1170" i="16"/>
  <c r="U2187" i="16"/>
  <c r="D5" i="10"/>
  <c r="C5" i="10"/>
  <c r="U412" i="16"/>
  <c r="U1513" i="16"/>
  <c r="U448" i="16"/>
  <c r="U1228" i="16"/>
  <c r="U987" i="16"/>
  <c r="U580" i="16"/>
  <c r="U1901" i="16"/>
  <c r="U1160" i="16"/>
  <c r="U1921" i="16"/>
  <c r="U288" i="16"/>
  <c r="U356" i="16"/>
  <c r="U721" i="16"/>
  <c r="U1058" i="16"/>
  <c r="C61" i="10"/>
  <c r="U313" i="16"/>
  <c r="U378" i="16"/>
  <c r="U355" i="16"/>
  <c r="U916" i="16"/>
  <c r="U1358" i="16"/>
  <c r="U1153" i="16"/>
  <c r="U2202" i="16"/>
  <c r="U2168" i="16"/>
  <c r="U1937" i="16"/>
  <c r="U2158" i="16"/>
  <c r="U1941" i="16"/>
  <c r="U1249" i="16"/>
  <c r="U1209" i="16"/>
  <c r="U849" i="16"/>
  <c r="U818" i="16"/>
  <c r="U1716" i="16"/>
  <c r="U333" i="16"/>
  <c r="U556" i="16"/>
  <c r="U1349" i="16"/>
  <c r="U1311" i="16"/>
  <c r="U1519" i="16"/>
  <c r="U1583" i="16"/>
  <c r="U592" i="16"/>
  <c r="U1093" i="16"/>
  <c r="U1788" i="16"/>
  <c r="U1159" i="16"/>
  <c r="U1037" i="16"/>
  <c r="U938" i="16"/>
  <c r="U1922" i="16"/>
  <c r="U906" i="16"/>
  <c r="U789" i="16"/>
  <c r="U1129" i="16"/>
  <c r="U2081" i="16"/>
  <c r="U822" i="16"/>
  <c r="U969" i="16"/>
  <c r="U2061" i="16"/>
  <c r="U1331" i="16"/>
  <c r="U1509" i="16"/>
  <c r="U1130" i="16"/>
  <c r="U1412" i="16"/>
  <c r="U621" i="16"/>
  <c r="U1116" i="16"/>
  <c r="U636" i="16"/>
  <c r="U1668" i="16"/>
  <c r="U1465" i="16"/>
  <c r="U1336" i="16"/>
  <c r="U560" i="16"/>
  <c r="U2014" i="16"/>
  <c r="B57" i="4"/>
  <c r="A41" i="10" s="1"/>
  <c r="U1986" i="16"/>
  <c r="U921" i="16"/>
  <c r="U1304" i="16"/>
  <c r="U1845" i="16"/>
  <c r="U1488" i="16"/>
  <c r="U1003" i="16"/>
  <c r="U691" i="16"/>
  <c r="U548" i="16"/>
  <c r="U993" i="16"/>
  <c r="U2073" i="16"/>
  <c r="U1760" i="16"/>
  <c r="U1200" i="16"/>
  <c r="U1588" i="16"/>
  <c r="U1435" i="16"/>
  <c r="U1955" i="16"/>
  <c r="U1146" i="16"/>
  <c r="U1134" i="16"/>
  <c r="U1007" i="16"/>
  <c r="U874" i="16"/>
  <c r="U1853" i="16"/>
  <c r="U765" i="16"/>
  <c r="U1030" i="16"/>
  <c r="U1344" i="16"/>
  <c r="U981" i="16"/>
  <c r="U1676" i="16"/>
  <c r="U1567" i="16"/>
  <c r="U1054" i="16"/>
  <c r="U1444" i="16"/>
  <c r="U1593" i="16"/>
  <c r="U2085" i="16"/>
  <c r="U1810" i="16"/>
  <c r="U2150" i="16"/>
  <c r="U1949" i="16"/>
  <c r="U340" i="16"/>
  <c r="U1219" i="16"/>
  <c r="U1042" i="16"/>
  <c r="U604" i="16"/>
  <c r="U1379" i="16"/>
  <c r="U2026" i="16"/>
  <c r="U1273" i="16"/>
  <c r="U1689" i="16"/>
  <c r="U1692" i="16"/>
  <c r="U1470" i="16"/>
  <c r="U1781" i="16"/>
  <c r="U1420" i="16"/>
  <c r="U585" i="16"/>
  <c r="U1096" i="16"/>
  <c r="U1829" i="16"/>
  <c r="U859" i="16"/>
  <c r="U616" i="16"/>
  <c r="U2198" i="16"/>
  <c r="U1466" i="16"/>
  <c r="U858" i="16"/>
  <c r="U1154" i="16"/>
  <c r="U1121" i="16"/>
  <c r="U922" i="16"/>
  <c r="U566" i="16"/>
  <c r="U1383" i="16"/>
  <c r="U1295" i="16"/>
  <c r="U988" i="16"/>
  <c r="U1296" i="16"/>
  <c r="U773" i="16"/>
  <c r="U702" i="16"/>
  <c r="U778" i="16"/>
  <c r="U1639" i="16"/>
  <c r="U1100" i="16"/>
  <c r="U1038" i="16"/>
  <c r="U1699" i="16"/>
  <c r="U730" i="16"/>
  <c r="U1321" i="16"/>
  <c r="U659" i="16"/>
  <c r="U978" i="16"/>
  <c r="U1710" i="16"/>
  <c r="U1720" i="16"/>
  <c r="U1294" i="16"/>
  <c r="U1696" i="16"/>
  <c r="U635" i="16"/>
  <c r="U649" i="16"/>
  <c r="U1016" i="16"/>
  <c r="U1602" i="16"/>
  <c r="U2096" i="16"/>
  <c r="U686" i="16"/>
  <c r="U648" i="16"/>
  <c r="U1717" i="16"/>
  <c r="U868" i="16"/>
  <c r="U568" i="16"/>
  <c r="U1739" i="16"/>
  <c r="U1229" i="16"/>
  <c r="U1343" i="16"/>
  <c r="U1523" i="16"/>
  <c r="U1591" i="16"/>
  <c r="U1018" i="16"/>
  <c r="U1629" i="16"/>
  <c r="U1352" i="16"/>
  <c r="U885" i="16"/>
  <c r="U1110" i="16"/>
  <c r="U537" i="16"/>
  <c r="U1530" i="16"/>
  <c r="C57" i="10" l="1"/>
  <c r="D468" i="16"/>
  <c r="H468" i="16"/>
  <c r="E468" i="16"/>
  <c r="J468" i="16"/>
  <c r="F468" i="16"/>
  <c r="I468" i="16"/>
  <c r="E286" i="16"/>
  <c r="I286" i="16"/>
  <c r="F286" i="16"/>
  <c r="J286" i="16"/>
  <c r="H286" i="16"/>
  <c r="D286" i="16"/>
  <c r="E310" i="16"/>
  <c r="I310" i="16"/>
  <c r="F310" i="16"/>
  <c r="J310" i="16"/>
  <c r="D310" i="16"/>
  <c r="H310" i="16"/>
  <c r="E296" i="16"/>
  <c r="I296" i="16"/>
  <c r="D296" i="16"/>
  <c r="H296" i="16"/>
  <c r="J296" i="16"/>
  <c r="F296" i="16"/>
  <c r="E312" i="16"/>
  <c r="I312" i="16"/>
  <c r="D312" i="16"/>
  <c r="H312" i="16"/>
  <c r="J312" i="16"/>
  <c r="F312" i="16"/>
  <c r="D313" i="16"/>
  <c r="H313" i="16"/>
  <c r="F313" i="16"/>
  <c r="J313" i="16"/>
  <c r="E313" i="16"/>
  <c r="I313" i="16"/>
  <c r="F283" i="16"/>
  <c r="J283" i="16"/>
  <c r="D283" i="16"/>
  <c r="H283" i="16"/>
  <c r="E283" i="16"/>
  <c r="I283" i="16"/>
  <c r="D328" i="16"/>
  <c r="H328" i="16"/>
  <c r="E328" i="16"/>
  <c r="I328" i="16"/>
  <c r="F328" i="16"/>
  <c r="J328" i="16"/>
  <c r="E360" i="16"/>
  <c r="I360" i="16"/>
  <c r="F360" i="16"/>
  <c r="J360" i="16"/>
  <c r="H360" i="16"/>
  <c r="D360" i="16"/>
  <c r="D380" i="16"/>
  <c r="H380" i="16"/>
  <c r="E380" i="16"/>
  <c r="I380" i="16"/>
  <c r="F380" i="16"/>
  <c r="J380" i="16"/>
  <c r="F377" i="16"/>
  <c r="J377" i="16"/>
  <c r="D377" i="16"/>
  <c r="H377" i="16"/>
  <c r="E377" i="16"/>
  <c r="I377" i="16"/>
  <c r="D349" i="16"/>
  <c r="H349" i="16"/>
  <c r="E349" i="16"/>
  <c r="I349" i="16"/>
  <c r="F349" i="16"/>
  <c r="J349" i="16"/>
  <c r="D353" i="16"/>
  <c r="H353" i="16"/>
  <c r="E353" i="16"/>
  <c r="I353" i="16"/>
  <c r="F353" i="16"/>
  <c r="J353" i="16"/>
  <c r="D379" i="16"/>
  <c r="H379" i="16"/>
  <c r="E379" i="16"/>
  <c r="I379" i="16"/>
  <c r="F379" i="16"/>
  <c r="J379" i="16"/>
  <c r="H403" i="16"/>
  <c r="D403" i="16"/>
  <c r="I403" i="16"/>
  <c r="E403" i="16"/>
  <c r="J403" i="16"/>
  <c r="F403" i="16"/>
  <c r="E411" i="16"/>
  <c r="J411" i="16"/>
  <c r="F411" i="16"/>
  <c r="H411" i="16"/>
  <c r="D411" i="16"/>
  <c r="I411" i="16"/>
  <c r="F423" i="16"/>
  <c r="J423" i="16"/>
  <c r="D423" i="16"/>
  <c r="H423" i="16"/>
  <c r="E423" i="16"/>
  <c r="I423" i="16"/>
  <c r="F431" i="16"/>
  <c r="J431" i="16"/>
  <c r="D431" i="16"/>
  <c r="H431" i="16"/>
  <c r="E431" i="16"/>
  <c r="I431" i="16"/>
  <c r="E420" i="16"/>
  <c r="I420" i="16"/>
  <c r="F420" i="16"/>
  <c r="J420" i="16"/>
  <c r="D420" i="16"/>
  <c r="H420" i="16"/>
  <c r="E444" i="16"/>
  <c r="I444" i="16"/>
  <c r="F444" i="16"/>
  <c r="J444" i="16"/>
  <c r="D444" i="16"/>
  <c r="H444" i="16"/>
  <c r="E455" i="16"/>
  <c r="I455" i="16"/>
  <c r="D455" i="16"/>
  <c r="J455" i="16"/>
  <c r="F455" i="16"/>
  <c r="H455" i="16"/>
  <c r="E493" i="16"/>
  <c r="I493" i="16"/>
  <c r="F493" i="16"/>
  <c r="J493" i="16"/>
  <c r="D493" i="16"/>
  <c r="H493" i="16"/>
  <c r="E485" i="16"/>
  <c r="I485" i="16"/>
  <c r="F485" i="16"/>
  <c r="J485" i="16"/>
  <c r="D485" i="16"/>
  <c r="H485" i="16"/>
  <c r="E316" i="16"/>
  <c r="I316" i="16"/>
  <c r="D316" i="16"/>
  <c r="H316" i="16"/>
  <c r="F316" i="16"/>
  <c r="J316" i="16"/>
  <c r="F341" i="16"/>
  <c r="J341" i="16"/>
  <c r="E341" i="16"/>
  <c r="H341" i="16"/>
  <c r="I341" i="16"/>
  <c r="D341" i="16"/>
  <c r="F334" i="16"/>
  <c r="J334" i="16"/>
  <c r="E334" i="16"/>
  <c r="I334" i="16"/>
  <c r="D334" i="16"/>
  <c r="H334" i="16"/>
  <c r="E335" i="16"/>
  <c r="I335" i="16"/>
  <c r="F335" i="16"/>
  <c r="J335" i="16"/>
  <c r="D335" i="16"/>
  <c r="H335" i="16"/>
  <c r="D362" i="16"/>
  <c r="H362" i="16"/>
  <c r="E362" i="16"/>
  <c r="I362" i="16"/>
  <c r="F362" i="16"/>
  <c r="J362" i="16"/>
  <c r="F359" i="16"/>
  <c r="J359" i="16"/>
  <c r="D359" i="16"/>
  <c r="H359" i="16"/>
  <c r="E359" i="16"/>
  <c r="I359" i="16"/>
  <c r="D446" i="16"/>
  <c r="H446" i="16"/>
  <c r="E446" i="16"/>
  <c r="I446" i="16"/>
  <c r="F446" i="16"/>
  <c r="J446" i="16"/>
  <c r="D406" i="16"/>
  <c r="H406" i="16"/>
  <c r="I406" i="16"/>
  <c r="E406" i="16"/>
  <c r="J406" i="16"/>
  <c r="F406" i="16"/>
  <c r="D429" i="16"/>
  <c r="H429" i="16"/>
  <c r="E429" i="16"/>
  <c r="I429" i="16"/>
  <c r="F429" i="16"/>
  <c r="J429" i="16"/>
  <c r="E475" i="16"/>
  <c r="I475" i="16"/>
  <c r="F475" i="16"/>
  <c r="H475" i="16"/>
  <c r="D475" i="16"/>
  <c r="J475" i="16"/>
  <c r="E290" i="16"/>
  <c r="I290" i="16"/>
  <c r="F290" i="16"/>
  <c r="J290" i="16"/>
  <c r="D290" i="16"/>
  <c r="H290" i="16"/>
  <c r="E314" i="16"/>
  <c r="I314" i="16"/>
  <c r="F314" i="16"/>
  <c r="J314" i="16"/>
  <c r="H314" i="16"/>
  <c r="D314" i="16"/>
  <c r="E292" i="16"/>
  <c r="I292" i="16"/>
  <c r="D292" i="16"/>
  <c r="H292" i="16"/>
  <c r="F292" i="16"/>
  <c r="J292" i="16"/>
  <c r="D285" i="16"/>
  <c r="H285" i="16"/>
  <c r="F285" i="16"/>
  <c r="J285" i="16"/>
  <c r="E285" i="16"/>
  <c r="I285" i="16"/>
  <c r="D332" i="16"/>
  <c r="H332" i="16"/>
  <c r="E332" i="16"/>
  <c r="I332" i="16"/>
  <c r="F332" i="16"/>
  <c r="J332" i="16"/>
  <c r="F364" i="16"/>
  <c r="J364" i="16"/>
  <c r="H364" i="16"/>
  <c r="I364" i="16"/>
  <c r="D364" i="16"/>
  <c r="E364" i="16"/>
  <c r="D400" i="16"/>
  <c r="H400" i="16"/>
  <c r="F400" i="16"/>
  <c r="J400" i="16"/>
  <c r="E400" i="16"/>
  <c r="I400" i="16"/>
  <c r="D366" i="16"/>
  <c r="H366" i="16"/>
  <c r="E366" i="16"/>
  <c r="I366" i="16"/>
  <c r="F366" i="16"/>
  <c r="J366" i="16"/>
  <c r="F427" i="16"/>
  <c r="J427" i="16"/>
  <c r="D427" i="16"/>
  <c r="H427" i="16"/>
  <c r="E427" i="16"/>
  <c r="I427" i="16"/>
  <c r="F451" i="16"/>
  <c r="J451" i="16"/>
  <c r="E451" i="16"/>
  <c r="I451" i="16"/>
  <c r="H451" i="16"/>
  <c r="D451" i="16"/>
  <c r="E405" i="16"/>
  <c r="I405" i="16"/>
  <c r="F405" i="16"/>
  <c r="H405" i="16"/>
  <c r="D405" i="16"/>
  <c r="J405" i="16"/>
  <c r="F492" i="16"/>
  <c r="J492" i="16"/>
  <c r="D492" i="16"/>
  <c r="H492" i="16"/>
  <c r="E492" i="16"/>
  <c r="I492" i="16"/>
  <c r="F484" i="16"/>
  <c r="J484" i="16"/>
  <c r="D484" i="16"/>
  <c r="H484" i="16"/>
  <c r="E484" i="16"/>
  <c r="I484" i="16"/>
  <c r="D503" i="16"/>
  <c r="H503" i="16"/>
  <c r="E503" i="16"/>
  <c r="I503" i="16"/>
  <c r="F503" i="16"/>
  <c r="J503" i="16"/>
  <c r="D487" i="16"/>
  <c r="H487" i="16"/>
  <c r="E487" i="16"/>
  <c r="I487" i="16"/>
  <c r="F487" i="16"/>
  <c r="J487" i="16"/>
  <c r="E467" i="16"/>
  <c r="I467" i="16"/>
  <c r="H467" i="16"/>
  <c r="D467" i="16"/>
  <c r="J467" i="16"/>
  <c r="F467" i="16"/>
  <c r="D490" i="16"/>
  <c r="H490" i="16"/>
  <c r="E490" i="16"/>
  <c r="I490" i="16"/>
  <c r="F490" i="16"/>
  <c r="J490" i="16"/>
  <c r="D337" i="16"/>
  <c r="H337" i="16"/>
  <c r="F337" i="16"/>
  <c r="J337" i="16"/>
  <c r="E337" i="16"/>
  <c r="I337" i="16"/>
  <c r="F303" i="16"/>
  <c r="J303" i="16"/>
  <c r="D303" i="16"/>
  <c r="H303" i="16"/>
  <c r="E303" i="16"/>
  <c r="I303" i="16"/>
  <c r="F322" i="16"/>
  <c r="J322" i="16"/>
  <c r="E322" i="16"/>
  <c r="I322" i="16"/>
  <c r="H322" i="16"/>
  <c r="D322" i="16"/>
  <c r="F311" i="16"/>
  <c r="J311" i="16"/>
  <c r="D311" i="16"/>
  <c r="H311" i="16"/>
  <c r="E311" i="16"/>
  <c r="I311" i="16"/>
  <c r="E347" i="16"/>
  <c r="I347" i="16"/>
  <c r="D347" i="16"/>
  <c r="H347" i="16"/>
  <c r="J347" i="16"/>
  <c r="F347" i="16"/>
  <c r="D357" i="16"/>
  <c r="H357" i="16"/>
  <c r="E357" i="16"/>
  <c r="I357" i="16"/>
  <c r="F357" i="16"/>
  <c r="J357" i="16"/>
  <c r="D418" i="16"/>
  <c r="H418" i="16"/>
  <c r="E418" i="16"/>
  <c r="I418" i="16"/>
  <c r="F418" i="16"/>
  <c r="J418" i="16"/>
  <c r="E386" i="16"/>
  <c r="I386" i="16"/>
  <c r="F386" i="16"/>
  <c r="J386" i="16"/>
  <c r="D386" i="16"/>
  <c r="H386" i="16"/>
  <c r="D441" i="16"/>
  <c r="H441" i="16"/>
  <c r="E441" i="16"/>
  <c r="I441" i="16"/>
  <c r="F441" i="16"/>
  <c r="J441" i="16"/>
  <c r="D449" i="16"/>
  <c r="H449" i="16"/>
  <c r="E449" i="16"/>
  <c r="I449" i="16"/>
  <c r="F449" i="16"/>
  <c r="J449" i="16"/>
  <c r="H473" i="16"/>
  <c r="D473" i="16"/>
  <c r="I473" i="16"/>
  <c r="E473" i="16"/>
  <c r="J473" i="16"/>
  <c r="F473" i="16"/>
  <c r="E463" i="16"/>
  <c r="I463" i="16"/>
  <c r="H463" i="16"/>
  <c r="D463" i="16"/>
  <c r="J463" i="16"/>
  <c r="F463" i="16"/>
  <c r="G468" i="16"/>
  <c r="E459" i="16"/>
  <c r="I459" i="16"/>
  <c r="F459" i="16"/>
  <c r="H459" i="16"/>
  <c r="D459" i="16"/>
  <c r="J459" i="16"/>
  <c r="G286" i="16"/>
  <c r="G310" i="16"/>
  <c r="E288" i="16"/>
  <c r="I288" i="16"/>
  <c r="D288" i="16"/>
  <c r="H288" i="16"/>
  <c r="F288" i="16"/>
  <c r="J288" i="16"/>
  <c r="G296" i="16"/>
  <c r="G313" i="16"/>
  <c r="G283" i="16"/>
  <c r="G328" i="16"/>
  <c r="D344" i="16"/>
  <c r="H344" i="16"/>
  <c r="E344" i="16"/>
  <c r="F344" i="16"/>
  <c r="I344" i="16"/>
  <c r="J344" i="16"/>
  <c r="E352" i="16"/>
  <c r="I352" i="16"/>
  <c r="F352" i="16"/>
  <c r="J352" i="16"/>
  <c r="D352" i="16"/>
  <c r="H352" i="16"/>
  <c r="G360" i="16"/>
  <c r="E369" i="16"/>
  <c r="I369" i="16"/>
  <c r="H369" i="16"/>
  <c r="D369" i="16"/>
  <c r="J369" i="16"/>
  <c r="F369" i="16"/>
  <c r="G380" i="16"/>
  <c r="D396" i="16"/>
  <c r="H396" i="16"/>
  <c r="F396" i="16"/>
  <c r="J396" i="16"/>
  <c r="E396" i="16"/>
  <c r="I396" i="16"/>
  <c r="E378" i="16"/>
  <c r="I378" i="16"/>
  <c r="F378" i="16"/>
  <c r="J378" i="16"/>
  <c r="D378" i="16"/>
  <c r="H378" i="16"/>
  <c r="G353" i="16"/>
  <c r="G379" i="16"/>
  <c r="D395" i="16"/>
  <c r="H395" i="16"/>
  <c r="E395" i="16"/>
  <c r="I395" i="16"/>
  <c r="J395" i="16"/>
  <c r="F395" i="16"/>
  <c r="G411" i="16"/>
  <c r="F447" i="16"/>
  <c r="J447" i="16"/>
  <c r="D447" i="16"/>
  <c r="H447" i="16"/>
  <c r="E447" i="16"/>
  <c r="I447" i="16"/>
  <c r="E436" i="16"/>
  <c r="I436" i="16"/>
  <c r="F436" i="16"/>
  <c r="J436" i="16"/>
  <c r="D436" i="16"/>
  <c r="H436" i="16"/>
  <c r="F496" i="16"/>
  <c r="J496" i="16"/>
  <c r="D496" i="16"/>
  <c r="H496" i="16"/>
  <c r="E496" i="16"/>
  <c r="I496" i="16"/>
  <c r="D460" i="16"/>
  <c r="H460" i="16"/>
  <c r="I460" i="16"/>
  <c r="E460" i="16"/>
  <c r="J460" i="16"/>
  <c r="F460" i="16"/>
  <c r="D502" i="16"/>
  <c r="H502" i="16"/>
  <c r="E502" i="16"/>
  <c r="I502" i="16"/>
  <c r="F502" i="16"/>
  <c r="J502" i="16"/>
  <c r="D486" i="16"/>
  <c r="H486" i="16"/>
  <c r="E486" i="16"/>
  <c r="I486" i="16"/>
  <c r="F486" i="16"/>
  <c r="J486" i="16"/>
  <c r="G455" i="16"/>
  <c r="G485" i="16"/>
  <c r="D456" i="16"/>
  <c r="H456" i="16"/>
  <c r="F456" i="16"/>
  <c r="I456" i="16"/>
  <c r="E456" i="16"/>
  <c r="J456" i="16"/>
  <c r="D333" i="16"/>
  <c r="H333" i="16"/>
  <c r="F333" i="16"/>
  <c r="J333" i="16"/>
  <c r="E333" i="16"/>
  <c r="I333" i="16"/>
  <c r="G341" i="16"/>
  <c r="F319" i="16"/>
  <c r="J319" i="16"/>
  <c r="E319" i="16"/>
  <c r="I319" i="16"/>
  <c r="H319" i="16"/>
  <c r="D319" i="16"/>
  <c r="F326" i="16"/>
  <c r="J326" i="16"/>
  <c r="E326" i="16"/>
  <c r="I326" i="16"/>
  <c r="D326" i="16"/>
  <c r="H326" i="16"/>
  <c r="G334" i="16"/>
  <c r="D354" i="16"/>
  <c r="H354" i="16"/>
  <c r="E354" i="16"/>
  <c r="I354" i="16"/>
  <c r="F354" i="16"/>
  <c r="J354" i="16"/>
  <c r="G362" i="16"/>
  <c r="F351" i="16"/>
  <c r="J351" i="16"/>
  <c r="D351" i="16"/>
  <c r="H351" i="16"/>
  <c r="I351" i="16"/>
  <c r="E351" i="16"/>
  <c r="G359" i="16"/>
  <c r="E320" i="16"/>
  <c r="D320" i="16"/>
  <c r="H320" i="16"/>
  <c r="I320" i="16"/>
  <c r="F320" i="16"/>
  <c r="J320" i="16"/>
  <c r="E373" i="16"/>
  <c r="I373" i="16"/>
  <c r="D373" i="16"/>
  <c r="J373" i="16"/>
  <c r="F373" i="16"/>
  <c r="H373" i="16"/>
  <c r="D410" i="16"/>
  <c r="H410" i="16"/>
  <c r="I410" i="16"/>
  <c r="E410" i="16"/>
  <c r="J410" i="16"/>
  <c r="F410" i="16"/>
  <c r="G406" i="16"/>
  <c r="G429" i="16"/>
  <c r="D445" i="16"/>
  <c r="H445" i="16"/>
  <c r="E445" i="16"/>
  <c r="I445" i="16"/>
  <c r="F445" i="16"/>
  <c r="J445" i="16"/>
  <c r="F469" i="16"/>
  <c r="H469" i="16"/>
  <c r="D469" i="16"/>
  <c r="I469" i="16"/>
  <c r="E469" i="16"/>
  <c r="J469" i="16"/>
  <c r="F474" i="16"/>
  <c r="J474" i="16"/>
  <c r="D474" i="16"/>
  <c r="I474" i="16"/>
  <c r="E474" i="16"/>
  <c r="H474" i="16"/>
  <c r="G475" i="16"/>
  <c r="G290" i="16"/>
  <c r="G292" i="16"/>
  <c r="E308" i="16"/>
  <c r="I308" i="16"/>
  <c r="D308" i="16"/>
  <c r="H308" i="16"/>
  <c r="F308" i="16"/>
  <c r="J308" i="16"/>
  <c r="D309" i="16"/>
  <c r="H309" i="16"/>
  <c r="F309" i="16"/>
  <c r="J309" i="16"/>
  <c r="I309" i="16"/>
  <c r="E309" i="16"/>
  <c r="G332" i="16"/>
  <c r="E323" i="16"/>
  <c r="I323" i="16"/>
  <c r="F323" i="16"/>
  <c r="J323" i="16"/>
  <c r="D323" i="16"/>
  <c r="H323" i="16"/>
  <c r="E356" i="16"/>
  <c r="I356" i="16"/>
  <c r="F356" i="16"/>
  <c r="J356" i="16"/>
  <c r="D356" i="16"/>
  <c r="H356" i="16"/>
  <c r="G364" i="16"/>
  <c r="D384" i="16"/>
  <c r="H384" i="16"/>
  <c r="F384" i="16"/>
  <c r="J384" i="16"/>
  <c r="E384" i="16"/>
  <c r="I384" i="16"/>
  <c r="D392" i="16"/>
  <c r="H392" i="16"/>
  <c r="F392" i="16"/>
  <c r="J392" i="16"/>
  <c r="E392" i="16"/>
  <c r="I392" i="16"/>
  <c r="G400" i="16"/>
  <c r="F397" i="16"/>
  <c r="J397" i="16"/>
  <c r="E397" i="16"/>
  <c r="I397" i="16"/>
  <c r="H397" i="16"/>
  <c r="D397" i="16"/>
  <c r="E374" i="16"/>
  <c r="I374" i="16"/>
  <c r="F374" i="16"/>
  <c r="J374" i="16"/>
  <c r="D374" i="16"/>
  <c r="H374" i="16"/>
  <c r="E382" i="16"/>
  <c r="I382" i="16"/>
  <c r="F382" i="16"/>
  <c r="J382" i="16"/>
  <c r="D382" i="16"/>
  <c r="H382" i="16"/>
  <c r="G366" i="16"/>
  <c r="D383" i="16"/>
  <c r="H383" i="16"/>
  <c r="E383" i="16"/>
  <c r="I383" i="16"/>
  <c r="F383" i="16"/>
  <c r="J383" i="16"/>
  <c r="D407" i="16"/>
  <c r="I407" i="16"/>
  <c r="E407" i="16"/>
  <c r="J407" i="16"/>
  <c r="F407" i="16"/>
  <c r="H407" i="16"/>
  <c r="E413" i="16"/>
  <c r="I413" i="16"/>
  <c r="H413" i="16"/>
  <c r="D413" i="16"/>
  <c r="J413" i="16"/>
  <c r="F413" i="16"/>
  <c r="F419" i="16"/>
  <c r="J419" i="16"/>
  <c r="D419" i="16"/>
  <c r="H419" i="16"/>
  <c r="E419" i="16"/>
  <c r="I419" i="16"/>
  <c r="G427" i="16"/>
  <c r="F443" i="16"/>
  <c r="J443" i="16"/>
  <c r="D443" i="16"/>
  <c r="H443" i="16"/>
  <c r="E443" i="16"/>
  <c r="I443" i="16"/>
  <c r="G405" i="16"/>
  <c r="E432" i="16"/>
  <c r="I432" i="16"/>
  <c r="F432" i="16"/>
  <c r="J432" i="16"/>
  <c r="D432" i="16"/>
  <c r="H432" i="16"/>
  <c r="D414" i="16"/>
  <c r="H414" i="16"/>
  <c r="E414" i="16"/>
  <c r="J414" i="16"/>
  <c r="F414" i="16"/>
  <c r="I414" i="16"/>
  <c r="G484" i="16"/>
  <c r="F466" i="16"/>
  <c r="J466" i="16"/>
  <c r="H466" i="16"/>
  <c r="D466" i="16"/>
  <c r="I466" i="16"/>
  <c r="E466" i="16"/>
  <c r="G503" i="16"/>
  <c r="G487" i="16"/>
  <c r="D498" i="16"/>
  <c r="H498" i="16"/>
  <c r="E498" i="16"/>
  <c r="I498" i="16"/>
  <c r="F498" i="16"/>
  <c r="J498" i="16"/>
  <c r="G490" i="16"/>
  <c r="E481" i="16"/>
  <c r="I481" i="16"/>
  <c r="F481" i="16"/>
  <c r="J481" i="16"/>
  <c r="D481" i="16"/>
  <c r="H481" i="16"/>
  <c r="D329" i="16"/>
  <c r="H329" i="16"/>
  <c r="F329" i="16"/>
  <c r="J329" i="16"/>
  <c r="I329" i="16"/>
  <c r="E329" i="16"/>
  <c r="G337" i="16"/>
  <c r="G322" i="16"/>
  <c r="F338" i="16"/>
  <c r="J338" i="16"/>
  <c r="E338" i="16"/>
  <c r="I338" i="16"/>
  <c r="H338" i="16"/>
  <c r="D338" i="16"/>
  <c r="G311" i="16"/>
  <c r="E327" i="16"/>
  <c r="I327" i="16"/>
  <c r="F327" i="16"/>
  <c r="J327" i="16"/>
  <c r="D327" i="16"/>
  <c r="H327" i="16"/>
  <c r="G347" i="16"/>
  <c r="D363" i="16"/>
  <c r="H363" i="16"/>
  <c r="I363" i="16"/>
  <c r="J363" i="16"/>
  <c r="E363" i="16"/>
  <c r="F363" i="16"/>
  <c r="G357" i="16"/>
  <c r="G418" i="16"/>
  <c r="D434" i="16"/>
  <c r="H434" i="16"/>
  <c r="E434" i="16"/>
  <c r="I434" i="16"/>
  <c r="F434" i="16"/>
  <c r="J434" i="16"/>
  <c r="F412" i="16"/>
  <c r="J412" i="16"/>
  <c r="H412" i="16"/>
  <c r="D412" i="16"/>
  <c r="I412" i="16"/>
  <c r="E412" i="16"/>
  <c r="G386" i="16"/>
  <c r="D417" i="16"/>
  <c r="H417" i="16"/>
  <c r="E417" i="16"/>
  <c r="I417" i="16"/>
  <c r="F417" i="16"/>
  <c r="J417" i="16"/>
  <c r="G449" i="16"/>
  <c r="G463" i="16"/>
  <c r="F458" i="16"/>
  <c r="J458" i="16"/>
  <c r="D458" i="16"/>
  <c r="I458" i="16"/>
  <c r="E458" i="16"/>
  <c r="H458" i="16"/>
  <c r="E302" i="16"/>
  <c r="I302" i="16"/>
  <c r="F302" i="16"/>
  <c r="J302" i="16"/>
  <c r="H302" i="16"/>
  <c r="D302" i="16"/>
  <c r="E304" i="16"/>
  <c r="I304" i="16"/>
  <c r="D304" i="16"/>
  <c r="H304" i="16"/>
  <c r="F304" i="16"/>
  <c r="J304" i="16"/>
  <c r="D305" i="16"/>
  <c r="H305" i="16"/>
  <c r="F305" i="16"/>
  <c r="J305" i="16"/>
  <c r="I305" i="16"/>
  <c r="E305" i="16"/>
  <c r="F368" i="16"/>
  <c r="J368" i="16"/>
  <c r="D368" i="16"/>
  <c r="E368" i="16"/>
  <c r="H368" i="16"/>
  <c r="I368" i="16"/>
  <c r="F393" i="16"/>
  <c r="J393" i="16"/>
  <c r="E393" i="16"/>
  <c r="I393" i="16"/>
  <c r="D393" i="16"/>
  <c r="H393" i="16"/>
  <c r="D370" i="16"/>
  <c r="H370" i="16"/>
  <c r="E370" i="16"/>
  <c r="J370" i="16"/>
  <c r="F370" i="16"/>
  <c r="I370" i="16"/>
  <c r="E390" i="16"/>
  <c r="I390" i="16"/>
  <c r="F390" i="16"/>
  <c r="J390" i="16"/>
  <c r="D390" i="16"/>
  <c r="H390" i="16"/>
  <c r="F480" i="16"/>
  <c r="J480" i="16"/>
  <c r="D480" i="16"/>
  <c r="H480" i="16"/>
  <c r="E480" i="16"/>
  <c r="I480" i="16"/>
  <c r="D491" i="16"/>
  <c r="H491" i="16"/>
  <c r="E491" i="16"/>
  <c r="I491" i="16"/>
  <c r="F491" i="16"/>
  <c r="J491" i="16"/>
  <c r="D483" i="16"/>
  <c r="H483" i="16"/>
  <c r="E483" i="16"/>
  <c r="I483" i="16"/>
  <c r="F483" i="16"/>
  <c r="J483" i="16"/>
  <c r="D478" i="16"/>
  <c r="H478" i="16"/>
  <c r="E478" i="16"/>
  <c r="I478" i="16"/>
  <c r="F478" i="16"/>
  <c r="J478" i="16"/>
  <c r="E501" i="16"/>
  <c r="I501" i="16"/>
  <c r="F501" i="16"/>
  <c r="J501" i="16"/>
  <c r="D501" i="16"/>
  <c r="H501" i="16"/>
  <c r="E477" i="16"/>
  <c r="I477" i="16"/>
  <c r="F477" i="16"/>
  <c r="J477" i="16"/>
  <c r="D477" i="16"/>
  <c r="H477" i="16"/>
  <c r="F295" i="16"/>
  <c r="J295" i="16"/>
  <c r="D295" i="16"/>
  <c r="H295" i="16"/>
  <c r="E295" i="16"/>
  <c r="I295" i="16"/>
  <c r="F346" i="16"/>
  <c r="J346" i="16"/>
  <c r="E346" i="16"/>
  <c r="I346" i="16"/>
  <c r="D346" i="16"/>
  <c r="H346" i="16"/>
  <c r="D367" i="16"/>
  <c r="H367" i="16"/>
  <c r="E367" i="16"/>
  <c r="F367" i="16"/>
  <c r="I367" i="16"/>
  <c r="J367" i="16"/>
  <c r="F372" i="16"/>
  <c r="J372" i="16"/>
  <c r="H372" i="16"/>
  <c r="D372" i="16"/>
  <c r="I372" i="16"/>
  <c r="E372" i="16"/>
  <c r="D361" i="16"/>
  <c r="H361" i="16"/>
  <c r="E361" i="16"/>
  <c r="I361" i="16"/>
  <c r="F361" i="16"/>
  <c r="J361" i="16"/>
  <c r="D438" i="16"/>
  <c r="H438" i="16"/>
  <c r="E438" i="16"/>
  <c r="I438" i="16"/>
  <c r="F438" i="16"/>
  <c r="J438" i="16"/>
  <c r="D421" i="16"/>
  <c r="H421" i="16"/>
  <c r="E421" i="16"/>
  <c r="I421" i="16"/>
  <c r="F421" i="16"/>
  <c r="J421" i="16"/>
  <c r="D437" i="16"/>
  <c r="H437" i="16"/>
  <c r="E437" i="16"/>
  <c r="I437" i="16"/>
  <c r="F437" i="16"/>
  <c r="J437" i="16"/>
  <c r="D461" i="16"/>
  <c r="I461" i="16"/>
  <c r="E461" i="16"/>
  <c r="J461" i="16"/>
  <c r="F461" i="16"/>
  <c r="H461" i="16"/>
  <c r="D452" i="16"/>
  <c r="H452" i="16"/>
  <c r="E452" i="16"/>
  <c r="J452" i="16"/>
  <c r="F452" i="16"/>
  <c r="I452" i="16"/>
  <c r="E306" i="16"/>
  <c r="I306" i="16"/>
  <c r="F306" i="16"/>
  <c r="J306" i="16"/>
  <c r="D306" i="16"/>
  <c r="H306" i="16"/>
  <c r="E300" i="16"/>
  <c r="I300" i="16"/>
  <c r="D300" i="16"/>
  <c r="H300" i="16"/>
  <c r="J300" i="16"/>
  <c r="F300" i="16"/>
  <c r="D301" i="16"/>
  <c r="H301" i="16"/>
  <c r="F301" i="16"/>
  <c r="J301" i="16"/>
  <c r="E301" i="16"/>
  <c r="I301" i="16"/>
  <c r="F299" i="16"/>
  <c r="J299" i="16"/>
  <c r="D299" i="16"/>
  <c r="H299" i="16"/>
  <c r="E299" i="16"/>
  <c r="I299" i="16"/>
  <c r="D324" i="16"/>
  <c r="H324" i="16"/>
  <c r="E324" i="16"/>
  <c r="I324" i="16"/>
  <c r="F324" i="16"/>
  <c r="J324" i="16"/>
  <c r="E343" i="16"/>
  <c r="I343" i="16"/>
  <c r="D343" i="16"/>
  <c r="H343" i="16"/>
  <c r="F343" i="16"/>
  <c r="J343" i="16"/>
  <c r="D376" i="16"/>
  <c r="H376" i="16"/>
  <c r="E376" i="16"/>
  <c r="I376" i="16"/>
  <c r="F376" i="16"/>
  <c r="J376" i="16"/>
  <c r="F381" i="16"/>
  <c r="J381" i="16"/>
  <c r="D381" i="16"/>
  <c r="H381" i="16"/>
  <c r="E381" i="16"/>
  <c r="I381" i="16"/>
  <c r="F389" i="16"/>
  <c r="J389" i="16"/>
  <c r="E389" i="16"/>
  <c r="I389" i="16"/>
  <c r="D389" i="16"/>
  <c r="H389" i="16"/>
  <c r="D399" i="16"/>
  <c r="H399" i="16"/>
  <c r="E399" i="16"/>
  <c r="I399" i="16"/>
  <c r="F399" i="16"/>
  <c r="J399" i="16"/>
  <c r="E409" i="16"/>
  <c r="I409" i="16"/>
  <c r="H409" i="16"/>
  <c r="D409" i="16"/>
  <c r="J409" i="16"/>
  <c r="F409" i="16"/>
  <c r="F435" i="16"/>
  <c r="J435" i="16"/>
  <c r="D435" i="16"/>
  <c r="H435" i="16"/>
  <c r="E435" i="16"/>
  <c r="I435" i="16"/>
  <c r="E424" i="16"/>
  <c r="I424" i="16"/>
  <c r="F424" i="16"/>
  <c r="J424" i="16"/>
  <c r="D424" i="16"/>
  <c r="H424" i="16"/>
  <c r="E448" i="16"/>
  <c r="I448" i="16"/>
  <c r="F448" i="16"/>
  <c r="J448" i="16"/>
  <c r="D448" i="16"/>
  <c r="H448" i="16"/>
  <c r="F404" i="16"/>
  <c r="J404" i="16"/>
  <c r="D404" i="16"/>
  <c r="I404" i="16"/>
  <c r="E404" i="16"/>
  <c r="H404" i="16"/>
  <c r="F500" i="16"/>
  <c r="J500" i="16"/>
  <c r="D500" i="16"/>
  <c r="H500" i="16"/>
  <c r="E500" i="16"/>
  <c r="I500" i="16"/>
  <c r="D495" i="16"/>
  <c r="H495" i="16"/>
  <c r="E495" i="16"/>
  <c r="I495" i="16"/>
  <c r="F495" i="16"/>
  <c r="J495" i="16"/>
  <c r="D479" i="16"/>
  <c r="H479" i="16"/>
  <c r="E479" i="16"/>
  <c r="I479" i="16"/>
  <c r="F479" i="16"/>
  <c r="J479" i="16"/>
  <c r="D482" i="16"/>
  <c r="H482" i="16"/>
  <c r="E482" i="16"/>
  <c r="I482" i="16"/>
  <c r="F482" i="16"/>
  <c r="J482" i="16"/>
  <c r="E489" i="16"/>
  <c r="I489" i="16"/>
  <c r="F489" i="16"/>
  <c r="J489" i="16"/>
  <c r="D489" i="16"/>
  <c r="H489" i="16"/>
  <c r="F462" i="16"/>
  <c r="J462" i="16"/>
  <c r="E462" i="16"/>
  <c r="H462" i="16"/>
  <c r="D462" i="16"/>
  <c r="I462" i="16"/>
  <c r="F345" i="16"/>
  <c r="J345" i="16"/>
  <c r="D345" i="16"/>
  <c r="E345" i="16"/>
  <c r="H345" i="16"/>
  <c r="I345" i="16"/>
  <c r="F330" i="16"/>
  <c r="J330" i="16"/>
  <c r="E330" i="16"/>
  <c r="I330" i="16"/>
  <c r="D330" i="16"/>
  <c r="H330" i="16"/>
  <c r="F291" i="16"/>
  <c r="J291" i="16"/>
  <c r="D291" i="16"/>
  <c r="H291" i="16"/>
  <c r="E291" i="16"/>
  <c r="I291" i="16"/>
  <c r="D358" i="16"/>
  <c r="H358" i="16"/>
  <c r="E358" i="16"/>
  <c r="I358" i="16"/>
  <c r="J358" i="16"/>
  <c r="F358" i="16"/>
  <c r="D450" i="16"/>
  <c r="H450" i="16"/>
  <c r="F450" i="16"/>
  <c r="J450" i="16"/>
  <c r="E450" i="16"/>
  <c r="I450" i="16"/>
  <c r="F408" i="16"/>
  <c r="J408" i="16"/>
  <c r="E408" i="16"/>
  <c r="H408" i="16"/>
  <c r="D408" i="16"/>
  <c r="I408" i="16"/>
  <c r="D433" i="16"/>
  <c r="H433" i="16"/>
  <c r="E433" i="16"/>
  <c r="I433" i="16"/>
  <c r="F433" i="16"/>
  <c r="J433" i="16"/>
  <c r="G441" i="16"/>
  <c r="E465" i="16"/>
  <c r="J465" i="16"/>
  <c r="F465" i="16"/>
  <c r="H465" i="16"/>
  <c r="D465" i="16"/>
  <c r="I465" i="16"/>
  <c r="G473" i="16"/>
  <c r="F454" i="16"/>
  <c r="J454" i="16"/>
  <c r="H454" i="16"/>
  <c r="D454" i="16"/>
  <c r="I454" i="16"/>
  <c r="E454" i="16"/>
  <c r="G458" i="16"/>
  <c r="E294" i="16"/>
  <c r="I294" i="16"/>
  <c r="F294" i="16"/>
  <c r="J294" i="16"/>
  <c r="D294" i="16"/>
  <c r="H294" i="16"/>
  <c r="G302" i="16"/>
  <c r="F318" i="16"/>
  <c r="J318" i="16"/>
  <c r="I318" i="16"/>
  <c r="D318" i="16"/>
  <c r="H318" i="16"/>
  <c r="E318" i="16"/>
  <c r="G304" i="16"/>
  <c r="D289" i="16"/>
  <c r="H289" i="16"/>
  <c r="F289" i="16"/>
  <c r="J289" i="16"/>
  <c r="I289" i="16"/>
  <c r="E289" i="16"/>
  <c r="D297" i="16"/>
  <c r="H297" i="16"/>
  <c r="F297" i="16"/>
  <c r="J297" i="16"/>
  <c r="E297" i="16"/>
  <c r="I297" i="16"/>
  <c r="G305" i="16"/>
  <c r="F315" i="16"/>
  <c r="J315" i="16"/>
  <c r="D315" i="16"/>
  <c r="E315" i="16"/>
  <c r="I315" i="16"/>
  <c r="H315" i="16"/>
  <c r="D336" i="16"/>
  <c r="H336" i="16"/>
  <c r="E336" i="16"/>
  <c r="I336" i="16"/>
  <c r="J336" i="16"/>
  <c r="F336" i="16"/>
  <c r="G344" i="16"/>
  <c r="F342" i="16"/>
  <c r="J342" i="16"/>
  <c r="E342" i="16"/>
  <c r="I342" i="16"/>
  <c r="D342" i="16"/>
  <c r="H342" i="16"/>
  <c r="G352" i="16"/>
  <c r="G369" i="16"/>
  <c r="D388" i="16"/>
  <c r="H388" i="16"/>
  <c r="F388" i="16"/>
  <c r="J388" i="16"/>
  <c r="I388" i="16"/>
  <c r="E388" i="16"/>
  <c r="G396" i="16"/>
  <c r="F385" i="16"/>
  <c r="J385" i="16"/>
  <c r="E385" i="16"/>
  <c r="I385" i="16"/>
  <c r="D385" i="16"/>
  <c r="H385" i="16"/>
  <c r="G393" i="16"/>
  <c r="G370" i="16"/>
  <c r="D387" i="16"/>
  <c r="H387" i="16"/>
  <c r="E387" i="16"/>
  <c r="I387" i="16"/>
  <c r="F387" i="16"/>
  <c r="J387" i="16"/>
  <c r="G395" i="16"/>
  <c r="E394" i="16"/>
  <c r="I394" i="16"/>
  <c r="F394" i="16"/>
  <c r="J394" i="16"/>
  <c r="D394" i="16"/>
  <c r="H394" i="16"/>
  <c r="F439" i="16"/>
  <c r="J439" i="16"/>
  <c r="D439" i="16"/>
  <c r="H439" i="16"/>
  <c r="E439" i="16"/>
  <c r="I439" i="16"/>
  <c r="E428" i="16"/>
  <c r="I428" i="16"/>
  <c r="F428" i="16"/>
  <c r="J428" i="16"/>
  <c r="D428" i="16"/>
  <c r="H428" i="16"/>
  <c r="G390" i="16"/>
  <c r="F488" i="16"/>
  <c r="J488" i="16"/>
  <c r="D488" i="16"/>
  <c r="H488" i="16"/>
  <c r="E488" i="16"/>
  <c r="I488" i="16"/>
  <c r="G480" i="16"/>
  <c r="D499" i="16"/>
  <c r="H499" i="16"/>
  <c r="E499" i="16"/>
  <c r="I499" i="16"/>
  <c r="F499" i="16"/>
  <c r="J499" i="16"/>
  <c r="G483" i="16"/>
  <c r="D494" i="16"/>
  <c r="H494" i="16"/>
  <c r="E494" i="16"/>
  <c r="I494" i="16"/>
  <c r="F494" i="16"/>
  <c r="J494" i="16"/>
  <c r="G486" i="16"/>
  <c r="G501" i="16"/>
  <c r="G477" i="16"/>
  <c r="D325" i="16"/>
  <c r="H325" i="16"/>
  <c r="F325" i="16"/>
  <c r="J325" i="16"/>
  <c r="E325" i="16"/>
  <c r="I325" i="16"/>
  <c r="F287" i="16"/>
  <c r="J287" i="16"/>
  <c r="D287" i="16"/>
  <c r="H287" i="16"/>
  <c r="E287" i="16"/>
  <c r="I287" i="16"/>
  <c r="G319" i="16"/>
  <c r="G295" i="16"/>
  <c r="F307" i="16"/>
  <c r="J307" i="16"/>
  <c r="D307" i="16"/>
  <c r="H307" i="16"/>
  <c r="E307" i="16"/>
  <c r="I307" i="16"/>
  <c r="G346" i="16"/>
  <c r="E339" i="16"/>
  <c r="I339" i="16"/>
  <c r="D339" i="16"/>
  <c r="H339" i="16"/>
  <c r="J339" i="16"/>
  <c r="F339" i="16"/>
  <c r="G367" i="16"/>
  <c r="G372" i="16"/>
  <c r="F401" i="16"/>
  <c r="E401" i="16"/>
  <c r="I401" i="16"/>
  <c r="J401" i="16"/>
  <c r="D401" i="16"/>
  <c r="H401" i="16"/>
  <c r="D422" i="16"/>
  <c r="H422" i="16"/>
  <c r="E422" i="16"/>
  <c r="I422" i="16"/>
  <c r="F422" i="16"/>
  <c r="J422" i="16"/>
  <c r="D430" i="16"/>
  <c r="H430" i="16"/>
  <c r="E430" i="16"/>
  <c r="I430" i="16"/>
  <c r="F430" i="16"/>
  <c r="J430" i="16"/>
  <c r="G438" i="16"/>
  <c r="D402" i="16"/>
  <c r="H402" i="16"/>
  <c r="F402" i="16"/>
  <c r="I402" i="16"/>
  <c r="E402" i="16"/>
  <c r="J402" i="16"/>
  <c r="G421" i="16"/>
  <c r="G437" i="16"/>
  <c r="F453" i="16"/>
  <c r="H453" i="16"/>
  <c r="D453" i="16"/>
  <c r="I453" i="16"/>
  <c r="E453" i="16"/>
  <c r="J453" i="16"/>
  <c r="G461" i="16"/>
  <c r="F470" i="16"/>
  <c r="J470" i="16"/>
  <c r="H470" i="16"/>
  <c r="D470" i="16"/>
  <c r="I470" i="16"/>
  <c r="E470" i="16"/>
  <c r="G474" i="16"/>
  <c r="G452" i="16"/>
  <c r="E298" i="16"/>
  <c r="I298" i="16"/>
  <c r="F298" i="16"/>
  <c r="J298" i="16"/>
  <c r="H298" i="16"/>
  <c r="D298" i="16"/>
  <c r="G306" i="16"/>
  <c r="E284" i="16"/>
  <c r="I284" i="16"/>
  <c r="D284" i="16"/>
  <c r="H284" i="16"/>
  <c r="J284" i="16"/>
  <c r="F284" i="16"/>
  <c r="G300" i="16"/>
  <c r="D293" i="16"/>
  <c r="H293" i="16"/>
  <c r="F293" i="16"/>
  <c r="J293" i="16"/>
  <c r="I293" i="16"/>
  <c r="E293" i="16"/>
  <c r="G301" i="16"/>
  <c r="D317" i="16"/>
  <c r="H317" i="16"/>
  <c r="J317" i="16"/>
  <c r="E317" i="16"/>
  <c r="I317" i="16"/>
  <c r="F317" i="16"/>
  <c r="G299" i="16"/>
  <c r="G324" i="16"/>
  <c r="D340" i="16"/>
  <c r="H340" i="16"/>
  <c r="F340" i="16"/>
  <c r="I340" i="16"/>
  <c r="J340" i="16"/>
  <c r="E340" i="16"/>
  <c r="G343" i="16"/>
  <c r="E348" i="16"/>
  <c r="I348" i="16"/>
  <c r="F348" i="16"/>
  <c r="J348" i="16"/>
  <c r="D348" i="16"/>
  <c r="H348" i="16"/>
  <c r="G389" i="16"/>
  <c r="E365" i="16"/>
  <c r="I365" i="16"/>
  <c r="F365" i="16"/>
  <c r="J365" i="16"/>
  <c r="H365" i="16"/>
  <c r="D365" i="16"/>
  <c r="D375" i="16"/>
  <c r="H375" i="16"/>
  <c r="E375" i="16"/>
  <c r="I375" i="16"/>
  <c r="F375" i="16"/>
  <c r="J375" i="16"/>
  <c r="D391" i="16"/>
  <c r="H391" i="16"/>
  <c r="E391" i="16"/>
  <c r="I391" i="16"/>
  <c r="F391" i="16"/>
  <c r="J391" i="16"/>
  <c r="G399" i="16"/>
  <c r="F415" i="16"/>
  <c r="J415" i="16"/>
  <c r="D415" i="16"/>
  <c r="H415" i="16"/>
  <c r="E415" i="16"/>
  <c r="I415" i="16"/>
  <c r="E398" i="16"/>
  <c r="I398" i="16"/>
  <c r="F398" i="16"/>
  <c r="J398" i="16"/>
  <c r="D398" i="16"/>
  <c r="H398" i="16"/>
  <c r="E416" i="16"/>
  <c r="I416" i="16"/>
  <c r="F416" i="16"/>
  <c r="J416" i="16"/>
  <c r="D416" i="16"/>
  <c r="H416" i="16"/>
  <c r="G424" i="16"/>
  <c r="E440" i="16"/>
  <c r="I440" i="16"/>
  <c r="F440" i="16"/>
  <c r="J440" i="16"/>
  <c r="D440" i="16"/>
  <c r="H440" i="16"/>
  <c r="G404" i="16"/>
  <c r="G500" i="16"/>
  <c r="F476" i="16"/>
  <c r="J476" i="16"/>
  <c r="D476" i="16"/>
  <c r="H476" i="16"/>
  <c r="E476" i="16"/>
  <c r="I476" i="16"/>
  <c r="G495" i="16"/>
  <c r="G479" i="16"/>
  <c r="G482" i="16"/>
  <c r="E497" i="16"/>
  <c r="I497" i="16"/>
  <c r="F497" i="16"/>
  <c r="J497" i="16"/>
  <c r="D497" i="16"/>
  <c r="H497" i="16"/>
  <c r="G489" i="16"/>
  <c r="D472" i="16"/>
  <c r="H472" i="16"/>
  <c r="F472" i="16"/>
  <c r="I472" i="16"/>
  <c r="E472" i="16"/>
  <c r="J472" i="16"/>
  <c r="G462" i="16"/>
  <c r="D321" i="16"/>
  <c r="H321" i="16"/>
  <c r="F321" i="16"/>
  <c r="J321" i="16"/>
  <c r="E321" i="16"/>
  <c r="I321" i="16"/>
  <c r="G345" i="16"/>
  <c r="G330" i="16"/>
  <c r="G291" i="16"/>
  <c r="D350" i="16"/>
  <c r="H350" i="16"/>
  <c r="E350" i="16"/>
  <c r="I350" i="16"/>
  <c r="F350" i="16"/>
  <c r="J350" i="16"/>
  <c r="G358" i="16"/>
  <c r="F355" i="16"/>
  <c r="J355" i="16"/>
  <c r="D355" i="16"/>
  <c r="H355" i="16"/>
  <c r="E355" i="16"/>
  <c r="I355" i="16"/>
  <c r="F371" i="16"/>
  <c r="H371" i="16"/>
  <c r="D371" i="16"/>
  <c r="I371" i="16"/>
  <c r="E371" i="16"/>
  <c r="J371" i="16"/>
  <c r="E331" i="16"/>
  <c r="I331" i="16"/>
  <c r="F331" i="16"/>
  <c r="J331" i="16"/>
  <c r="D331" i="16"/>
  <c r="H331" i="16"/>
  <c r="D426" i="16"/>
  <c r="H426" i="16"/>
  <c r="E426" i="16"/>
  <c r="I426" i="16"/>
  <c r="F426" i="16"/>
  <c r="J426" i="16"/>
  <c r="D442" i="16"/>
  <c r="H442" i="16"/>
  <c r="E442" i="16"/>
  <c r="I442" i="16"/>
  <c r="F442" i="16"/>
  <c r="J442" i="16"/>
  <c r="G450" i="16"/>
  <c r="G408" i="16"/>
  <c r="D425" i="16"/>
  <c r="H425" i="16"/>
  <c r="E425" i="16"/>
  <c r="I425" i="16"/>
  <c r="F425" i="16"/>
  <c r="J425" i="16"/>
  <c r="G433" i="16"/>
  <c r="H457" i="16"/>
  <c r="D457" i="16"/>
  <c r="I457" i="16"/>
  <c r="E457" i="16"/>
  <c r="J457" i="16"/>
  <c r="F457" i="16"/>
  <c r="G465" i="16"/>
  <c r="D464" i="16"/>
  <c r="H464" i="16"/>
  <c r="I464" i="16"/>
  <c r="E464" i="16"/>
  <c r="J464" i="16"/>
  <c r="F464" i="16"/>
  <c r="G454" i="16"/>
  <c r="U2213" i="16"/>
  <c r="S227" i="16"/>
  <c r="S219" i="16"/>
  <c r="S211" i="16"/>
  <c r="S203" i="16"/>
  <c r="S195" i="16"/>
  <c r="S187" i="16"/>
  <c r="S179" i="16"/>
  <c r="Y229" i="16"/>
  <c r="Y221" i="16"/>
  <c r="Y213" i="16"/>
  <c r="Y205" i="16"/>
  <c r="Y197" i="16"/>
  <c r="Y189" i="16"/>
  <c r="Y181" i="16"/>
  <c r="S170" i="16"/>
  <c r="S154" i="16"/>
  <c r="S138" i="16"/>
  <c r="S230" i="16"/>
  <c r="S222" i="16"/>
  <c r="S214" i="16"/>
  <c r="S206" i="16"/>
  <c r="S198" i="16"/>
  <c r="S190" i="16"/>
  <c r="S182" i="16"/>
  <c r="Y174" i="16"/>
  <c r="Y158" i="16"/>
  <c r="Y142" i="16"/>
  <c r="Y230" i="16"/>
  <c r="Y222" i="16"/>
  <c r="Y214" i="16"/>
  <c r="Y206" i="16"/>
  <c r="Y198" i="16"/>
  <c r="Y190" i="16"/>
  <c r="Y182" i="16"/>
  <c r="S172" i="16"/>
  <c r="S156" i="16"/>
  <c r="S140" i="16"/>
  <c r="S128" i="16"/>
  <c r="S120" i="16"/>
  <c r="S112" i="16"/>
  <c r="S102" i="16"/>
  <c r="S94" i="16"/>
  <c r="S86" i="16"/>
  <c r="S78" i="16"/>
  <c r="S70" i="16"/>
  <c r="S62" i="16"/>
  <c r="S54" i="16"/>
  <c r="S46" i="16"/>
  <c r="S38" i="16"/>
  <c r="S30" i="16"/>
  <c r="S22" i="16"/>
  <c r="S14" i="16"/>
  <c r="S6" i="16"/>
  <c r="G63" i="10"/>
  <c r="Y124" i="16"/>
  <c r="Y116" i="16"/>
  <c r="Y106" i="16"/>
  <c r="Y98" i="16"/>
  <c r="Y90" i="16"/>
  <c r="Y82" i="16"/>
  <c r="Y74" i="16"/>
  <c r="Y66" i="16"/>
  <c r="Y58" i="16"/>
  <c r="Y50" i="16"/>
  <c r="Y42" i="16"/>
  <c r="Y34" i="16"/>
  <c r="Y26" i="16"/>
  <c r="Y18" i="16"/>
  <c r="Y10" i="16"/>
  <c r="S171" i="16"/>
  <c r="S163" i="16"/>
  <c r="S155" i="16"/>
  <c r="S147" i="16"/>
  <c r="S139" i="16"/>
  <c r="S131" i="16"/>
  <c r="S123" i="16"/>
  <c r="S115" i="16"/>
  <c r="S107" i="16"/>
  <c r="S99" i="16"/>
  <c r="S91" i="16"/>
  <c r="S83" i="16"/>
  <c r="S75" i="16"/>
  <c r="S67" i="16"/>
  <c r="S59" i="16"/>
  <c r="S51" i="16"/>
  <c r="S43" i="16"/>
  <c r="S35" i="16"/>
  <c r="S27" i="16"/>
  <c r="S19" i="16"/>
  <c r="S11" i="16"/>
  <c r="U110" i="16"/>
  <c r="S233" i="16"/>
  <c r="S225" i="16"/>
  <c r="S217" i="16"/>
  <c r="S209" i="16"/>
  <c r="S201" i="16"/>
  <c r="S193" i="16"/>
  <c r="S185" i="16"/>
  <c r="S177" i="16"/>
  <c r="Y227" i="16"/>
  <c r="Y219" i="16"/>
  <c r="Y211" i="16"/>
  <c r="Y203" i="16"/>
  <c r="Y195" i="16"/>
  <c r="Y187" i="16"/>
  <c r="Y179" i="16"/>
  <c r="S166" i="16"/>
  <c r="S150" i="16"/>
  <c r="S134" i="16"/>
  <c r="S228" i="16"/>
  <c r="S220" i="16"/>
  <c r="S212" i="16"/>
  <c r="S204" i="16"/>
  <c r="S196" i="16"/>
  <c r="S188" i="16"/>
  <c r="S180" i="16"/>
  <c r="Y170" i="16"/>
  <c r="Y154" i="16"/>
  <c r="Y138" i="16"/>
  <c r="Y228" i="16"/>
  <c r="Y220" i="16"/>
  <c r="Y212" i="16"/>
  <c r="Y204" i="16"/>
  <c r="Y196" i="16"/>
  <c r="Y188" i="16"/>
  <c r="Y180" i="16"/>
  <c r="S168" i="16"/>
  <c r="S152" i="16"/>
  <c r="S136" i="16"/>
  <c r="S126" i="16"/>
  <c r="S118" i="16"/>
  <c r="S108" i="16"/>
  <c r="S100" i="16"/>
  <c r="S92" i="16"/>
  <c r="S84" i="16"/>
  <c r="S76" i="16"/>
  <c r="S68" i="16"/>
  <c r="S60" i="16"/>
  <c r="S52" i="16"/>
  <c r="S44" i="16"/>
  <c r="S36" i="16"/>
  <c r="S28" i="16"/>
  <c r="S20" i="16"/>
  <c r="S12" i="16"/>
  <c r="Y130" i="16"/>
  <c r="Y122" i="16"/>
  <c r="Y114" i="16"/>
  <c r="Y104" i="16"/>
  <c r="Y96" i="16"/>
  <c r="Y88" i="16"/>
  <c r="Y80" i="16"/>
  <c r="Y72" i="16"/>
  <c r="Y64" i="16"/>
  <c r="Y56" i="16"/>
  <c r="Y48" i="16"/>
  <c r="Y40" i="16"/>
  <c r="Y32" i="16"/>
  <c r="Y24" i="16"/>
  <c r="Y16" i="16"/>
  <c r="Y8" i="16"/>
  <c r="S169" i="16"/>
  <c r="S161" i="16"/>
  <c r="S153" i="16"/>
  <c r="S145" i="16"/>
  <c r="S137" i="16"/>
  <c r="S129" i="16"/>
  <c r="S121" i="16"/>
  <c r="S113" i="16"/>
  <c r="S105" i="16"/>
  <c r="S97" i="16"/>
  <c r="S89" i="16"/>
  <c r="S81" i="16"/>
  <c r="S73" i="16"/>
  <c r="S65" i="16"/>
  <c r="S57" i="16"/>
  <c r="S49" i="16"/>
  <c r="S41" i="16"/>
  <c r="S33" i="16"/>
  <c r="S25" i="16"/>
  <c r="S17" i="16"/>
  <c r="S9" i="16"/>
  <c r="S231" i="16"/>
  <c r="S223" i="16"/>
  <c r="S215" i="16"/>
  <c r="S207" i="16"/>
  <c r="S199" i="16"/>
  <c r="S191" i="16"/>
  <c r="S183" i="16"/>
  <c r="S175" i="16"/>
  <c r="Y233" i="16"/>
  <c r="Y225" i="16"/>
  <c r="Y217" i="16"/>
  <c r="Y209" i="16"/>
  <c r="Y201" i="16"/>
  <c r="Y193" i="16"/>
  <c r="Y185" i="16"/>
  <c r="Y177" i="16"/>
  <c r="S162" i="16"/>
  <c r="S146" i="16"/>
  <c r="S130" i="16"/>
  <c r="S226" i="16"/>
  <c r="S218" i="16"/>
  <c r="S210" i="16"/>
  <c r="S202" i="16"/>
  <c r="S194" i="16"/>
  <c r="S186" i="16"/>
  <c r="S178" i="16"/>
  <c r="Y166" i="16"/>
  <c r="Y150" i="16"/>
  <c r="Y134" i="16"/>
  <c r="Y226" i="16"/>
  <c r="Y218" i="16"/>
  <c r="Y210" i="16"/>
  <c r="Y202" i="16"/>
  <c r="Y194" i="16"/>
  <c r="Y186" i="16"/>
  <c r="Y178" i="16"/>
  <c r="S164" i="16"/>
  <c r="S148" i="16"/>
  <c r="S132" i="16"/>
  <c r="S124" i="16"/>
  <c r="S116" i="16"/>
  <c r="S106" i="16"/>
  <c r="S98" i="16"/>
  <c r="S90" i="16"/>
  <c r="S82" i="16"/>
  <c r="S74" i="16"/>
  <c r="S66" i="16"/>
  <c r="S58" i="16"/>
  <c r="S50" i="16"/>
  <c r="S42" i="16"/>
  <c r="S34" i="16"/>
  <c r="S26" i="16"/>
  <c r="S18" i="16"/>
  <c r="S10" i="16"/>
  <c r="Y128" i="16"/>
  <c r="Y120" i="16"/>
  <c r="Y112" i="16"/>
  <c r="Y102" i="16"/>
  <c r="Y94" i="16"/>
  <c r="Y86" i="16"/>
  <c r="Y78" i="16"/>
  <c r="Y70" i="16"/>
  <c r="Y62" i="16"/>
  <c r="Y54" i="16"/>
  <c r="Y46" i="16"/>
  <c r="Y38" i="16"/>
  <c r="Y30" i="16"/>
  <c r="Y22" i="16"/>
  <c r="Y14" i="16"/>
  <c r="H64" i="10"/>
  <c r="D64" i="10" s="1"/>
  <c r="H62" i="10"/>
  <c r="D62" i="10" s="1"/>
  <c r="Y6" i="16"/>
  <c r="H63" i="10"/>
  <c r="D63" i="10" s="1"/>
  <c r="H65" i="10"/>
  <c r="D65" i="10" s="1"/>
  <c r="S167" i="16"/>
  <c r="S159" i="16"/>
  <c r="S151" i="16"/>
  <c r="S143" i="16"/>
  <c r="S135" i="16"/>
  <c r="S127" i="16"/>
  <c r="S119" i="16"/>
  <c r="S111" i="16"/>
  <c r="S103" i="16"/>
  <c r="S95" i="16"/>
  <c r="S87" i="16"/>
  <c r="S79" i="16"/>
  <c r="S71" i="16"/>
  <c r="S63" i="16"/>
  <c r="S55" i="16"/>
  <c r="S47" i="16"/>
  <c r="S39" i="16"/>
  <c r="S31" i="16"/>
  <c r="S23" i="16"/>
  <c r="S15" i="16"/>
  <c r="S7" i="16"/>
  <c r="G64" i="10"/>
  <c r="S229" i="16"/>
  <c r="S221" i="16"/>
  <c r="S213" i="16"/>
  <c r="S205" i="16"/>
  <c r="S197" i="16"/>
  <c r="S189" i="16"/>
  <c r="S181" i="16"/>
  <c r="Y231" i="16"/>
  <c r="Y223" i="16"/>
  <c r="Y215" i="16"/>
  <c r="Y207" i="16"/>
  <c r="Y199" i="16"/>
  <c r="Y191" i="16"/>
  <c r="Y183" i="16"/>
  <c r="S174" i="16"/>
  <c r="S158" i="16"/>
  <c r="S142" i="16"/>
  <c r="S232" i="16"/>
  <c r="S224" i="16"/>
  <c r="S216" i="16"/>
  <c r="S208" i="16"/>
  <c r="S200" i="16"/>
  <c r="S192" i="16"/>
  <c r="S184" i="16"/>
  <c r="S176" i="16"/>
  <c r="Y162" i="16"/>
  <c r="Y146" i="16"/>
  <c r="Y232" i="16"/>
  <c r="Y224" i="16"/>
  <c r="Y216" i="16"/>
  <c r="Y208" i="16"/>
  <c r="Y200" i="16"/>
  <c r="Y192" i="16"/>
  <c r="Y184" i="16"/>
  <c r="Y176" i="16"/>
  <c r="S160" i="16"/>
  <c r="S144" i="16"/>
  <c r="Y175" i="16"/>
  <c r="S122" i="16"/>
  <c r="S114" i="16"/>
  <c r="S104" i="16"/>
  <c r="S96" i="16"/>
  <c r="S88" i="16"/>
  <c r="S80" i="16"/>
  <c r="S72" i="16"/>
  <c r="S64" i="16"/>
  <c r="S56" i="16"/>
  <c r="S48" i="16"/>
  <c r="S40" i="16"/>
  <c r="S32" i="16"/>
  <c r="S24" i="16"/>
  <c r="S16" i="16"/>
  <c r="S8" i="16"/>
  <c r="G65" i="10"/>
  <c r="Y126" i="16"/>
  <c r="Y118" i="16"/>
  <c r="Y108" i="16"/>
  <c r="Y100" i="16"/>
  <c r="Y92" i="16"/>
  <c r="Y84" i="16"/>
  <c r="Y76" i="16"/>
  <c r="Y68" i="16"/>
  <c r="Y60" i="16"/>
  <c r="Y52" i="16"/>
  <c r="Y44" i="16"/>
  <c r="Y36" i="16"/>
  <c r="Y28" i="16"/>
  <c r="Y20" i="16"/>
  <c r="Y12" i="16"/>
  <c r="S173" i="16"/>
  <c r="S165" i="16"/>
  <c r="S157" i="16"/>
  <c r="S149" i="16"/>
  <c r="S141" i="16"/>
  <c r="S133" i="16"/>
  <c r="S125" i="16"/>
  <c r="S117" i="16"/>
  <c r="S109" i="16"/>
  <c r="S101" i="16"/>
  <c r="S93" i="16"/>
  <c r="S85" i="16"/>
  <c r="S77" i="16"/>
  <c r="S69" i="16"/>
  <c r="S61" i="16"/>
  <c r="S53" i="16"/>
  <c r="S45" i="16"/>
  <c r="S37" i="16"/>
  <c r="S29" i="16"/>
  <c r="S21" i="16"/>
  <c r="S13" i="16"/>
  <c r="S5" i="16"/>
  <c r="G62" i="10"/>
  <c r="Y5" i="16"/>
  <c r="U238" i="16"/>
  <c r="U270" i="16"/>
  <c r="U297" i="16"/>
  <c r="U473" i="16"/>
  <c r="U302" i="16"/>
  <c r="U254" i="16"/>
  <c r="C30" i="10"/>
  <c r="C40" i="10"/>
  <c r="U286" i="16"/>
  <c r="U249" i="16"/>
  <c r="U281" i="16"/>
  <c r="U478" i="16"/>
  <c r="U265" i="16"/>
  <c r="C47" i="10"/>
  <c r="C32" i="10"/>
  <c r="C38" i="10"/>
  <c r="C53" i="10"/>
  <c r="D53" i="10"/>
  <c r="C58" i="10"/>
  <c r="D58" i="10"/>
  <c r="C59" i="10"/>
  <c r="D59" i="10"/>
  <c r="F52" i="10"/>
  <c r="H52" i="10" s="1"/>
  <c r="H51" i="10"/>
  <c r="C54" i="10"/>
  <c r="D54" i="10"/>
  <c r="D60" i="10"/>
  <c r="C60" i="10"/>
  <c r="C50" i="10"/>
  <c r="D50" i="10"/>
  <c r="C56" i="10"/>
  <c r="D56" i="10"/>
  <c r="U144" i="16" l="1"/>
  <c r="U88" i="16"/>
  <c r="U160" i="16"/>
  <c r="U224" i="16"/>
  <c r="U202" i="16"/>
  <c r="U20" i="16"/>
  <c r="U84" i="16"/>
  <c r="U188" i="16"/>
  <c r="U209" i="16"/>
  <c r="U67" i="16"/>
  <c r="U83" i="16"/>
  <c r="U147" i="16"/>
  <c r="U163" i="16"/>
  <c r="U46" i="16"/>
  <c r="U187" i="16"/>
  <c r="U203" i="16"/>
  <c r="U219" i="16"/>
  <c r="C65" i="10"/>
  <c r="C62" i="10"/>
  <c r="C63" i="10"/>
  <c r="C64" i="10"/>
  <c r="U61" i="16"/>
  <c r="U157" i="16"/>
  <c r="U8" i="16"/>
  <c r="U24" i="16"/>
  <c r="U72" i="16"/>
  <c r="U176" i="16"/>
  <c r="U142" i="16"/>
  <c r="U174" i="16"/>
  <c r="U213" i="16"/>
  <c r="U10" i="16"/>
  <c r="U178" i="16"/>
  <c r="U226" i="16"/>
  <c r="U85" i="16"/>
  <c r="U117" i="16"/>
  <c r="U149" i="16"/>
  <c r="U189" i="16"/>
  <c r="U229" i="16"/>
  <c r="U55" i="16"/>
  <c r="U87" i="16"/>
  <c r="U103" i="16"/>
  <c r="U119" i="16"/>
  <c r="U135" i="16"/>
  <c r="U151" i="16"/>
  <c r="U167" i="16"/>
  <c r="U34" i="16"/>
  <c r="U66" i="16"/>
  <c r="U98" i="16"/>
  <c r="U124" i="16"/>
  <c r="U148" i="16"/>
  <c r="U218" i="16"/>
  <c r="U162" i="16"/>
  <c r="U183" i="16"/>
  <c r="U215" i="16"/>
  <c r="U231" i="16"/>
  <c r="U33" i="16"/>
  <c r="U118" i="16"/>
  <c r="U166" i="16"/>
  <c r="U225" i="16"/>
  <c r="U6" i="16"/>
  <c r="U38" i="16"/>
  <c r="U70" i="16"/>
  <c r="U102" i="16"/>
  <c r="U120" i="16"/>
  <c r="U140" i="16"/>
  <c r="U172" i="16"/>
  <c r="U182" i="16"/>
  <c r="U141" i="16"/>
  <c r="U16" i="16"/>
  <c r="U32" i="16"/>
  <c r="U96" i="16"/>
  <c r="U205" i="16"/>
  <c r="U26" i="16"/>
  <c r="U90" i="16"/>
  <c r="U121" i="16"/>
  <c r="U145" i="16"/>
  <c r="U161" i="16"/>
  <c r="U12" i="16"/>
  <c r="U44" i="16"/>
  <c r="U60" i="16"/>
  <c r="U108" i="16"/>
  <c r="U136" i="16"/>
  <c r="U168" i="16"/>
  <c r="U180" i="16"/>
  <c r="U212" i="16"/>
  <c r="U11" i="16"/>
  <c r="U27" i="16"/>
  <c r="U59" i="16"/>
  <c r="U75" i="16"/>
  <c r="U91" i="16"/>
  <c r="U139" i="16"/>
  <c r="U155" i="16"/>
  <c r="U171" i="16"/>
  <c r="U30" i="16"/>
  <c r="U62" i="16"/>
  <c r="U94" i="16"/>
  <c r="U179" i="16"/>
  <c r="U184" i="16"/>
  <c r="U101" i="16"/>
  <c r="U122" i="16"/>
  <c r="U31" i="16"/>
  <c r="U95" i="16"/>
  <c r="U18" i="16"/>
  <c r="U132" i="16"/>
  <c r="U186" i="16"/>
  <c r="U130" i="16"/>
  <c r="U175" i="16"/>
  <c r="U207" i="16"/>
  <c r="U150" i="16"/>
  <c r="U22" i="16"/>
  <c r="U54" i="16"/>
  <c r="U112" i="16"/>
  <c r="U128" i="16"/>
  <c r="U138" i="16"/>
  <c r="D51" i="10"/>
  <c r="C51" i="10"/>
  <c r="C52" i="10"/>
  <c r="D52" i="10"/>
  <c r="U200" i="16" l="1"/>
  <c r="U45" i="16"/>
  <c r="U230" i="16"/>
  <c r="U131" i="16"/>
  <c r="U115" i="16"/>
  <c r="U35" i="16"/>
  <c r="U52" i="16"/>
  <c r="U153" i="16"/>
  <c r="U73" i="16"/>
  <c r="U42" i="16"/>
  <c r="U99" i="16"/>
  <c r="U137" i="16"/>
  <c r="U9" i="16"/>
  <c r="U7" i="16"/>
  <c r="U114" i="16"/>
  <c r="U93" i="16"/>
  <c r="U158" i="16"/>
  <c r="U13" i="16"/>
  <c r="U156" i="16"/>
  <c r="U49" i="16"/>
  <c r="U79" i="16"/>
  <c r="U107" i="16"/>
  <c r="U194" i="16"/>
  <c r="U113" i="16"/>
  <c r="U223" i="16"/>
  <c r="U210" i="16"/>
  <c r="U164" i="16"/>
  <c r="U63" i="16"/>
  <c r="U221" i="16"/>
  <c r="U181" i="16"/>
  <c r="U227" i="16"/>
  <c r="U154" i="16"/>
  <c r="U228" i="16"/>
  <c r="U196" i="16"/>
  <c r="U57" i="16"/>
  <c r="U170" i="16"/>
  <c r="U201" i="16"/>
  <c r="U97" i="16"/>
  <c r="U192" i="16"/>
  <c r="U190" i="16"/>
  <c r="U86" i="16"/>
  <c r="U233" i="16"/>
  <c r="U81" i="16"/>
  <c r="U17" i="16"/>
  <c r="U191" i="16"/>
  <c r="U116" i="16"/>
  <c r="U82" i="16"/>
  <c r="U50" i="16"/>
  <c r="U143" i="16"/>
  <c r="U127" i="16"/>
  <c r="U111" i="16"/>
  <c r="U47" i="16"/>
  <c r="U197" i="16"/>
  <c r="U165" i="16"/>
  <c r="U133" i="16"/>
  <c r="U69" i="16"/>
  <c r="U5" i="16"/>
  <c r="U58" i="16"/>
  <c r="U64" i="16"/>
  <c r="U211" i="16"/>
  <c r="U198" i="16"/>
  <c r="U123" i="16"/>
  <c r="U43" i="16"/>
  <c r="U217" i="16"/>
  <c r="U177" i="16"/>
  <c r="U92" i="16"/>
  <c r="U28" i="16"/>
  <c r="U25" i="16"/>
  <c r="U146" i="16"/>
  <c r="U222" i="16"/>
  <c r="U134" i="16"/>
  <c r="U65" i="16"/>
  <c r="U199" i="16"/>
  <c r="U39" i="16"/>
  <c r="U23" i="16"/>
  <c r="U104" i="16"/>
  <c r="U53" i="16"/>
  <c r="U106" i="16"/>
  <c r="U40" i="16"/>
  <c r="U232" i="16"/>
  <c r="U80" i="16"/>
  <c r="U14" i="16"/>
  <c r="U51" i="16"/>
  <c r="U185" i="16"/>
  <c r="U220" i="16"/>
  <c r="U204" i="16"/>
  <c r="U68" i="16"/>
  <c r="U169" i="16"/>
  <c r="U105" i="16"/>
  <c r="U74" i="16"/>
  <c r="U56" i="16"/>
  <c r="U29" i="16"/>
  <c r="U216" i="16"/>
  <c r="U48" i="16"/>
  <c r="U15" i="16"/>
  <c r="U89" i="16"/>
  <c r="U129" i="16"/>
  <c r="U71" i="16"/>
  <c r="U21" i="16"/>
  <c r="U206" i="16"/>
  <c r="U78" i="16"/>
  <c r="U19" i="16"/>
  <c r="U152" i="16"/>
  <c r="U126" i="16"/>
  <c r="U100" i="16"/>
  <c r="U36" i="16"/>
  <c r="U41" i="16"/>
  <c r="U208" i="16"/>
  <c r="U125" i="16"/>
  <c r="U173" i="16"/>
  <c r="U195" i="16"/>
  <c r="U214" i="16"/>
  <c r="U193" i="16"/>
  <c r="U159" i="16"/>
  <c r="U37" i="16"/>
  <c r="U77" i="16"/>
  <c r="U76" i="16"/>
  <c r="U109" i="16"/>
  <c r="G66" i="10" l="1"/>
  <c r="H66" i="10" l="1"/>
  <c r="H67" i="10" s="1"/>
  <c r="D2" i="10" s="1"/>
  <c r="I3" i="4" s="1"/>
  <c r="F3" i="4" s="1"/>
  <c r="C66" i="10"/>
  <c r="B88" i="4" l="1"/>
</calcChain>
</file>

<file path=xl/comments1.xml><?xml version="1.0" encoding="utf-8"?>
<comments xmlns="http://schemas.openxmlformats.org/spreadsheetml/2006/main">
  <authors>
    <author>a64a</author>
    <author>Connors, Jared M</author>
    <author>Hillary Amster</author>
    <author>John Plyler</author>
  </authors>
  <commentList>
    <comment ref="P3" authorId="0">
      <text>
        <r>
          <rPr>
            <sz val="9"/>
            <color indexed="81"/>
            <rFont val="ＭＳ Ｐゴシック"/>
            <family val="3"/>
            <charset val="128"/>
          </rPr>
          <t>location number in language list</t>
        </r>
      </text>
    </comment>
    <comment ref="B9" authorId="1">
      <text>
        <r>
          <rPr>
            <sz val="10"/>
            <color indexed="81"/>
            <rFont val="Tahoma"/>
            <family val="2"/>
          </rPr>
          <t xml:space="preserve">Select your company's Declaration Scope.  The options for scope are:
A.  Company-wide
B.  Product (or List of Products)
C.  User-Defined
选择贵公司的申报范围。申报范围层面选项:
A.全公司
B. 产品 （或产品清单）
C. 自定义
御社の申告範囲を選択してください。範囲の選択肢は以下のとおりです。
A. Company-wide: 全社
B. Product (or List of Products): 製品（または製品リスト）
C. User Defined: (ユーザー定義)
귀사 문서의 선언 범위를 선택하시오. 선언범위의 선택사항은 아래와 같읍니다. 
A. 전사
B. 제품 (또는 제품의 목록)
C. 사용자 정의
Sélectionner le périmètre de Déclaration de votre entreprise. Les choix possibles sont :
A. Pour toute l'entreprise
B. Produit ( ou liste de produits)
C Défini par l'utilisateur
Selecionar o âmbito da Declaração da sua Empresa. As opções são:
A. Toda a Empresa
B. Produtos (ou lista de Produtos)
C. Definido pelo Utilizador
Wählen Sie Ihre Erklärung. Die Optionen für den Geltungsbereich sind:
A. Unternehmensweit
B. Ware (oder eine Liste von Produkten)
C. Benutzerdefinierte
Seleccione la declaración del alcance de su empresa.  Las opciones para el  alcance son:  
A.- A nivel compañía
B.- Producto ( o Lista de productos) 
C.- Definido por el usuario. 
Selezionare il perimetro di dichiarazione dell'Azienda. Le opzioni per il perimetro sono: 
A. Perimetro aziendale
B. Prodotto (o lista dei prodotti)
C. Definito dall'utilizzatore/utente campi 
Şirketinizin Beyan Kapsamını seçin.  Kapsam seçenekleri aşağıdaki gibidir:
A.  Şirket Geneli
B.  Ürün (veya Ürün Listesi)
C.  Kullanıcı Tanımlı
</t>
        </r>
      </text>
    </comment>
    <comment ref="P9" authorId="0">
      <text>
        <r>
          <rPr>
            <sz val="9"/>
            <color indexed="81"/>
            <rFont val="ＭＳ Ｐゴシック"/>
            <family val="3"/>
            <charset val="128"/>
          </rPr>
          <t>list for Validation in D9</t>
        </r>
      </text>
    </comment>
    <comment ref="B16" authorId="1">
      <text>
        <r>
          <rPr>
            <sz val="12"/>
            <color indexed="81"/>
            <rFont val="Tahoma"/>
            <family val="2"/>
          </rPr>
          <t xml:space="preserve">Enter a valid email address for contact person here
在这里输入公司代表的有效电邮地址。
連絡先担当者の有効な電子メールアドレスを入力してください
문의담당자 이메일 주소를 기입하시오.
Indiquer l' adresse email valide du contact
Adicione aqui um endereço de email válido para a pessoa de contacto.
Geben Sie hier eine gültige E-mail Adresse für den Ansprechpartner ein
Capture una dirección de email valida del contacto de la compañía aquí
Inserire un indizzo email valido della persona di riferimento
İrtibat kişisi için buraya geçerli bir e-posta adresi girin
</t>
        </r>
      </text>
    </comment>
    <comment ref="B20" authorId="1">
      <text>
        <r>
          <rPr>
            <sz val="12"/>
            <color indexed="81"/>
            <rFont val="Tahoma"/>
            <family val="2"/>
          </rPr>
          <t>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t>
        </r>
        <r>
          <rPr>
            <sz val="9"/>
            <color indexed="81"/>
            <rFont val="Tahoma"/>
            <family val="2"/>
          </rPr>
          <t xml:space="preserve">
</t>
        </r>
        <r>
          <rPr>
            <sz val="12"/>
            <color indexed="81"/>
            <rFont val="Tahoma"/>
            <family val="2"/>
          </rPr>
          <t>İzin yetkilisi için buraya geçerli bir e-posta adresi girin</t>
        </r>
      </text>
    </comment>
    <comment ref="B22" authorId="1">
      <text>
        <r>
          <rPr>
            <sz val="12"/>
            <color indexed="81"/>
            <rFont val="Arial"/>
            <family val="2"/>
          </rPr>
          <t xml:space="preserve">Please note the date this form was completed by your company
Date must be displayed in international format DD-MMM-YYYY
请注意贵公司完成此模板的日期。
日期必须是以日-月-年国际格式来显示。
この書類が作成された日付を記入してください
日付はDD-MMM-YYYYという形式で記述します（例: 01-JAN-2012)
문서 작성 완료 날짜를 기입하시오.  날짜는 DD-MMM-YYYY (예: 12-Jul-2012)로 표기하시오.
Merci d'indiquer la date à laquelle ce formulaire a été complété par votre entreprise. La date doit être indiquée au format international : JJ-MMM-AAAA.
Por favor, registe a data em que este formulário  foi preenchido pela sua empresa. A data deve ser apresentada em formato internacional DD-MMM-AAAA.
Bitte geben Sie das Datum an, an dem dieser Fragebogen von ihrer Firma ausgefüllt wurde.
Das Datum muss im internationalen Format TT-MM-JJJJ  eingegeben werden.
Por favor anote la fecha en la cual esta forma se completo
La fecha debe ser escrita en el formato internacional  DD-MMM-AAAA
Indicare cortesemente la data di compilazione del presente modulo da parte della vostra società. La data deve essere indicata secondo il formato internazionale GG-MM-AAAA
Şirketinizin bu formu doldurduğu tarihi not edin
Tarih uluslararası GG-AAA-YYYY formatında görüntülenmelidir
</t>
        </r>
      </text>
    </comment>
    <comment ref="D25"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P26" authorId="0">
      <text>
        <r>
          <rPr>
            <sz val="9"/>
            <color indexed="81"/>
            <rFont val="ＭＳ Ｐゴシック"/>
            <family val="3"/>
            <charset val="128"/>
          </rPr>
          <t>condition for answer</t>
        </r>
      </text>
    </comment>
    <comment ref="D31" authorId="1">
      <text>
        <r>
          <rPr>
            <sz val="12"/>
            <color indexed="81"/>
            <rFont val="Tahoma"/>
            <family val="2"/>
          </rPr>
          <t xml:space="preserve">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
</t>
        </r>
      </text>
    </comment>
    <comment ref="D37" authorId="2">
      <text>
        <r>
          <rPr>
            <sz val="12"/>
            <color indexed="81"/>
            <rFont val="Tahoma"/>
            <family val="2"/>
          </rPr>
          <t>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t>
        </r>
      </text>
    </comment>
    <comment ref="Q37" authorId="0">
      <text>
        <r>
          <rPr>
            <sz val="9"/>
            <color indexed="81"/>
            <rFont val="ＭＳ Ｐゴシック"/>
            <family val="3"/>
            <charset val="128"/>
          </rPr>
          <t>condition for answer</t>
        </r>
      </text>
    </comment>
    <comment ref="P38" authorId="0">
      <text>
        <r>
          <rPr>
            <sz val="9"/>
            <color indexed="81"/>
            <rFont val="ＭＳ Ｐゴシック"/>
            <family val="3"/>
            <charset val="128"/>
          </rPr>
          <t>condition for answer Q3 and later</t>
        </r>
      </text>
    </comment>
    <comment ref="D43" authorId="1">
      <text>
        <r>
          <rPr>
            <sz val="12"/>
            <color indexed="81"/>
            <rFont val="Tahoma"/>
            <family val="2"/>
          </rPr>
          <t>From the dropdown choose a response of "Yes", "No", or "Unknown"
从下拉菜单中选一个回应: “是“，“不是“， 或“不详“
ドロップダウンメニューから、「Yes（はい）」、「No（いいえ）」又は「Unknown（不明）」を選択してください
Yes=예, No=아니오, Unknown= 파악되지 않음
Sélectionner "Yes" (Oui) ou  "No" (Non) ou "Unknown" (Inconnu) dans la liste déroulante
A partir da lista seleccione a resposta "Sim", "Não", ou "desconhecido".
Wählen Sie aus der Drop-down Liste eine Antwort:  "Ja", "Nein" oder "Unbekannt"
Del menu elija una respuesta de "Si", "No", o "Desconocido"
Dalle presente lista, scegliete la risposta: "Si", "No" o "Non conosciuto"
Açılır menüden "Evet", "Hayır" veya "Bilinmiyor" yanıtını seçin</t>
        </r>
      </text>
    </comment>
    <comment ref="D49" authorId="3">
      <text>
        <r>
          <rPr>
            <sz val="12"/>
            <color indexed="81"/>
            <rFont val="Tahoma"/>
            <family val="2"/>
          </rPr>
          <t>From the dropdown choose a response of: “Yes, 100%”; “No, but greater than 75%”; “No, but greater than 50%”; “No, but greater than 25%”;  or “No, but less than 25%”; or “None”
从下拉菜单中选择一个回应: 是； 不是，但大于75%； 不是，但大于50%；不是，但大于25%；不是，但小于25%； 或 不是，完全没有。
ドロップダウンメニューから、「Yes, 100%（はい、100%）」、「No, but greater than 75%（いいえ/75%超」、「No, but greater than 50%（いいえ/50%超）」、「No, but greater than 25%（いいえ/25%超）」、「No, but less than 25%（いいえ/25%未満）」又は「None（ゼロ）」を選択してください
드랍다운 메뉴에서 하나를 선택하시오: 예 100%; 아니오 하지만 75% 이상;  아니오 하지만 50% 이상; 아니오 하지만 25% 이상; 아니오 하지만 25% 미만; None = 없음
Dans le menu déroulant, choisir la réponse : Oui, Non mais &gt; 75%, Non mais &gt; 50%, Non mais &gt; 25%, Non mais , 25 % ou Non - Aucun
A partir da lista seleccione a resposta: "Sim, 100%"; "Não, mas superior a 75%"; "Não, mas superior a 50%"; "Não, mas superior a 25%"; "Não, mas inferior a 25%"; ou "Nenhum".
Wählen Sie aus der Drop-down Liste eine Antwort:  "Ja 100 %",  "Nein, aber mehr als 75 %",  "Nein, aber mehr als 50 %",  "Nein, aber mehr als 25 %", " Nein, aber mehr als 25 %" oder "Nein, aber weniger als 25 %" oder "Nein"
Del menú elija una respuesta de "Si, 100%"; " No, pero  &gt; 75%"," No, pero  &gt; 50%", "No, pero  &gt;25%", "No, pero &lt; 25%", o No-ninguno
Dalla presente lista, scegliete la risposta: Si, ma non &gt; 75%, No ma non  &gt; 50%, No ma non  &gt; 25%, No ma non &lt; 25%, or No - niente
Açılır menüden aşağıdaki yanıtlardan birini seçin: “Evet, %100”; “Hayır, ancak %75'ten fazla”; “Hayır, ancak %50'den fazla”; “Hayır, ancak %25'ten fazla”; “Hayır, ancak %25'ten az” veya “Hiçbiri”</t>
        </r>
      </text>
    </comment>
    <comment ref="D55"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1"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8"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List>
</comments>
</file>

<file path=xl/comments2.xml><?xml version="1.0" encoding="utf-8"?>
<comments xmlns="http://schemas.openxmlformats.org/spreadsheetml/2006/main">
  <authors>
    <author>a64a</author>
  </authors>
  <commentList>
    <comment ref="T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2" authorId="0">
      <text>
        <r>
          <rPr>
            <b/>
            <sz val="9"/>
            <color indexed="81"/>
            <rFont val="Tahoma"/>
            <family val="2"/>
          </rPr>
          <t>John Plyler:</t>
        </r>
        <r>
          <rPr>
            <sz val="9"/>
            <color indexed="81"/>
            <rFont val="Tahoma"/>
            <family val="2"/>
          </rPr>
          <t xml:space="preserve">
change from F50 to F25 to F28</t>
        </r>
      </text>
    </comment>
    <comment ref="F63" authorId="0">
      <text>
        <r>
          <rPr>
            <b/>
            <sz val="9"/>
            <color indexed="81"/>
            <rFont val="Tahoma"/>
            <family val="2"/>
          </rPr>
          <t>John Plyler:</t>
        </r>
        <r>
          <rPr>
            <sz val="9"/>
            <color indexed="81"/>
            <rFont val="Tahoma"/>
            <family val="2"/>
          </rPr>
          <t xml:space="preserve">
change from F50 to F25 to F28</t>
        </r>
      </text>
    </comment>
    <comment ref="F64" authorId="0">
      <text>
        <r>
          <rPr>
            <b/>
            <sz val="9"/>
            <color indexed="81"/>
            <rFont val="Tahoma"/>
            <family val="2"/>
          </rPr>
          <t>John Plyler:</t>
        </r>
        <r>
          <rPr>
            <sz val="9"/>
            <color indexed="81"/>
            <rFont val="Tahoma"/>
            <family val="2"/>
          </rPr>
          <t xml:space="preserve">
change from F50 to F25 to F28</t>
        </r>
      </text>
    </commen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John Plyler</author>
  </authors>
  <commentList>
    <comment ref="J155"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D307" authorId="1">
      <text>
        <r>
          <rPr>
            <b/>
            <sz val="9"/>
            <color indexed="81"/>
            <rFont val="Tahoma"/>
            <family val="2"/>
          </rPr>
          <t>John Plyler:</t>
        </r>
        <r>
          <rPr>
            <sz val="9"/>
            <color indexed="81"/>
            <rFont val="Tahoma"/>
            <family val="2"/>
          </rPr>
          <t xml:space="preserve">
Note that this is a subset from the instructions</t>
        </r>
      </text>
    </comment>
  </commentList>
</comments>
</file>

<file path=xl/sharedStrings.xml><?xml version="1.0" encoding="utf-8"?>
<sst xmlns="http://schemas.openxmlformats.org/spreadsheetml/2006/main" count="31646" uniqueCount="6117">
  <si>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</si>
  <si>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</si>
  <si>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</si>
  <si>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</si>
  <si>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</si>
  <si>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</si>
  <si>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</si>
  <si>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</si>
  <si>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</si>
  <si>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</si>
  <si>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</si>
  <si>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</si>
  <si>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</si>
  <si>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</si>
  <si>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</si>
  <si>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</si>
  <si>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</si>
  <si>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</si>
  <si>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Istruzioni per rispondere alle domande A. - J. (Righe 69- 87).  Le domande A. J. Sono obbligatorie  se la risposte alle domande 1 o 2 è SI per qualsiasi metallo.
Si prega di rispondere unicamente in Inglese.</t>
  </si>
  <si>
    <t>15. Il 100% delle materie prime della fonderia sono originate da fonti riciclate o scarti? - Rispondere SI se la fonderia per i suoi processi di fuzione utilizza solo materiali provenienti da fonti riciclate o scarti. Altrimenti rispondere "No"</t>
  </si>
  <si>
    <t>Ja</t>
  </si>
  <si>
    <t>Nein</t>
  </si>
  <si>
    <t>Nicht bekannt</t>
  </si>
  <si>
    <t>Ja, 100%</t>
  </si>
  <si>
    <t>Nein, aber mehr als 75 %</t>
  </si>
  <si>
    <t>Nein, aber mehr als 50 %</t>
  </si>
  <si>
    <t>Nein, aber mehr als 25 %</t>
  </si>
  <si>
    <t>Nein, aber weniger als 25 %</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</si>
  <si>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</si>
  <si>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</si>
  <si>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</si>
  <si>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</si>
  <si>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</si>
  <si>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</si>
  <si>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</si>
  <si>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</si>
  <si>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</si>
  <si>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</si>
  <si>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</si>
  <si>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</si>
  <si>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</si>
  <si>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</si>
  <si>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</si>
  <si>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</si>
  <si>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</si>
  <si>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</si>
  <si>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</si>
  <si>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</si>
  <si>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</si>
  <si>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</si>
  <si>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</si>
  <si>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</si>
  <si>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RFH (Yanling Jincheng Tantalum &amp; Niobium Co., Ltd)</t>
  </si>
  <si>
    <t>Brand IMLI</t>
  </si>
  <si>
    <t>China Yunnan Tin Co Ltd.</t>
  </si>
  <si>
    <t>ENAF</t>
  </si>
  <si>
    <t>Geiju City Datun Chengfeng Smelter</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</si>
  <si>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</si>
  <si>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</si>
  <si>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</si>
  <si>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</si>
  <si>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</si>
  <si>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</si>
  <si>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</si>
  <si>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</si>
  <si>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</si>
  <si>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</si>
  <si>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</si>
  <si>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</si>
  <si>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</si>
  <si>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</si>
  <si>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</si>
  <si>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</si>
  <si>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</si>
  <si>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</si>
  <si>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</si>
  <si>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</si>
  <si>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</si>
  <si>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</si>
  <si>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</si>
  <si>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Vecchio ID della fonderia</t>
  </si>
  <si>
    <t>Nuovo ID della fonderia</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</si>
  <si>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</si>
  <si>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</si>
  <si>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</si>
  <si>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</si>
  <si>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</si>
  <si>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</si>
  <si>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</si>
  <si>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</si>
  <si>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</si>
  <si>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</si>
  <si>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</si>
  <si>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</si>
  <si>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</si>
  <si>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</si>
  <si>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</si>
  <si>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</si>
  <si>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</si>
  <si>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</si>
  <si>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 xml:space="preserve">Selezionare il perimetro di dichiarazione dell'Azienda. Le opzioni per il perimetro sono: 
A. Perimetro aziendale
B. Prodotto (o lista dei prodotti)
C. Definito dall'utilizzatore/utente campi </t>
  </si>
  <si>
    <t>15. 100% das matérias primas das fundições tem origem em material reciclado ou desperdício? Por favor responder "Sim" se a fundição obtiver apenas materiais de fontes de reciclagem ou desperdício para o seu processo de fundição. Caso contrário, responda "Não.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</si>
  <si>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</si>
  <si>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</si>
  <si>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</si>
  <si>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</si>
  <si>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</si>
  <si>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</si>
  <si>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</si>
  <si>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</si>
  <si>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</si>
  <si>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</si>
  <si>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</si>
  <si>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</si>
  <si>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</si>
  <si>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</si>
  <si>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</si>
  <si>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</si>
  <si>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</si>
  <si>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</si>
  <si>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</si>
  <si>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</si>
  <si>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</si>
  <si>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</si>
  <si>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</si>
  <si>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</si>
  <si>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</si>
  <si>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</si>
  <si>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</si>
  <si>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</si>
  <si>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</si>
  <si>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</si>
  <si>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</si>
  <si>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</si>
  <si>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</si>
  <si>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</si>
  <si>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</si>
  <si>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</si>
  <si>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</si>
  <si>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</si>
  <si>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</si>
  <si>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</si>
  <si>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</si>
  <si>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</si>
  <si>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</si>
  <si>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</si>
  <si>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</si>
  <si>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</si>
  <si>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</si>
  <si>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</si>
  <si>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</si>
  <si>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</si>
  <si>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</si>
  <si>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</si>
  <si>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</si>
  <si>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</si>
  <si>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</si>
  <si>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</si>
  <si>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</si>
  <si>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</si>
  <si>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</si>
  <si>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</si>
  <si>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</si>
  <si>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</si>
  <si>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</si>
  <si>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</si>
  <si>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</si>
  <si>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</si>
  <si>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</si>
  <si>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</si>
  <si>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 xml:space="preserve">Seleccione la declaración del alcance de su empresa.  Las opciones para el  alcance son:  
A.- A nivel compañía
B.- Producto ( o Lista de productos) 
C.- Definido por el usuario. </t>
  </si>
  <si>
    <t xml:space="preserve">I. Tu proceso de verificación incluye manejo de acciones correctivas? </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</si>
  <si>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</si>
  <si>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</si>
  <si>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</si>
  <si>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</si>
  <si>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</si>
  <si>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</si>
  <si>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</si>
  <si>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</si>
  <si>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</si>
  <si>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</si>
  <si>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</si>
  <si>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</si>
  <si>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</si>
  <si>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</si>
  <si>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Ancien Numero d’Identification  de la Fonderie/Affinerie</t>
  </si>
  <si>
    <t>Nouveau Numero d’Identification  de la Fonderie/Affinerie</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</si>
  <si>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</si>
  <si>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</si>
  <si>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</si>
  <si>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</si>
  <si>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</si>
  <si>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2014 Conflict-Free Sourcing Initiative. All rights reserved.</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</si>
  <si>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</si>
  <si>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</si>
  <si>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</si>
  <si>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</si>
  <si>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</si>
  <si>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</si>
  <si>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</si>
  <si>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</si>
  <si>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</si>
  <si>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</si>
  <si>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</si>
  <si>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</si>
  <si>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</si>
  <si>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</si>
  <si>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</si>
  <si>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</si>
  <si>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Non-ferrous Metals Smelting Co., Ltd.</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</si>
  <si>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</si>
  <si>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</si>
  <si>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</si>
  <si>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</si>
  <si>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</si>
  <si>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</si>
  <si>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</si>
  <si>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</si>
  <si>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</si>
  <si>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</si>
  <si>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</si>
  <si>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</si>
  <si>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</si>
  <si>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</si>
  <si>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</si>
  <si>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</si>
  <si>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</si>
  <si>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</si>
  <si>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</si>
  <si>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</si>
  <si>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</si>
  <si>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</si>
  <si>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</si>
  <si>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</si>
  <si>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</si>
  <si>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</si>
  <si>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</si>
  <si>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</si>
  <si>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</si>
  <si>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</si>
  <si>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</si>
  <si>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</si>
  <si>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</si>
  <si>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</si>
  <si>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</si>
  <si>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</si>
  <si>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</si>
  <si>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</si>
  <si>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</si>
  <si>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</si>
  <si>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</si>
  <si>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</si>
  <si>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</si>
  <si>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</si>
  <si>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</si>
  <si>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A. Avete in atto una politica riguardante la fornitura di minerali di conflitto?</t>
  </si>
  <si>
    <t>B. La vostra politica sulla fornitura di minerali di conflitto è  disponibile e accessibile a tutti sul vostro sito internet? (Nota: in caso di risposta affermativa, l'utente deve specificare l'URL nel campo commenti)</t>
  </si>
  <si>
    <t>H.Avete verificato le informazioni di dovuta diligenza ricevute dai vostri fornitori rispetto alle aspettative della vostra azienda?</t>
  </si>
  <si>
    <t>sì</t>
  </si>
  <si>
    <t>no</t>
  </si>
  <si>
    <t>Ignoto</t>
  </si>
  <si>
    <t>Sì, 100%</t>
  </si>
  <si>
    <t>No, ma superiore al 75%</t>
  </si>
  <si>
    <t>No, ma superiore al 50%</t>
  </si>
  <si>
    <t>No, ma superiore al 25%</t>
  </si>
  <si>
    <t>No, ma inferiore al 25%</t>
  </si>
  <si>
    <t>nessuno</t>
  </si>
  <si>
    <t>Nome Fonderia (*)</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</si>
  <si>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</si>
  <si>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</si>
  <si>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</si>
  <si>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</si>
  <si>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</si>
  <si>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</si>
  <si>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</si>
  <si>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E. Por favor, responda "Sí" o "No" para revelar si su empresa ha implementado medidas de diligencia  para el abastecimiento de minerales de conflicto. Esta declaración no tiene por objeto proveer los detalles de las medidas de diligencia debida de la empresa - sólo que una empresa ha implementado medidas de diligencia debida. Los aspectos de las medidas aceptables de debida diligencia se determinarán por el solicitante y el proveedor.
Ejemplos de medidas de diligencia debida podrán incluir: la comunicación y la incorporación en los contratos (en lo posible) sus expectativas a los proveedores en la cadena de suministro de minerales libres de conflicto, la identificación y evaluación de riesgos en la cadena de suministro; diseño e implementación de una estrategia para responder a los riesgos señalados, la verificación del cumplimiento por parte de su proveedor directo a la política libre de conflictos RDC, etc Estos ejemplos de medidas de diligencia debida son consistentes con las normas establecidas en la guía de orientación de la OCDE internacionalmente reconocida.</t>
  </si>
  <si>
    <t>G.  Por favor responda "Si" o "No". Proporcione cualquier comentario, si es necesario.</t>
  </si>
  <si>
    <t xml:space="preserve">H. Por favor responda "Si" o "No". En la sección de comentarios, puede incluirse información adicional de tu plan. Los ejemplos pueden ser:
auditoria  por terceros”  se refiere a auditorias en sitio de los proveedores hechos por terceras compañías independientes.  
 " Revisión de documentación solamente” se refiere a la revisión  de records enviados del proveedor y documentación hecha por una tercera compañía independiente y, o personal de tu empresa.   
 “Auditoria Interna”  se refiere a auditoria en sitio de tus proveedores realizada por personal de tu compañía.
</t>
  </si>
  <si>
    <t>I.  Por favor proporcione "Si" o "No". Si es "Si", por favor describa como maneja el proceso de la acción correctiva.</t>
  </si>
  <si>
    <t>J.  Por favor responda “Si” o “No”.  Los requerimiento de desglose para minerales conflictivos de la SEC aplica para las compañías que cotizan en la bolsa de valores  de los Estados Unidos que están sujetas a la ley de Securities Exchange de los Estados Unidos. Para mayor información vaya a  www.sec.gov.</t>
  </si>
  <si>
    <t xml:space="preserve">Instrucciones para completar el Tab de Lista de fundidores. Proporcione las respuestas en INGLES solamente
 </t>
  </si>
  <si>
    <t>Nota: Las columnas con (*) son campos obligatorios.</t>
  </si>
  <si>
    <t xml:space="preserve">Este templete permite la identificación del fundidor usando la lista de referencia de fundidores. las columnas B,C,D y E deben ser completadas en orden de izquierda a derecha par utilizar la funcionalidad de la lista de referencia de fundidores. Use una line separada para cada combinación de  metal/fundidor/país  </t>
  </si>
  <si>
    <t>15. El 100% de la materia prima del fundidor proviene de fuentes de reciclado o deshecho? - Por favor conteste "Si" si el fundidor usa solamente material de reciclado o deshecho para sus proceso (s) de fundición.</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</si>
  <si>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</si>
  <si>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</si>
  <si>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</si>
  <si>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</si>
  <si>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</si>
  <si>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</si>
  <si>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</si>
  <si>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</si>
  <si>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</si>
  <si>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</si>
  <si>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</si>
  <si>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</si>
  <si>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</si>
  <si>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</si>
  <si>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</si>
  <si>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</si>
  <si>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</si>
  <si>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</si>
  <si>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</si>
  <si>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</si>
  <si>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</si>
  <si>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</si>
  <si>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</si>
  <si>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</si>
  <si>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</si>
  <si>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</si>
  <si>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</si>
  <si>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</si>
  <si>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</si>
  <si>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</si>
  <si>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</si>
  <si>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</si>
  <si>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</si>
  <si>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</si>
  <si>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</si>
  <si>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</si>
  <si>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</si>
  <si>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</si>
  <si>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</si>
  <si>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</si>
  <si>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</si>
  <si>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</si>
  <si>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</si>
  <si>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</si>
  <si>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</si>
  <si>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</si>
  <si>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</si>
  <si>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</si>
  <si>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</si>
  <si>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</si>
  <si>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</si>
  <si>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</si>
  <si>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</si>
  <si>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</si>
  <si>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</si>
  <si>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</si>
  <si>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 xml:space="preserve">A. Tem uma política implementada, dirigida a fontes de minerais de conflito? </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</si>
  <si>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</si>
  <si>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</si>
  <si>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</si>
  <si>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G. Solicita o nome da fundições aos seus fornecedores?</t>
  </si>
  <si>
    <t xml:space="preserve">H.  Verifica e revê a informação das diligências devidas recebidas dos seus fornecedores face as expectativas da Empresa? </t>
  </si>
  <si>
    <t>I. O processo de revisão inclui a gestão de ações corretivas?</t>
  </si>
  <si>
    <t>J. Está sujeito às regras da comissão  "SEC" para minerais de Conflito?</t>
  </si>
  <si>
    <t>Tântalo</t>
  </si>
  <si>
    <t>Estanho</t>
  </si>
  <si>
    <t>Ouro</t>
  </si>
  <si>
    <t>Tungsténio</t>
  </si>
  <si>
    <t>Sim</t>
  </si>
  <si>
    <t>Não</t>
  </si>
  <si>
    <t>Desconhecido</t>
  </si>
  <si>
    <t>Sim, 100%</t>
  </si>
  <si>
    <t>Não, mas superior a 75%</t>
  </si>
  <si>
    <t>Não, mas superior a 50%</t>
  </si>
  <si>
    <t>Não, mas superior a 25%</t>
  </si>
  <si>
    <t>Não, mas inferior a 25%</t>
  </si>
  <si>
    <t>Nenhum</t>
  </si>
  <si>
    <t>Identificação antiga da Fundição</t>
  </si>
  <si>
    <t>Identificação Nova da Fundição</t>
  </si>
  <si>
    <t>Nomes estandardizados de Fundições</t>
  </si>
  <si>
    <t>Pseudônimos conhecidos</t>
  </si>
  <si>
    <t>Localização da Unidade de Fundição: País</t>
  </si>
  <si>
    <t>Lista de referência de Fundições(*)</t>
  </si>
  <si>
    <t>Nome da Fundição (*)</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</si>
  <si>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</si>
  <si>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</si>
  <si>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</si>
  <si>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</si>
  <si>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</si>
  <si>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</si>
  <si>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</si>
  <si>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</si>
  <si>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</si>
  <si>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</si>
  <si>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</si>
  <si>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</si>
  <si>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</si>
  <si>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</si>
  <si>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</si>
  <si>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</si>
  <si>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</si>
  <si>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</si>
  <si>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</si>
  <si>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Selecionar o âmbito da Declaração da sua Empresa. As opções são:
A. Toda a Empresa
B. Produtos (ou lista de Produtos)
C. Definido pelo Utilizador</t>
  </si>
  <si>
    <t>1. Inserir o nome Legal da Empresa. Por favor, não use abreviações.</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</si>
  <si>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</si>
  <si>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</si>
  <si>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</si>
  <si>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</si>
  <si>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</si>
  <si>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</si>
  <si>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A.紛争鉱物調達への取組み方針を定めていますか？</t>
  </si>
  <si>
    <t>Responda a las siguientes preguntas a nivel de la compañía</t>
  </si>
  <si>
    <t xml:space="preserve">A. Tienes una política implementada que incluya el suministro de minerales conflictivos? </t>
  </si>
  <si>
    <t>B. Esta política esta públicamente disponible en tu website?  ( Nota: si existe; el usuario debe especificar el URL en el campo de comentario.)</t>
  </si>
  <si>
    <t xml:space="preserve">E. Has implementado medidas de diligencia sobre el cuidado para abastecimiento libre de conflicto? </t>
  </si>
  <si>
    <t>H. Revisas la información de diligencia recibida de tus proveedores contra las expectativas de la compañía?</t>
  </si>
  <si>
    <t xml:space="preserve">J. Estas sujeto a la regla de  requerimiento  de la SEC? </t>
  </si>
  <si>
    <t>Si</t>
  </si>
  <si>
    <t>Desconocido</t>
  </si>
  <si>
    <t>Si, 100%</t>
  </si>
  <si>
    <t>No, pero mayor a 75%</t>
  </si>
  <si>
    <t>No, pero mayor a 50%</t>
  </si>
  <si>
    <t>No, pero mayor a 25%</t>
  </si>
  <si>
    <t>No, pero menor a 25%</t>
  </si>
  <si>
    <t>Ninguno</t>
  </si>
  <si>
    <t>Identificación anterior del fundidor</t>
  </si>
  <si>
    <t>Identificación nueva del fundidor</t>
  </si>
  <si>
    <t>Nombres estándar del fundidor</t>
  </si>
  <si>
    <t xml:space="preserve">Localización de la fabrica de fundición: País </t>
  </si>
  <si>
    <t>Nombre del fundidor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</si>
  <si>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</si>
  <si>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</si>
  <si>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</si>
  <si>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</si>
  <si>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</si>
  <si>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</si>
  <si>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</si>
  <si>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</si>
  <si>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</si>
  <si>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</si>
  <si>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</si>
  <si>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</si>
  <si>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</si>
  <si>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</si>
  <si>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</si>
  <si>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</si>
  <si>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</si>
  <si>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</si>
  <si>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</si>
  <si>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</si>
  <si>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</si>
  <si>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</si>
  <si>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</si>
  <si>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</si>
  <si>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</si>
  <si>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</si>
  <si>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</si>
  <si>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</si>
  <si>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</si>
  <si>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</si>
  <si>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</si>
  <si>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</si>
  <si>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</si>
  <si>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</si>
  <si>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Instruções para completar as questões de A. a J. (linhas 69-87). As questões de A a J são obrigatórias se a resposta às questões 1 ou 2 forme "Sim" para qualquer metal.
Fornecer respostas somente em INGLÊS.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</si>
  <si>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</si>
  <si>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A. Por Favor responder "Sim" ou "Não". Forneça comentários se necessário.</t>
  </si>
  <si>
    <t>B. Por Favor responder "Sim" ou "Não". Se "Sim", forneça o web link no campo de comentários.</t>
  </si>
  <si>
    <t>C. Por favor responder "Sim" ou "Não".  Forneça comentários se necessário. Ver aba das definições para a definição de "RDC Livre de Conflito".</t>
  </si>
  <si>
    <t>E. Por favor responder "Sim" ou "Não" para definir se a empresa implementou ou não medidas de diligência relativas à origem dos minerais de conflito. Esta declaração não pretende fornecer detalhes das medidas de diligência da empresa mas apenas confirmar que esta as implementou. Os aspetos de medidas de diligência aceitáveis devem ser determinadas pelo requisitante ou pelo fornecedor.
Exemplos de medidas de diligência podem incluir: Comunicação e inclusão nos contratos dos fornecedores (quando possível) das expectativas face a cadeia de fornecimento de minerais livres de conflito; Identificação e avaliação de risco na cadeia de fornecimento; Verificação do cumprimento dos fornecdores diretos com a sua  política Livre de Conflito RDC, etc. Estes exemplos de medidas de diligência são consistentes com as linhas de orientação incluídas no Guia OCDE internacionalmente reconhecido.</t>
  </si>
  <si>
    <t>G. Por favor responder " Sim" ou "Não". Fornecer comentários se necessário</t>
  </si>
  <si>
    <t>H. Por favor responder "Sim" ou "Não". No campo de comentários, pode fornecer informação adicional relativa à sua abordagem. Exemplos:
"Auditoria por terceiros" - Auditorias locais ao fornecedores  efetuadas por terceiros independentes.
" Revisão de Documentação" - Revisão dos registos e documentação submetida pelo fornecedor, conduzida por parte de terceiros independentes ou por profissionais da empresa.
"Auditoria Interna"- Auditorias locais aos fornecedores conduzidas por profissionais da empresa.</t>
  </si>
  <si>
    <t>I. Por favor responda "Sim" ou "Não". Se "Sim", por favor descreva como gere o processo de ação corretiva.</t>
  </si>
  <si>
    <t>J. Por favor responda "Sim" ou "Não". Os requisitos de divulgação de minerais de conflito da SEC aplicam-se a empresas negociadas na bolsa do EUA, sujeitas às leis de "Securities Exchange" dos EUA. Para mais informação consulte www.sec.gov.</t>
  </si>
  <si>
    <t>Instruções para completar a aba da Lista de Fundições.
Fornecer respostas somente em INGLÊS.</t>
  </si>
  <si>
    <t>Nota: Colunas com (*) são campos  de preenchimento obrigatórios.</t>
  </si>
  <si>
    <t>Este modelo permite a identificação de fundições utilizando a Lista de referência de fundições. As colunas B, C, D e E devem ser completadas por ordem da esquerda para a direita, utilizando os recursos da Lista de referência.
Utilize uma linha individual para cada combinação metal/fundição/ país.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</si>
  <si>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</si>
  <si>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A.  Por favor responda "Si" o "No". Proporcione cualquier comentario, si es necesario. </t>
  </si>
  <si>
    <t>B.  Por favor responda "Si" o "No", si es "Si" , proporcione la liga web en la sección de comentarios.</t>
  </si>
  <si>
    <t>C.  Por favor responda "Si" o "No". Proporcione cualquier comentario si es necesario. Vea la hoja de definiciones para la definición de " Libre de conflicto DRC"</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</si>
  <si>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</si>
  <si>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</si>
  <si>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</si>
  <si>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</si>
  <si>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</si>
  <si>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</si>
  <si>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</si>
  <si>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</si>
  <si>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</si>
  <si>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</si>
  <si>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</si>
  <si>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</si>
  <si>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</si>
  <si>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</si>
  <si>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 xml:space="preserve">Select your company's Declaration Scope.  The options for scope are:
A.  Company-wide
B.  Product (or List of Products)
C.  User-Defined
</t>
  </si>
  <si>
    <t xml:space="preserve">选择贵公司的申报范围。申报范围层面选项:
A.全公司
B. 产品 （或产品清单）
C. 自定义
</t>
  </si>
  <si>
    <t xml:space="preserve">御社の申告範囲を選択してください。範囲の選択肢は以下のとおりです。
A. Company-wide: 全社
B. Product (or List of Products): 製品（または製品リスト）
C. User Defined: (ユーザー定義)
</t>
  </si>
  <si>
    <t xml:space="preserve">귀사 문서의 선언 범위를 선택하시오. 선언범위의 선택사항은 아래와 같읍니다. 
A. 전사
B. 제품 (또는 제품의 목록)
C. 사용자 정의
</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</si>
  <si>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</si>
  <si>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</si>
  <si>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</si>
  <si>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</si>
  <si>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</si>
  <si>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</si>
  <si>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</si>
  <si>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</si>
  <si>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</si>
  <si>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</si>
  <si>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</si>
  <si>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</si>
  <si>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</si>
  <si>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</si>
  <si>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</si>
  <si>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</si>
  <si>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</si>
  <si>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</si>
  <si>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</si>
  <si>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</si>
  <si>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</si>
  <si>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3.  御社固有の識別番号又はコードを記入してください（DUNSナンバー、VATナンバー、顧客固有番号等）。</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</si>
  <si>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</si>
  <si>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</si>
  <si>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B.「Yes（はい）」又は「No（いいえ）」で回答し、「Yes（はい）」の場合はウェブサイトのリンクを備考欄に記入してください。</t>
  </si>
  <si>
    <t>C.「Yes（はい）」又は「No（いいえ）」でお答えください。必要に応じてコメントを記入してください。「DRCコンフリクトフリー」の定義は、「定義」シートを参照してください。</t>
  </si>
  <si>
    <t xml:space="preserve">E.紛争鉱物の調達に関するデューデリジェンス対策を実施しているかどうかを開示するため、「Yes（はい）」又は「No（いいえ）」でお答えください。この申告は、企業のデューデリジェンス対策の詳細を提供することを意図するのではなく、企業がデューデリジェンス対策を実施しているかどうかだけを確認しています。受諾できるデューデリジェンス対策の観点は、調査の依頼主とサプライヤーの間で決められるべきです。デューデリジェンス対策の例として次のようなものがあります。サプライヤーに、コンフリクトフリーな鉱物サプライチェーンに関する御社の期待を伝え（可能な場合には）契約に盛り込む；サプライチェーンのリスクを識別し評価する；識別されたリスクに対応する戦略を立案し実行する；一次サプライヤーがDRCコンフリクトフリー方針を順守しているかどうかを検証する。こうしたデューデリジェンス対策の例は、国際的に認められたOECDガイダンスに規定されたガイドラインと一致しています。
</t>
  </si>
  <si>
    <t>H.「Yes（はい）」又は「No（いいえ）」でお答えください。コメント欄に、御社のアプローチに関する追加情報を提供できます。その例には、次のようなものがあります。
「第三者監査」--独立第三者機関が実施するサプライヤーの現地監査を意味します。
「書類審査のみ」--独立第三者及び御社の社員、又はそのいずれかが実施する、サプライヤーが提出した記録及び文書の監査を意味します。
「内部監査」--御社の社員が実施する、サプライヤーの現地監査を意味します。</t>
  </si>
  <si>
    <t>15.製錬業者の原材料はすべてリサイクル業者又はスクラップサプライヤーから調達されていますか？　－　製錬加工のために材料をリサイクル業者又はスクラップサプライヤーからのみ調達している場合は「Yes（はい）」と回答してください。そうでない場合は「No（いいえ）」と回答してください。</t>
  </si>
  <si>
    <t>この申告に適用される製品は製品一覧表(Product List)のシートに移動して入力</t>
  </si>
  <si>
    <t>B.その方針は御社のホームページで閲覧できますか？（回答が「はい」の場合、その方針が掲載されているURLをコメント欄に記入する）</t>
  </si>
  <si>
    <t>C.一次サプライヤーに対してDRCコンフリクトフリーであることを要求していますか？</t>
  </si>
  <si>
    <t>E.コンフリクトフリーな鉱物調達のためのデューデリジェンス対策を実施していますか？</t>
  </si>
  <si>
    <t>H.サプライヤーからのデューデリジェンス情報を、御社の期待を基に検証していますか？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</si>
  <si>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</si>
  <si>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</si>
  <si>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</si>
  <si>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</si>
  <si>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</si>
  <si>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</si>
  <si>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</si>
  <si>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</si>
  <si>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</si>
  <si>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</si>
  <si>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</si>
  <si>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</si>
  <si>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</si>
  <si>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</si>
  <si>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</si>
  <si>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1. Merci d’inscrire ici l'entité légale de votre entreprise. Merci de ne pas utiliser d'abréviations.</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</si>
  <si>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</si>
  <si>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</si>
  <si>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</si>
  <si>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</si>
  <si>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</si>
  <si>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</si>
  <si>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</si>
  <si>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</si>
  <si>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</si>
  <si>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</si>
  <si>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</si>
  <si>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</si>
  <si>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</si>
  <si>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</si>
  <si>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</si>
  <si>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</si>
  <si>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</si>
  <si>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</si>
  <si>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</si>
  <si>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</si>
  <si>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</si>
  <si>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</si>
  <si>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</si>
  <si>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</si>
  <si>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</si>
  <si>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</si>
  <si>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</si>
  <si>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</si>
  <si>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</si>
  <si>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</si>
  <si>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</si>
  <si>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</si>
  <si>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</si>
  <si>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</si>
  <si>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</si>
  <si>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</si>
  <si>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</si>
  <si>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</si>
  <si>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</si>
  <si>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</si>
  <si>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</si>
  <si>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</si>
  <si>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</si>
  <si>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</si>
  <si>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</si>
  <si>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</si>
  <si>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</si>
  <si>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</si>
  <si>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</si>
  <si>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</si>
  <si>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</si>
  <si>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</si>
  <si>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</si>
  <si>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</si>
  <si>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</si>
  <si>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</si>
  <si>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</si>
  <si>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</si>
  <si>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</si>
  <si>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</si>
  <si>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</si>
  <si>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</si>
  <si>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</si>
  <si>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</si>
  <si>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</si>
  <si>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</si>
  <si>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</si>
  <si>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</si>
  <si>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</si>
  <si>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</si>
  <si>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</si>
  <si>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</si>
  <si>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</si>
  <si>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</si>
  <si>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</si>
  <si>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G. 調達元の製錬業者名を明らかにするようサプライヤーに要請していますか？</t>
  </si>
  <si>
    <t>I. 御社の検証プロセスには是正措置管理が含まれていますか？</t>
  </si>
  <si>
    <t>J. 御社は米国証券取引委員会の紛争鉱物開示規則の対象になっていますか？</t>
  </si>
  <si>
    <t>はい</t>
  </si>
  <si>
    <t>いいえ</t>
  </si>
  <si>
    <t>不明</t>
  </si>
  <si>
    <t>はい、100％</t>
  </si>
  <si>
    <t>いいえ、しかし75％以上</t>
  </si>
  <si>
    <t>いいえ、しかし50％以上</t>
  </si>
  <si>
    <t>いいえ、しかし25％以上</t>
  </si>
  <si>
    <t>いいえ、しかし25％未満</t>
  </si>
  <si>
    <t>ゼロ</t>
  </si>
  <si>
    <t>製錬業者名（*）</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</si>
  <si>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</si>
  <si>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</si>
  <si>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</si>
  <si>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</si>
  <si>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</si>
  <si>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</si>
  <si>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</si>
  <si>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</si>
  <si>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製錬業者の材料はすべてリサイクル業者又はスクラップサプライヤーから調達されていますか？</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</si>
  <si>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</si>
  <si>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</si>
  <si>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</si>
  <si>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</si>
  <si>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</si>
  <si>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旧製錬業者識別番号</t>
  </si>
  <si>
    <t>新製錬業者識別番号</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</si>
  <si>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</si>
  <si>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</si>
  <si>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</si>
  <si>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</si>
  <si>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</si>
  <si>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</si>
  <si>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</si>
  <si>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</si>
  <si>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</si>
  <si>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</si>
  <si>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</si>
  <si>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</si>
  <si>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</si>
  <si>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A ~ J 질문 답변 안내서(69~87줄).  어떤 광물에 대한 질문1 또는 질문2의 응답이 하나라도 "Yes"일 경우, A ~ J 질문 답변은 필수입니다.
답변은 반드시 영어로 기입해야 합니다.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</si>
  <si>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</si>
  <si>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 xml:space="preserve">A.  "Yes=예" 또는 No=아니오"로 답하시오. 추가 답변이 필요할 경우 코멘트 섹션에 작성하시오.  </t>
  </si>
  <si>
    <t xml:space="preserve">C.  "Yes=예" 또는 "No=아니오"로 답하시오.. 추가 답변이 필요한 경우 작성하시오.  "DRC Conflict Free"의 정의는 Definitions (정의) 워크 시트를 참조하십시오. </t>
  </si>
  <si>
    <t>H. "Yes" 또는 "No"로 답하시오. 주석란에서 귀사는 귀사의 방식에 대해 추가 정보를 제공할 수 있읍니다. 예를 들어:
 “제3자 감사” - 독립된 제3자에 의해 행해지는 귀사의 공급자에 대한 현장 감사.  
 “문서 검토만” - 독립된 제3자 및/또는 귀사의 인력에 의해 행해지는 공급자 제공 기록과 문서의 검토.    
 “내부 감사” - 귀사의 인력에 의해 행해지는 귀사 공급자에 대한 현장 감사.</t>
  </si>
  <si>
    <t>15. 제련소 원료가 100% 모두 재활용이나 폐품에서 나오나요? 만일 제련소가 제련과정의 투입물 모두를 재활용이나 폐품에서 얻는다면 "Yes"로 답하시오. 그렇지 않으면 "No"로 답하시오.</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</si>
  <si>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</si>
  <si>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</si>
  <si>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</si>
  <si>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</si>
  <si>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</si>
  <si>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</si>
  <si>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</si>
  <si>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</si>
  <si>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</si>
  <si>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</si>
  <si>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</si>
  <si>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</si>
  <si>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</si>
  <si>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</si>
  <si>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</si>
  <si>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</si>
  <si>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</si>
  <si>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</si>
  <si>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</si>
  <si>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</si>
  <si>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</si>
  <si>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</si>
  <si>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</si>
  <si>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</si>
  <si>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</si>
  <si>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</si>
  <si>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</si>
  <si>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</si>
  <si>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</si>
  <si>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</si>
  <si>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</si>
  <si>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</si>
  <si>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</si>
  <si>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</si>
  <si>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A. Avez-vous une politique en place sur l'approvisionnement des minerais de conflit ? </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</si>
  <si>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</si>
  <si>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</si>
  <si>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</si>
  <si>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 xml:space="preserve">H. Vérifiez-vous les informations de devoir de diligence reçues de vos fournisseurs par rapport aux attentes de votre entreprise? </t>
  </si>
  <si>
    <t>Oui</t>
  </si>
  <si>
    <t>Inconnu</t>
  </si>
  <si>
    <t>Oui, 100%</t>
  </si>
  <si>
    <t>Non, mais supérieur à 75%</t>
  </si>
  <si>
    <t>Non, mais supérieur à 50%</t>
  </si>
  <si>
    <t>Non, mais supérieur à 25%</t>
  </si>
  <si>
    <t>Non, mais inférieur à 25%</t>
  </si>
  <si>
    <t>Aucun</t>
  </si>
  <si>
    <t>Identifiant de la fonderie</t>
  </si>
  <si>
    <t>Noms standard des fonderies</t>
  </si>
  <si>
    <t>Alias connus</t>
  </si>
  <si>
    <t xml:space="preserve">Localisation de la fonderie : pays </t>
  </si>
  <si>
    <t>Nom de la fonderie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</si>
  <si>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</si>
  <si>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</si>
  <si>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</si>
  <si>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</si>
  <si>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</si>
  <si>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</si>
  <si>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</si>
  <si>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</si>
  <si>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H. Merci de répondre par "Oui" ou par "Non". Vous pouvez fournir des informations supplémentaires sur votre approche  dans le champ de commentaires. Par exemple:
  "Audit tierce partie" - audits sur site de vos fournisseurs  réalisés par des tiers indépendants.
  "Analyse documentaire seulement" - analyse des dossiers et documents remis par le fournisseur et réalisés par des tiers indépendants et, ou le personnel de votre entreprise.
  "Audit interne" -audits sur site de vos fournisseurs réalisés par le personnel de votre entreprise.</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</si>
  <si>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</si>
  <si>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Sélectionner le périmètre de Déclaration de votre entreprise. Les choix possibles sont :
A. Pour toute l'entreprise
B. Produit ( ou liste de produits)
C Défini par l'utilisateur</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</si>
  <si>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</si>
  <si>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</si>
  <si>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</si>
  <si>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</si>
  <si>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</si>
  <si>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</si>
  <si>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</si>
  <si>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</si>
  <si>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</si>
  <si>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</si>
  <si>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</si>
  <si>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</si>
  <si>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1.  Inserte el nombre legal de su compañía. Por favor no use abreviaciones</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</si>
  <si>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</si>
  <si>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</si>
  <si>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</si>
  <si>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</si>
  <si>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</si>
  <si>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</si>
  <si>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</si>
  <si>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</si>
  <si>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</si>
  <si>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Instrucciones para completar las preguntas A.-J. (renglones 69-87). Preguntas de la A a la J son obligatorias. Si la respuesta a la pregunta 1 o 2 es "Si" para cualquier metal.  Proporciones las respuestas en INGLES solamente.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</si>
  <si>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</si>
  <si>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</si>
  <si>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</si>
  <si>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</si>
  <si>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</si>
  <si>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</si>
  <si>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</si>
  <si>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</si>
  <si>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</si>
  <si>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</si>
  <si>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</si>
  <si>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</si>
  <si>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</si>
  <si>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</si>
  <si>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</si>
  <si>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</si>
  <si>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</si>
  <si>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</si>
  <si>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</si>
  <si>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</si>
  <si>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</si>
  <si>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</si>
  <si>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 xml:space="preserve">H.您是否有验证您的供应商所提交的审核鉴定信息符合贵公司的期望？ </t>
    <phoneticPr fontId="5" type="noConversion"/>
  </si>
  <si>
    <t>I.您的验证程序是否有包括纠正措施管理？</t>
    <phoneticPr fontId="5" type="noConversion"/>
  </si>
  <si>
    <t xml:space="preserve">J.您是否服从于美国证券交易委员会所公布的规定？ </t>
    <phoneticPr fontId="5" type="noConversion"/>
  </si>
  <si>
    <t>注释和附件</t>
    <phoneticPr fontId="5" type="noConversion"/>
  </si>
  <si>
    <t>是</t>
    <phoneticPr fontId="5" type="noConversion"/>
  </si>
  <si>
    <t>否</t>
    <phoneticPr fontId="5" type="noConversion"/>
  </si>
  <si>
    <t>不知道</t>
    <phoneticPr fontId="5" type="noConversion"/>
  </si>
  <si>
    <t>是，全部100%</t>
    <phoneticPr fontId="5" type="noConversion"/>
  </si>
  <si>
    <t>否，但超过75%</t>
    <phoneticPr fontId="5" type="noConversion"/>
  </si>
  <si>
    <t>否，但超过50%</t>
    <phoneticPr fontId="5" type="noConversion"/>
  </si>
  <si>
    <t>否，但超过25%</t>
    <phoneticPr fontId="5" type="noConversion"/>
  </si>
  <si>
    <t>否，但少于25%</t>
    <phoneticPr fontId="5" type="noConversion"/>
  </si>
  <si>
    <t>完全没有</t>
    <phoneticPr fontId="5" type="noConversion"/>
  </si>
  <si>
    <t>原用冶炼厂识别信息</t>
    <phoneticPr fontId="5" type="noConversion"/>
  </si>
  <si>
    <t>新用冶炼厂识别信息</t>
    <phoneticPr fontId="5" type="noConversion"/>
  </si>
  <si>
    <t xml:space="preserve">金属  </t>
    <phoneticPr fontId="5" type="noConversion"/>
  </si>
  <si>
    <t>冶炼厂标准名称</t>
    <phoneticPr fontId="5" type="noConversion"/>
  </si>
  <si>
    <t>所用的别名</t>
    <phoneticPr fontId="5" type="noConversion"/>
  </si>
  <si>
    <t>冶炼厂冶炼设施所在地（国家）</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</si>
  <si>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</si>
  <si>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</si>
  <si>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</si>
  <si>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</si>
  <si>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</si>
  <si>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</si>
  <si>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</si>
  <si>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</si>
  <si>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</si>
  <si>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</si>
  <si>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</si>
  <si>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</si>
  <si>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</si>
  <si>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</si>
  <si>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</si>
  <si>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</si>
  <si>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</si>
  <si>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</si>
  <si>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1. Insert your company's Legal Name.  Please do not use abbreviations</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</si>
  <si>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</si>
  <si>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</si>
  <si>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</si>
  <si>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</si>
  <si>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</si>
  <si>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</si>
  <si>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Instructions for completing Questions A. – J. (rows 69 - 87).  Questions A. through J. are mandatory if the response to Question 1 or 2 is “Yes” for any metal.
Provide answers in ENGLISH only</t>
  </si>
  <si>
    <t>A40</t>
  </si>
  <si>
    <t>J. Please answer “Yes” or “No”.  The SEC conflict minerals disclosure requirements apply to US exchange-traded companies that are subject to the US Securities Exchange Act. For more information please refer to www.sec.gov.</t>
  </si>
  <si>
    <t>I. Please answer “Yes” or “No”.  If “Yes”, please describe how you manage your corrective action process.</t>
  </si>
  <si>
    <t>H.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t>
  </si>
  <si>
    <t>G. Please answer “Yes” or “No”.  Provide any comments, if necessary.</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</si>
  <si>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</si>
  <si>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B. Please answer “Yes” or “No” If “Yes”, provide the web link in the comments section.</t>
  </si>
  <si>
    <t xml:space="preserve">A. Please answer “Yes” or “No”.  Provide any comments, if necessary. </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</si>
  <si>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</si>
  <si>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</si>
  <si>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</si>
  <si>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</si>
  <si>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</si>
  <si>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</si>
  <si>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</si>
  <si>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</si>
  <si>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</si>
  <si>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</si>
  <si>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</si>
  <si>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</si>
  <si>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répondre aux questions A. - J. (lignes 69-87). Les questions A. à J. sont obligatoires pour un métal spécifique  si la réponse à la question 1 ou 2 est "Oui" pour le métal considéré.
Merci de répondre en ANGLAIS uniquement.</t>
  </si>
  <si>
    <t xml:space="preserve">
C. Merci de répondre par "Oui" ou par "Non". Commenter si nécessaire. Voir la feuille de calcul 'Definitions' pour la définition de "RDC sans conflit".</t>
  </si>
  <si>
    <t>E. Merci de répondre «Oui» ou «Non» pour indiquer si votre entreprise a mis en place un devoir de diligence pour l'approvisionnement de minerais provenant de zones de conflit
ou à haut risque. Cette déclaration ne vise pas à fournir les détails du devoir de diligence de votre entreprise, mais juste à définir si l'entreprise a mis en œuvre ce devoir de diligence. L'acceptabilité des mesures du devoir de diligence doit être définie par le demandeur et le fournisseur.
Exemples de mesures concernant le devoir de diligence: la communication aux fournisseurs et l'insertion dans les contratsde vos attentes  en matière de métaux sans conflit  (si possible); l'identification et l'évaluation des risques dans la chaîne d'approvisionnement; la définition et la mise en œuvre d'une stratégie pour répondre aux risques identifiés; vérifier la conformité de vos fournisseurs vis à vis de leurs politiques de minerais sans conflit, etc. Ces exemples de mesures de devoir de diligence sont conformes avec les recommandations figurant dans le Guide de l'OCDE.</t>
  </si>
  <si>
    <t>I. Merci de répondre par "Oui" ou par "Non". Si "Oui", merci de décrire comment vous gérez votre processus d'actions correctives.</t>
  </si>
  <si>
    <t>J. Merci de répondre par "Oui" ou par "Non". Les exigences de communication de la SEC s’appliquent aux entreprises côtées en bourse aux Etats-Unis qui sont sujettes à l’US Securities Exchange Act. Pour plus d'informations, merci de vous référer à www.sec.gov</t>
  </si>
  <si>
    <t>Instructions pour compléter la liste des fonderies
Merci de répondre en ANGLAIS uniquement</t>
  </si>
  <si>
    <t>Remarque: Les colonnes avec un astérisque (*) indiquent des champs obligatoires</t>
  </si>
  <si>
    <t>Ce formulaire permet d'identifier les fonderies en utilisant la liste des fonderies identifiées. Les colonnes B, C, D et E doivent être remplies dans l'ordre de gauche à droite pour utiliser la fonction de liste des fonderies identifiées.
 Utilisez une ligne distincte pour chaque combinaison métal / fonderie / pays</t>
  </si>
  <si>
    <t>15. Est-ce que 100% des produits utilisés par la fonderie proviennent de fournisseurs de produits recyclés, rebuts de production ou déchets de consommation? - Merci répondre "Yes" si la fonderie utilise uniquement des produits recyclés, rebuts de production ou déchets de consommation pour le processus de fusion. Sinon, répondre "No".</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</si>
  <si>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</si>
  <si>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</si>
  <si>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</si>
  <si>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</si>
  <si>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</si>
  <si>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</si>
  <si>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</si>
  <si>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</si>
  <si>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</si>
  <si>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</si>
  <si>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</si>
  <si>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</si>
  <si>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</si>
  <si>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</si>
  <si>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</si>
  <si>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</si>
  <si>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</si>
  <si>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</si>
  <si>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</si>
  <si>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</si>
  <si>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</si>
  <si>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</si>
  <si>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</si>
  <si>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</si>
  <si>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</si>
  <si>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</si>
  <si>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</si>
  <si>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</si>
  <si>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</si>
  <si>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</si>
  <si>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</si>
  <si>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</si>
  <si>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</si>
  <si>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</si>
  <si>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</si>
  <si>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</si>
  <si>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</si>
  <si>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</si>
  <si>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</si>
  <si>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</si>
  <si>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</si>
  <si>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</si>
  <si>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</si>
  <si>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</si>
  <si>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</si>
  <si>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</si>
  <si>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</si>
  <si>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</si>
  <si>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</si>
  <si>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Lista dei riferimenti della fonderia</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</si>
  <si>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</si>
  <si>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</si>
  <si>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</si>
  <si>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</si>
  <si>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</si>
  <si>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</si>
  <si>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</si>
  <si>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</si>
  <si>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</si>
  <si>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</si>
  <si>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</si>
  <si>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</si>
  <si>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</si>
  <si>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Name (*)</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</si>
  <si>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</si>
  <si>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</si>
  <si>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</si>
  <si>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</si>
  <si>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</si>
  <si>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</si>
  <si>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</si>
  <si>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</si>
  <si>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</si>
  <si>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</si>
  <si>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</si>
  <si>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</si>
  <si>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</si>
  <si>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</si>
  <si>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</si>
  <si>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</si>
  <si>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</si>
  <si>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B87</t>
  </si>
  <si>
    <t>General</t>
  </si>
  <si>
    <t>Cpy</t>
  </si>
  <si>
    <t>Yes</t>
  </si>
  <si>
    <t>No</t>
  </si>
  <si>
    <t>Unknown</t>
  </si>
  <si>
    <t>Yes, 100%</t>
  </si>
  <si>
    <t xml:space="preserve">No, but greater than 75% </t>
  </si>
  <si>
    <t>No, but greater than 50%</t>
  </si>
  <si>
    <t>No, but greater than 25%</t>
  </si>
  <si>
    <t>None</t>
  </si>
  <si>
    <t>No, but less than 25%</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</si>
  <si>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</si>
  <si>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</si>
  <si>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</si>
  <si>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</si>
  <si>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</si>
  <si>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</si>
  <si>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</si>
  <si>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</si>
  <si>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</si>
  <si>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</si>
  <si>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</si>
  <si>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</si>
  <si>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</si>
  <si>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</si>
  <si>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</si>
  <si>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</si>
  <si>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</si>
  <si>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</si>
  <si>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</si>
  <si>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</si>
  <si>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</si>
  <si>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</si>
  <si>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</si>
  <si>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</si>
  <si>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</si>
  <si>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</si>
  <si>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</si>
  <si>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</si>
  <si>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</si>
  <si>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</si>
  <si>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</si>
  <si>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</si>
  <si>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</si>
  <si>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</si>
  <si>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</si>
  <si>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</si>
  <si>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</si>
  <si>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</si>
  <si>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</si>
  <si>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</si>
  <si>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</si>
  <si>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</si>
  <si>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</si>
  <si>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</si>
  <si>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</si>
  <si>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</si>
  <si>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</si>
  <si>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</si>
  <si>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</si>
  <si>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</si>
  <si>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</si>
  <si>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</si>
  <si>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</si>
  <si>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</si>
  <si>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</si>
  <si>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</si>
  <si>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</si>
  <si>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</si>
  <si>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</si>
  <si>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</si>
  <si>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</si>
  <si>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</si>
  <si>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</si>
  <si>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</si>
  <si>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</si>
  <si>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</si>
  <si>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</si>
  <si>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</si>
  <si>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</si>
  <si>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</si>
  <si>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</si>
  <si>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</si>
  <si>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</si>
  <si>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</si>
  <si>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</si>
  <si>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</si>
  <si>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</si>
  <si>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</si>
  <si>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</si>
  <si>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</si>
  <si>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 xml:space="preserve">G. 귀사는 협력사에게 제련소명을 제출하도록 요구하고 있습니까? </t>
  </si>
  <si>
    <t>H. 귀사는 협력사로부터 받은 실사 정보를 귀사의 기대에 준하여 검토 하십니까?</t>
  </si>
  <si>
    <t xml:space="preserve">I. 귀사의 정보 검토 프로세스는 개선 조치 관리를 포함하고 있습니까? </t>
  </si>
  <si>
    <t>예</t>
  </si>
  <si>
    <t>아니오</t>
  </si>
  <si>
    <t>파악되지 않음</t>
  </si>
  <si>
    <t>예, 100%</t>
  </si>
  <si>
    <t>아니오, 하지만 75% 이상</t>
  </si>
  <si>
    <t>아니오, 하지만 50% 이상</t>
  </si>
  <si>
    <t>아니오, 하지만 25% 이상</t>
  </si>
  <si>
    <t>아니오, 하지만 25% 미만</t>
  </si>
  <si>
    <t>없음</t>
  </si>
  <si>
    <t>제련소 이름  (*)</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</si>
  <si>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</si>
  <si>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</si>
  <si>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</si>
  <si>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</si>
  <si>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</si>
  <si>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</si>
  <si>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</si>
  <si>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</si>
  <si>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</si>
  <si>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</si>
  <si>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</si>
  <si>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</si>
  <si>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</si>
  <si>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구 제련소 ID</t>
  </si>
  <si>
    <t>신  제련소 ID</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</si>
  <si>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</si>
  <si>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</si>
  <si>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</si>
  <si>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</si>
  <si>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1. 输入贵公司的法定名称。请不要使用缩写。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</si>
  <si>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</si>
  <si>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</si>
  <si>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</si>
  <si>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</si>
  <si>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</si>
  <si>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</si>
  <si>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</si>
  <si>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</si>
  <si>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</si>
  <si>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</si>
  <si>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</si>
  <si>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问题A-问题J的填写说明（第69-87行）。如果对问题1或问题2就某种金属的答复是 “是”时， 问题A-问题J就必须作答。问题只限英文作答</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</si>
  <si>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</si>
  <si>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A. 请回答是(Yes)或不是(No)。如需要可加注释。</t>
    <phoneticPr fontId="5" type="noConversion"/>
  </si>
  <si>
    <t>B. 请回答是(Yes)或不是(No)，如果回答是（Yes）请在注释栏位内提供网址链接。</t>
    <phoneticPr fontId="5" type="noConversion"/>
  </si>
  <si>
    <t xml:space="preserve">C. 请回答是(Yes)或不是(No)。如有需要，请提建议。 请查阅定义表以了解“无刚果民主共和国的冲突”的定义。 </t>
    <phoneticPr fontId="5" type="noConversion"/>
  </si>
  <si>
    <t>G. 请回答是(Yes)或不是(No)。如有需要，请提建议</t>
    <phoneticPr fontId="5" type="noConversion"/>
  </si>
  <si>
    <t>I. 请回答是(Yes)或不是(No)。如回答“是（Yes）”，则请说明贵公司是如何实施纠正措施流程。</t>
    <phoneticPr fontId="5" type="noConversion"/>
  </si>
  <si>
    <t>J.请回答是(Yes)或不是(No)。美国证券交易委员会揭发冲突矿产的要求适用于所有遵循美国证券交易法的在美国证券交易所上市的公司。欲了解更多信息，请参阅www.sec.gov。</t>
    <phoneticPr fontId="5" type="noConversion"/>
  </si>
  <si>
    <t>冶炼厂名单工作表的填写说明。只限英文作答</t>
    <phoneticPr fontId="5" type="noConversion"/>
  </si>
  <si>
    <t>注：带星号（*）列表示此区域必须填写。</t>
    <phoneticPr fontId="5" type="noConversion"/>
  </si>
  <si>
    <t xml:space="preserve">此模板允许使用冶炼厂参考名单查询冶炼厂识别号码。 利用冶炼厂参考名单的功能，从左到右填写列B,C,D和E。                           每种金属、冶炼厂、国家联合需单独一行表示。 </t>
    <phoneticPr fontId="5" type="noConversion"/>
  </si>
  <si>
    <t xml:space="preserve">15. 冶炼厂用的原料100%全部来自回收料或报废料吗？ - 若冶炼厂仅使用回收料或报废料作为提炼原料而没有使用其它物料则答“是（Yes）”， 否则答“不是（No）”。 </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</si>
  <si>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</si>
  <si>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</si>
  <si>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</si>
  <si>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</si>
  <si>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</si>
  <si>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</si>
  <si>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</si>
  <si>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</si>
  <si>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</si>
  <si>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</si>
  <si>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</si>
  <si>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</si>
  <si>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</si>
  <si>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</si>
  <si>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</si>
  <si>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</si>
  <si>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</si>
  <si>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</si>
  <si>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</si>
  <si>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</si>
  <si>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</si>
  <si>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</si>
  <si>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</si>
  <si>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</si>
  <si>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</si>
  <si>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</si>
  <si>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</si>
  <si>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</si>
  <si>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</si>
  <si>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</si>
  <si>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</si>
  <si>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</si>
  <si>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</si>
  <si>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</si>
  <si>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</si>
  <si>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</si>
  <si>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</si>
  <si>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</si>
  <si>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</si>
  <si>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</si>
  <si>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</si>
  <si>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</si>
  <si>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</si>
  <si>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</si>
  <si>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</si>
  <si>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</si>
  <si>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</si>
  <si>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</si>
  <si>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</si>
  <si>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</si>
  <si>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</si>
  <si>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</si>
  <si>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</si>
  <si>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</si>
  <si>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</si>
  <si>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</si>
  <si>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</si>
  <si>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</si>
  <si>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</si>
  <si>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</si>
  <si>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</si>
  <si>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</si>
  <si>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</si>
  <si>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</si>
  <si>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</si>
  <si>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</si>
  <si>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</si>
  <si>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</si>
  <si>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</si>
  <si>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</si>
  <si>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</si>
  <si>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</si>
  <si>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C. Si prega di rispondere "SI" o "NO". Commentare se necessario. "DRC conflict-free" è definito dal  US Dodd-Frank Wall Street Reform and Consumer Protection Act come "prodotto non contenente minerali di conflitto che direttamente o indirettamente finanzino o portino beneficio a gruppi armati nella Repubblica Democratica del Congo o paesi confinanti.</t>
  </si>
  <si>
    <t xml:space="preserve">E. Si prega di rispondere "SI" o "NO". Esempi di misure relative al dovere di diligenza possono includere: comunicare ai fornitori ed incorporare nella contrattualistica (quando possibile) le vostre aspettative su una filiera di fornitura conflict-free; identificare e verificare i rischi relativi alla catena di approvigionamento; definire e rendere operativa una strategia per rispondere ai rischi identificati; verificare che la politica sui minerali conflict-free dei vostri fornitori diretti sia coerente con la vostra; etc. Tali esempi di misura dell'esercizio del dovere di diligenza sono coerenti con le linee guida internazionalmente riconoscute incluse nella Guida OECD </t>
  </si>
  <si>
    <t>G. Si prega di rispondere "SI" o "NO". Commentare se necessario</t>
  </si>
  <si>
    <t>H. Si prega di scegliere la risposta che definisca  nel modo maggiormente attendibile se e come la vostra azienda verifica le risposte dei fornitori.  
Si prega di far riferimento alle seguenti definizioni per rispondere: 
"Audit di parte terza" comprende gli audit realizzati sui siti produttivi dei vostri fornitori da una terza parte indipendente 
"Revisione esclusivamente documentale" si riferise alla revisione dei documenti forniti dai vostri fornitori, condotta dai una terza parte indipendente o dal personale interno alla vostra azienda
"Audit Interno" si riferisce agli audit eseguiti presso il sito dei vostri fornitori e condotti dal personale interno alla vostra azienda</t>
  </si>
  <si>
    <t>I. Si prega di rispondere "SI" o "NO". In caso di risposta affermativa (SI), si prega di dettagliare le modalità di gestione del processo di azione correttiva</t>
  </si>
  <si>
    <t>J. Si prega di rispondere "SI" o "NO". L'obbligo di divulgazione imposto dalla SEC si applica alle aziende quotate in borsa negli Stati Uniti e soggette all'US Securities Exchange Act. Per maggiori informazioni si prega di far riferimento al sito www.sec.gov</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</si>
  <si>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</si>
  <si>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</si>
  <si>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</si>
  <si>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</si>
  <si>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</si>
  <si>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</si>
  <si>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</si>
  <si>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</si>
  <si>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</si>
  <si>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</si>
  <si>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</si>
  <si>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</si>
  <si>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</si>
  <si>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</si>
  <si>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</si>
  <si>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</si>
  <si>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</si>
  <si>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</si>
  <si>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</si>
  <si>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</si>
  <si>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</si>
  <si>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</si>
  <si>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</si>
  <si>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</si>
  <si>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Linwu Xianggui Smelter Co</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</si>
  <si>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</si>
  <si>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</si>
  <si>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</si>
  <si>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</si>
  <si>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</si>
  <si>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</si>
  <si>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</si>
  <si>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</si>
  <si>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</si>
  <si>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</si>
  <si>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</si>
  <si>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</si>
  <si>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</si>
  <si>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Questo modulo permette di identificare la fonderia tramite la lista di riferimento delle fonderie. Le colonne B,C,D e E devono essere compilate in ordine da sinistra verso destra per utilizzare la funzione lista della lista di riferimento delle fonderie.
Utilizzare la linea di separazione per ogni metallo/fonderia/combinazione di Paese</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</si>
  <si>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</si>
  <si>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</si>
  <si>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</si>
  <si>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</si>
  <si>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</si>
  <si>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</si>
  <si>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</si>
  <si>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</si>
  <si>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</si>
  <si>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</si>
  <si>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</si>
  <si>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</si>
  <si>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</si>
  <si>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J.   "Yes=예" 또는 "No=아니오"로 답하시오.. 미국 SEC 분쟁광물 사용보고 공개 요구 사항은 미국 증권거래법의 적용을 받는 미국 주식 시장에 상장된 기업들에게 적용됩니다.  자세한 내용은 www.sec.gov</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</si>
  <si>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</si>
  <si>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</si>
  <si>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</si>
  <si>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</si>
  <si>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제련소 이름은 “제련소 표준이름 리스트”로 부터 확인이 가능합니다.  “제련소 표준이름 리스트”의 기능을 사용할 수 있도록 왼쪽에서 오른쪽으로 (즉 종행 B, C, D, E순서) 작성하시오. 각 금속/제련소/국가 콤비네이션에 대해 별도의 줄을 사용하시오.</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</si>
  <si>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</si>
  <si>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9"/>
  </si>
  <si>
    <t>A1</t>
  </si>
  <si>
    <t>A2</t>
  </si>
  <si>
    <t>A3</t>
  </si>
  <si>
    <t>A4</t>
  </si>
  <si>
    <t>A6</t>
  </si>
  <si>
    <t>A7</t>
  </si>
  <si>
    <t>A8</t>
  </si>
  <si>
    <t>A65</t>
  </si>
  <si>
    <t>A66</t>
  </si>
  <si>
    <t xml:space="preserve">15. Does 100% of the smelter’s feedstock originate from recycled or scrap sources?  - Please answer "Yes" if the smelter solely obtains inputs for its smelting process(es) from recycled or scrap sources. Answer "No" otherwise. </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</si>
  <si>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</si>
  <si>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</si>
  <si>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</si>
  <si>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</si>
  <si>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</si>
  <si>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</si>
  <si>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</si>
  <si>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</si>
  <si>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A73</t>
  </si>
  <si>
    <t>A74</t>
  </si>
  <si>
    <t>A75</t>
  </si>
  <si>
    <t>A76</t>
  </si>
  <si>
    <t>A77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</si>
  <si>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</si>
  <si>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</si>
  <si>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Old Smelter ID</t>
  </si>
  <si>
    <t>New Smelter ID</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</si>
  <si>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</si>
  <si>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</si>
  <si>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</si>
  <si>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</si>
  <si>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</si>
  <si>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</si>
  <si>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</si>
  <si>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</si>
  <si>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</si>
  <si>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</si>
  <si>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</si>
  <si>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</si>
  <si>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</si>
  <si>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</si>
  <si>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</si>
  <si>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</si>
  <si>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</si>
  <si>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</si>
  <si>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</si>
  <si>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</si>
  <si>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</si>
  <si>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</si>
  <si>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</si>
  <si>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</si>
  <si>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</si>
  <si>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</si>
  <si>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</si>
  <si>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</si>
  <si>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</si>
  <si>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</si>
  <si>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</si>
  <si>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</si>
  <si>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</si>
  <si>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</si>
  <si>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</si>
  <si>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</si>
  <si>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</si>
  <si>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</si>
  <si>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</si>
  <si>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</si>
  <si>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</si>
  <si>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</si>
  <si>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</si>
  <si>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</si>
  <si>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</si>
  <si>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</si>
  <si>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</si>
  <si>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</si>
  <si>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CID000988</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</si>
  <si>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</si>
  <si>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</si>
  <si>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</si>
  <si>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</si>
  <si>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</si>
  <si>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</si>
  <si>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</si>
  <si>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</si>
  <si>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</si>
  <si>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</si>
  <si>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</si>
  <si>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</si>
  <si>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</si>
  <si>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</si>
  <si>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</si>
  <si>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</si>
  <si>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</si>
  <si>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</si>
  <si>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</si>
  <si>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</si>
  <si>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</si>
  <si>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</si>
  <si>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</si>
  <si>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</si>
  <si>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</si>
  <si>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</si>
  <si>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</si>
  <si>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</si>
  <si>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</si>
  <si>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</si>
  <si>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</si>
  <si>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</si>
  <si>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</si>
  <si>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</si>
  <si>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</si>
  <si>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</si>
  <si>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</si>
  <si>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</si>
  <si>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</si>
  <si>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</si>
  <si>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</si>
  <si>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</si>
  <si>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</si>
  <si>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</si>
  <si>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</si>
  <si>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</si>
  <si>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</si>
  <si>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</si>
  <si>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</si>
  <si>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</si>
  <si>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</si>
  <si>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</si>
  <si>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</si>
  <si>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</si>
  <si>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</si>
  <si>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</si>
  <si>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</si>
  <si>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</si>
  <si>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</si>
  <si>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</si>
  <si>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</si>
  <si>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</si>
  <si>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</si>
  <si>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</si>
  <si>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</si>
  <si>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</si>
  <si>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</si>
  <si>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</si>
  <si>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</si>
  <si>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</si>
  <si>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</si>
  <si>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</si>
  <si>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</si>
  <si>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</si>
  <si>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</si>
  <si>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</si>
  <si>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</si>
  <si>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</si>
  <si>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</si>
  <si>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</si>
  <si>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</si>
  <si>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</si>
  <si>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</si>
  <si>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</si>
  <si>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</si>
  <si>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</si>
  <si>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Estanho de Rondônia S.A.</t>
  </si>
  <si>
    <t>CID000448</t>
  </si>
  <si>
    <t>CID000468</t>
  </si>
  <si>
    <t>CID000538</t>
  </si>
  <si>
    <t>CID000555</t>
  </si>
  <si>
    <t>CID000760</t>
  </si>
  <si>
    <t>CID000942</t>
  </si>
  <si>
    <t>CID001063</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</si>
  <si>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</si>
  <si>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</si>
  <si>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</si>
  <si>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</si>
  <si>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</si>
  <si>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</si>
  <si>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</si>
  <si>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</si>
  <si>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</si>
  <si>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</si>
  <si>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</si>
  <si>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</si>
  <si>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</si>
  <si>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</si>
  <si>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</si>
  <si>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</si>
  <si>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</si>
  <si>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</si>
  <si>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</si>
  <si>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</si>
  <si>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</si>
  <si>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</si>
  <si>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</si>
  <si>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</si>
  <si>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</si>
  <si>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</si>
  <si>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</si>
  <si>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</si>
  <si>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</si>
  <si>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</si>
  <si>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</si>
  <si>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</si>
  <si>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</si>
  <si>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</si>
  <si>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</si>
  <si>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</si>
  <si>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</si>
  <si>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</si>
  <si>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</si>
  <si>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</si>
  <si>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</si>
  <si>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CID000868</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</si>
  <si>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</si>
  <si>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</si>
  <si>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</si>
  <si>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</si>
  <si>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</si>
  <si>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</si>
  <si>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</si>
  <si>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</si>
  <si>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</si>
  <si>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</si>
  <si>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</si>
  <si>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</si>
  <si>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</si>
  <si>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1. 御社の正式名称を記入してください。省略形は使わないでください。</t>
  </si>
  <si>
    <t>4. 固有の識別番号又はコードの発行元を記入してください（「DUNS」「VAT」「顧客」等）。</t>
  </si>
  <si>
    <t>5. 御社の住所を省略せずに記入してください（番地、市、州/都道府県、国、郵便番号）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</si>
  <si>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</si>
  <si>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</si>
  <si>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</si>
  <si>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</si>
  <si>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</si>
  <si>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</si>
  <si>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</si>
  <si>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質問A～J（69～87行）の記入に関する解説。質問A～Jは、質問1又は2において、いずれかの金属で「Yes（はい）」の回答がある場合、必須となります。
回答は英語（半角）で入力してください。</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</si>
  <si>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J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</si>
  <si>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A.   「Yes（はい）」又は「No（いいえ）」でお答えください。必要に応じてコメントを記入してください。</t>
  </si>
  <si>
    <t>G. 「Yes（はい）」又は「No（いいえ）」でお答えください。必要に応じてコメントを記入してください。</t>
  </si>
  <si>
    <t>I.  「Yes（はい）」又は「No（いいえ）」でお答えください。「Yes（はい）」の場合、是正措置プロセスをどのように管理しているかを説明してください。</t>
  </si>
  <si>
    <t>J. 「Yes（はい）」又は「No（いいえ）」でお答えください。米国証券取引委員会の開示規定は、米国証券取引所法の対象となる米国で株式などの証券が取引される企業に適用されます。詳しい情報については、www.sec.gov.を参照してください。</t>
  </si>
  <si>
    <t>Smelter List（製錬業者リスト）シートの記入に関する解説
回答は英語（半角）で入力してください。</t>
  </si>
  <si>
    <t>注：(*)のある欄は必須項目です。</t>
  </si>
  <si>
    <t>このテンプレートは、製錬業者参照表を使用して製錬業者を識別できます。列B、C、DおよびEは、製錬業者参照表の機能を利用するために、左から右への順序で記入する必要があります。
金属/精錬所/国の組合せの何れかが異なる場合は、行を変えてそれぞれ個別に登録してください。</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</si>
  <si>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</si>
  <si>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</si>
  <si>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</si>
  <si>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</si>
  <si>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</si>
  <si>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</si>
  <si>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</si>
  <si>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</si>
  <si>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</si>
  <si>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</si>
  <si>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</si>
  <si>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</si>
  <si>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</si>
  <si>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</si>
  <si>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</si>
  <si>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</si>
  <si>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</si>
  <si>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</si>
  <si>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</si>
  <si>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</si>
  <si>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</si>
  <si>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</si>
  <si>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</si>
  <si>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</si>
  <si>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B. Merci de répondre par "Oui" ou par "Non". Fournir le lien vers le site Internet dans la section Commentaires</t>
  </si>
  <si>
    <t xml:space="preserve">G.  "Yes=예" 또는 "No=아니오"로 답하시오. 추가 답변이 필요할 경우 작성하시오. </t>
  </si>
  <si>
    <t>G. Merci de répondre par "Oui" ou par "Non". Commenter si nécessaire</t>
  </si>
  <si>
    <t>I.   "Yes=예" 또는 "No=아니오"로 답하시오. "Yes=예"라고 답한 경우, 개선 조치 프로세스를 어떻게 관리하고 있는지 작성하시오.</t>
  </si>
  <si>
    <t>J2</t>
    <phoneticPr fontId="29"/>
  </si>
  <si>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</si>
  <si>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</si>
  <si>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</si>
  <si>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</si>
  <si>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</si>
  <si>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</si>
  <si>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</si>
  <si>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</si>
  <si>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</si>
  <si>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</si>
  <si>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</si>
  <si>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</si>
  <si>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</si>
  <si>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</si>
  <si>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</si>
  <si>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</si>
  <si>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</si>
  <si>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</si>
  <si>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</si>
  <si>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</si>
  <si>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</si>
  <si>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</si>
  <si>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</si>
  <si>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</si>
  <si>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</si>
  <si>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</si>
  <si>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</si>
  <si>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</si>
  <si>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</si>
  <si>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</si>
  <si>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</si>
  <si>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</si>
  <si>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</si>
  <si>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</si>
  <si>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</si>
  <si>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</si>
  <si>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</si>
  <si>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</si>
  <si>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</si>
  <si>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</si>
  <si>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</si>
  <si>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</si>
  <si>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</si>
  <si>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</si>
  <si>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</si>
  <si>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</si>
  <si>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</si>
  <si>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</si>
  <si>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</si>
  <si>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</si>
  <si>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</si>
  <si>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</si>
  <si>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</si>
  <si>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</si>
  <si>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</si>
  <si>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</si>
  <si>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</si>
  <si>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</si>
  <si>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</si>
  <si>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</si>
  <si>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</si>
  <si>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</si>
  <si>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</si>
  <si>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</si>
  <si>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</si>
  <si>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</si>
  <si>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</si>
  <si>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</si>
  <si>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</si>
  <si>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</si>
  <si>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</si>
  <si>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</si>
  <si>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</si>
  <si>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</si>
  <si>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</si>
  <si>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ABW</t>
  </si>
  <si>
    <t>AGO</t>
  </si>
  <si>
    <t>AIA</t>
  </si>
  <si>
    <t>ALB</t>
  </si>
  <si>
    <t>AND</t>
  </si>
  <si>
    <t>ANT</t>
  </si>
  <si>
    <t>ARE</t>
  </si>
  <si>
    <t>ARG</t>
  </si>
  <si>
    <t>ARM</t>
  </si>
  <si>
    <t>ASM</t>
  </si>
  <si>
    <t>ATA</t>
  </si>
  <si>
    <t>ATF</t>
  </si>
  <si>
    <t>ATG</t>
  </si>
  <si>
    <t>AUS</t>
  </si>
  <si>
    <t>AUT</t>
  </si>
  <si>
    <t>AZE</t>
  </si>
  <si>
    <t>BDI</t>
  </si>
  <si>
    <t>BEL</t>
  </si>
  <si>
    <t>BEN</t>
  </si>
  <si>
    <t>BFA</t>
  </si>
  <si>
    <t>BGD</t>
  </si>
  <si>
    <t>BGR</t>
  </si>
  <si>
    <t>BHR</t>
  </si>
  <si>
    <t>BHS</t>
  </si>
  <si>
    <t>BIH</t>
  </si>
  <si>
    <t>BLR</t>
  </si>
  <si>
    <t>BLZ</t>
  </si>
  <si>
    <t>BMU</t>
  </si>
  <si>
    <t>BOL</t>
  </si>
  <si>
    <t>BRA</t>
  </si>
  <si>
    <t>BRB</t>
  </si>
  <si>
    <t>BRN</t>
  </si>
  <si>
    <t>BTN</t>
  </si>
  <si>
    <t>BVT</t>
  </si>
  <si>
    <t>BWA</t>
  </si>
  <si>
    <t>CAF</t>
  </si>
  <si>
    <t>CAN</t>
  </si>
  <si>
    <t>CCK</t>
  </si>
  <si>
    <t>CHE</t>
  </si>
  <si>
    <t>CHL</t>
  </si>
  <si>
    <t>CHN</t>
  </si>
  <si>
    <t>CIV</t>
  </si>
  <si>
    <t>CMR</t>
  </si>
  <si>
    <t>COG</t>
  </si>
  <si>
    <t>COK</t>
  </si>
  <si>
    <t>COL</t>
  </si>
  <si>
    <t>COM</t>
  </si>
  <si>
    <t>CPV</t>
  </si>
  <si>
    <t>CRI</t>
  </si>
  <si>
    <t>CUB</t>
  </si>
  <si>
    <t>CXR</t>
  </si>
  <si>
    <t>CYM</t>
  </si>
  <si>
    <t>CYP</t>
  </si>
  <si>
    <t>CZE</t>
  </si>
  <si>
    <t>DEU</t>
  </si>
  <si>
    <t>DJI</t>
  </si>
  <si>
    <t>DMA</t>
  </si>
  <si>
    <t>DNK</t>
  </si>
  <si>
    <t>DOM</t>
  </si>
  <si>
    <t>DZA</t>
  </si>
  <si>
    <t>ECU</t>
  </si>
  <si>
    <t>EGY</t>
  </si>
  <si>
    <t>ERI</t>
  </si>
  <si>
    <t>ESH</t>
  </si>
  <si>
    <t>ESP</t>
  </si>
  <si>
    <t>EST</t>
  </si>
  <si>
    <t>ETH</t>
  </si>
  <si>
    <t>FIN</t>
  </si>
  <si>
    <t>FJI</t>
  </si>
  <si>
    <t>FLK</t>
  </si>
  <si>
    <t>FRA</t>
  </si>
  <si>
    <t>FRO</t>
  </si>
  <si>
    <t>FSM</t>
  </si>
  <si>
    <t>FXX</t>
  </si>
  <si>
    <t>GAB</t>
  </si>
  <si>
    <t>GBR</t>
  </si>
  <si>
    <t>GEO</t>
  </si>
  <si>
    <t>GHA</t>
  </si>
  <si>
    <t>GIB</t>
  </si>
  <si>
    <t>GIN</t>
  </si>
  <si>
    <t>GLP</t>
  </si>
  <si>
    <t>GMB</t>
  </si>
  <si>
    <t>GNB</t>
  </si>
  <si>
    <t>GNQ</t>
  </si>
  <si>
    <t>GRC</t>
  </si>
  <si>
    <t>GRD</t>
  </si>
  <si>
    <t>GRL</t>
  </si>
  <si>
    <t>GTM</t>
  </si>
  <si>
    <t>GUF</t>
  </si>
  <si>
    <t>GUM</t>
  </si>
  <si>
    <t>GUY</t>
  </si>
  <si>
    <t>HKG</t>
  </si>
  <si>
    <t>HMD</t>
  </si>
  <si>
    <t>HND</t>
  </si>
  <si>
    <t>HRV</t>
  </si>
  <si>
    <t>HTI</t>
  </si>
  <si>
    <t>HUN</t>
  </si>
  <si>
    <t>IDN</t>
  </si>
  <si>
    <t>IND</t>
  </si>
  <si>
    <t>IOT</t>
  </si>
  <si>
    <t>IRL</t>
  </si>
  <si>
    <t>IRN</t>
  </si>
  <si>
    <t>IRQ</t>
  </si>
  <si>
    <t>ISL</t>
  </si>
  <si>
    <t>ISR</t>
  </si>
  <si>
    <t>ITA</t>
  </si>
  <si>
    <t>JAM</t>
  </si>
  <si>
    <t>JOR</t>
  </si>
  <si>
    <t>JPN</t>
  </si>
  <si>
    <t>KAZ</t>
  </si>
  <si>
    <t>KEN</t>
  </si>
  <si>
    <t>KGZ</t>
  </si>
  <si>
    <t>KHM</t>
  </si>
  <si>
    <t>KIR</t>
  </si>
  <si>
    <t>KNA</t>
  </si>
  <si>
    <t>KOR</t>
  </si>
  <si>
    <t>KWT</t>
  </si>
  <si>
    <t>LAO</t>
  </si>
  <si>
    <t>LBN</t>
  </si>
  <si>
    <t>LBR</t>
  </si>
  <si>
    <t>LBY</t>
  </si>
  <si>
    <t>LCA</t>
  </si>
  <si>
    <t>LIE</t>
  </si>
  <si>
    <t>LKA</t>
  </si>
  <si>
    <t>LSO</t>
  </si>
  <si>
    <t>LTU</t>
  </si>
  <si>
    <t>LUX</t>
  </si>
  <si>
    <t>LVA</t>
  </si>
  <si>
    <t>MAC</t>
  </si>
  <si>
    <t>MAR</t>
  </si>
  <si>
    <t>MCO</t>
  </si>
  <si>
    <t>MDA</t>
  </si>
  <si>
    <t>MDG</t>
  </si>
  <si>
    <t>MDV</t>
  </si>
  <si>
    <t>MEX</t>
  </si>
  <si>
    <t>MHL</t>
  </si>
  <si>
    <t>MKD</t>
  </si>
  <si>
    <t>MLI</t>
  </si>
  <si>
    <t>MLT</t>
  </si>
  <si>
    <t>MMR</t>
  </si>
  <si>
    <t>MNG</t>
  </si>
  <si>
    <t>MNP</t>
  </si>
  <si>
    <t>MOZ</t>
  </si>
  <si>
    <t>MRT</t>
  </si>
  <si>
    <t>MSR</t>
  </si>
  <si>
    <t>MTQ</t>
  </si>
  <si>
    <t>MUS</t>
  </si>
  <si>
    <t>MWI</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</si>
  <si>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</si>
  <si>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</si>
  <si>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</si>
  <si>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</si>
  <si>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</si>
  <si>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</si>
  <si>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</si>
  <si>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KOREA, DEMOCRATIC PEOPLE'S REPUBLIC OF</t>
  </si>
  <si>
    <t>PORTUGAL</t>
  </si>
  <si>
    <t>PARAGUAY</t>
  </si>
  <si>
    <t>FRENCH POLYNESIA</t>
  </si>
  <si>
    <t>QATAR</t>
  </si>
  <si>
    <t>REUNION</t>
  </si>
  <si>
    <t>ROMANIA</t>
  </si>
  <si>
    <t>RUSSIAN FEDERATION</t>
  </si>
  <si>
    <t>RWANDA</t>
  </si>
  <si>
    <t>SAUDI ARABIA</t>
  </si>
  <si>
    <t>SUDAN</t>
  </si>
  <si>
    <t>SENEGAL</t>
  </si>
  <si>
    <t>SINGAPORE</t>
  </si>
  <si>
    <t>SOUTH GEORGIA AND THE SOUTH SANDWICH ISLANDS</t>
  </si>
  <si>
    <t>ST. HELENA</t>
  </si>
  <si>
    <t>SVALBARD AND JAN MAYEN ISLANDS</t>
  </si>
  <si>
    <t>SOLOMON ISLANDS</t>
  </si>
  <si>
    <t>SIERRA LEONE</t>
  </si>
  <si>
    <t>EL SALVADOR</t>
  </si>
  <si>
    <t>SAN MARINO</t>
  </si>
  <si>
    <t>SOMALIA</t>
  </si>
  <si>
    <t>ST. PIERRE AND MIQUELON</t>
  </si>
  <si>
    <t>SAO TOME AND PRINCIPE</t>
  </si>
  <si>
    <t>SURINAME</t>
  </si>
  <si>
    <t>SLOVAKIA (Slovak Republic)</t>
  </si>
  <si>
    <t>SLOVENIA</t>
  </si>
  <si>
    <t>SWEDEN</t>
  </si>
  <si>
    <t>SWAZILAND</t>
  </si>
  <si>
    <t>SEYCHELLES</t>
  </si>
  <si>
    <t>SYRIAN ARAB REPUBLIC</t>
  </si>
  <si>
    <t>TURKS AND CAICOS ISLANDS</t>
  </si>
  <si>
    <t>CHAD</t>
  </si>
  <si>
    <t>TOGO</t>
  </si>
  <si>
    <t>THAILAND</t>
  </si>
  <si>
    <t>TAJIKISTAN</t>
  </si>
  <si>
    <t>TOKELAU</t>
  </si>
  <si>
    <t>TURKMENISTAN</t>
  </si>
  <si>
    <t>EAST TIMOR</t>
  </si>
  <si>
    <t>TONGA</t>
  </si>
  <si>
    <t>TRINIDAD AND TOBAGO</t>
  </si>
  <si>
    <t>TUNISIA</t>
  </si>
  <si>
    <t>TURKEY</t>
  </si>
  <si>
    <t>TUVALU</t>
  </si>
  <si>
    <t>TAIWAN</t>
  </si>
  <si>
    <t>TANZANIA, UNITED REPUBLIC OF</t>
  </si>
  <si>
    <t>UGANDA</t>
  </si>
  <si>
    <t>UKRAINE</t>
  </si>
  <si>
    <t>UNITED STATES MINOR OUTLYING ISLANDS</t>
  </si>
  <si>
    <t>URUGUAY</t>
  </si>
  <si>
    <t>UNITED STATES</t>
  </si>
  <si>
    <t>UZBEKISTAN</t>
  </si>
  <si>
    <t>VATICAN CITY STATE (HOLY SEE)</t>
  </si>
  <si>
    <t>SAINT VINCENT AND THE GRENADINES</t>
  </si>
  <si>
    <t>VENEZUELA</t>
  </si>
  <si>
    <t>VIRGIN ISLANDS (BRITISH)</t>
  </si>
  <si>
    <t>VIRGIN ISLANDS (U.S.)</t>
  </si>
  <si>
    <t>VIET NAM</t>
  </si>
  <si>
    <t>VANUATU</t>
  </si>
  <si>
    <t>WALLIS AND FUTUNA ISLANDS</t>
  </si>
  <si>
    <t>SAMOA</t>
  </si>
  <si>
    <t>YEMEN</t>
  </si>
  <si>
    <t>YUGOSLAVIA</t>
  </si>
  <si>
    <t>SOUTH AFRICA</t>
  </si>
  <si>
    <t>ZAIRE</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</si>
  <si>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</si>
  <si>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</si>
  <si>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</si>
  <si>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</si>
  <si>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</si>
  <si>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</si>
  <si>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</si>
  <si>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</si>
  <si>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</si>
  <si>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</si>
  <si>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</si>
  <si>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</si>
  <si>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</si>
  <si>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</si>
  <si>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</si>
  <si>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</si>
  <si>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</si>
  <si>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</si>
  <si>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</si>
  <si>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</si>
  <si>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</si>
  <si>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</si>
  <si>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</si>
  <si>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</si>
  <si>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</si>
  <si>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</si>
  <si>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</si>
  <si>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</si>
  <si>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</si>
  <si>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</si>
  <si>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</si>
  <si>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</si>
  <si>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</si>
  <si>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</si>
  <si>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</si>
  <si>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</si>
  <si>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</si>
  <si>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</si>
  <si>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</si>
  <si>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</si>
  <si>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</si>
  <si>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</si>
  <si>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</si>
  <si>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</si>
  <si>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</si>
  <si>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</si>
  <si>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</si>
  <si>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</si>
  <si>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</si>
  <si>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</si>
  <si>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</si>
  <si>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</si>
  <si>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</si>
  <si>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</si>
  <si>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</si>
  <si>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</si>
  <si>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</si>
  <si>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</si>
  <si>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</si>
  <si>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</si>
  <si>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</si>
  <si>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</si>
  <si>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</si>
  <si>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</si>
  <si>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</si>
  <si>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</si>
  <si>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</si>
  <si>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</si>
  <si>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</si>
  <si>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</si>
  <si>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</si>
  <si>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</si>
  <si>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</si>
  <si>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</si>
  <si>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</si>
  <si>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</si>
  <si>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</si>
  <si>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</si>
  <si>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</si>
  <si>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</si>
  <si>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</si>
  <si>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</si>
  <si>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</si>
  <si>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</si>
  <si>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</si>
  <si>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</si>
  <si>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</si>
  <si>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</si>
  <si>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</si>
  <si>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</si>
  <si>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</si>
  <si>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</si>
  <si>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</si>
  <si>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</si>
  <si>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</si>
  <si>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</si>
  <si>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</si>
  <si>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</si>
  <si>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</si>
  <si>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</si>
  <si>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</si>
  <si>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</si>
  <si>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</si>
  <si>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</si>
  <si>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</si>
  <si>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</si>
  <si>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</si>
  <si>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</si>
  <si>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</si>
  <si>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</si>
  <si>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</si>
  <si>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</si>
  <si>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</si>
  <si>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</si>
  <si>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</si>
  <si>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</si>
  <si>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</si>
  <si>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</si>
  <si>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</si>
  <si>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</si>
  <si>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</si>
  <si>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</si>
  <si>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</si>
  <si>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</si>
  <si>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 xml:space="preserve">A. 귀사는 분쟁기여광물 사용 금지를 위한 구매 관련 정책이 있습니까? </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</si>
  <si>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</si>
  <si>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</si>
  <si>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</si>
  <si>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</si>
  <si>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</si>
  <si>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</si>
  <si>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</si>
  <si>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</si>
  <si>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</si>
  <si>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</si>
  <si>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</si>
  <si>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</si>
  <si>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</si>
  <si>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</si>
  <si>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</si>
  <si>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</si>
  <si>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</si>
  <si>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</si>
  <si>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</si>
  <si>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</si>
  <si>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</si>
  <si>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</si>
  <si>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</si>
  <si>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</si>
  <si>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</si>
  <si>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</si>
  <si>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</si>
  <si>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</si>
  <si>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</si>
  <si>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</si>
  <si>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</si>
  <si>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</si>
  <si>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J.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</si>
  <si>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</si>
  <si>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</si>
  <si>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</si>
  <si>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</si>
  <si>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</si>
  <si>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</si>
  <si>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</si>
  <si>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</si>
  <si>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</si>
  <si>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</si>
  <si>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Reguläre Namen der Schmelzhütten(*)</t>
  </si>
  <si>
    <t>Schmelzhütten-Standort: Land (*)</t>
  </si>
  <si>
    <t>Schmelzhütten-Standort: Straße</t>
  </si>
  <si>
    <t>Schmelzhütten-Standort: Stadt</t>
  </si>
  <si>
    <t>Schmelzhütten-Standort: Bundesland/Provinz</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</si>
  <si>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</si>
  <si>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</si>
  <si>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</si>
  <si>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</si>
  <si>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</si>
  <si>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</si>
  <si>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</si>
  <si>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</si>
  <si>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</si>
  <si>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</si>
  <si>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</si>
  <si>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</si>
  <si>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</si>
  <si>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</si>
  <si>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</si>
  <si>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</si>
  <si>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</si>
  <si>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</si>
  <si>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</si>
  <si>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1.  귀사의 법적인 공식 명칭을 기입하시오. 축약된 명칭을 기입하면 안됩니다.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</si>
  <si>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</si>
  <si>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</si>
  <si>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A. Bitte mit "Ja" oder "Nein" antworten. Machen Sie Anmerkungen, falls notwendig.</t>
  </si>
  <si>
    <t>B. Bitte mit "Ja" oder "Nein" antworten. Geben Sie einen Web-Link im Kommentarbereich ein.</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</si>
  <si>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</si>
  <si>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</si>
  <si>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</si>
  <si>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</si>
  <si>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</si>
  <si>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</si>
  <si>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</si>
  <si>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</si>
  <si>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</si>
  <si>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</si>
  <si>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</si>
  <si>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</si>
  <si>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</si>
  <si>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</si>
  <si>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</si>
  <si>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</si>
  <si>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</si>
  <si>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</si>
  <si>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</si>
  <si>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</si>
  <si>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</si>
  <si>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</si>
  <si>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</si>
  <si>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</si>
  <si>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</si>
  <si>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</si>
  <si>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</si>
  <si>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</si>
  <si>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</si>
  <si>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</si>
  <si>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</si>
  <si>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</si>
  <si>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</si>
  <si>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</si>
  <si>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</si>
  <si>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</si>
  <si>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</si>
  <si>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</si>
  <si>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</si>
  <si>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</si>
  <si>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</si>
  <si>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</si>
  <si>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</si>
  <si>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</si>
  <si>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</si>
  <si>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</si>
  <si>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</si>
  <si>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</si>
  <si>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</si>
  <si>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</si>
  <si>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</si>
  <si>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</si>
  <si>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</si>
  <si>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</si>
  <si>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</si>
  <si>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</si>
  <si>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</si>
  <si>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</si>
  <si>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</si>
  <si>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</si>
  <si>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</si>
  <si>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</si>
  <si>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</si>
  <si>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</si>
  <si>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</si>
  <si>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</si>
  <si>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</si>
  <si>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</si>
  <si>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</si>
  <si>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</si>
  <si>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</si>
  <si>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</si>
  <si>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</si>
  <si>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Smelter Reference List (*)</t>
  </si>
  <si>
    <t>製錬業者参照表(*)</t>
  </si>
  <si>
    <t>제련소 참조 리스트(*)</t>
  </si>
  <si>
    <t>Liste des fonderies référencées(*)</t>
  </si>
  <si>
    <t>Schmelzhütten-Referenz-Liste(*)</t>
  </si>
  <si>
    <t>Lista de referencia de fundidores(*)</t>
  </si>
  <si>
    <t>MYS</t>
  </si>
  <si>
    <t>MYT</t>
  </si>
  <si>
    <t>NAM</t>
  </si>
  <si>
    <t>NCL</t>
  </si>
  <si>
    <t>NER</t>
  </si>
  <si>
    <t>NFK</t>
  </si>
  <si>
    <t>NGA</t>
  </si>
  <si>
    <t>NIC</t>
  </si>
  <si>
    <t>NIU</t>
  </si>
  <si>
    <t>NLD</t>
  </si>
  <si>
    <t>NOR</t>
  </si>
  <si>
    <t>NPL</t>
  </si>
  <si>
    <t>NRU</t>
  </si>
  <si>
    <t>NZL</t>
  </si>
  <si>
    <t>OMN</t>
  </si>
  <si>
    <t>PAK</t>
  </si>
  <si>
    <t>PAN</t>
  </si>
  <si>
    <t>PCN</t>
  </si>
  <si>
    <t>PER</t>
  </si>
  <si>
    <t>PHL</t>
  </si>
  <si>
    <t>PLW</t>
  </si>
  <si>
    <t>PNG</t>
  </si>
  <si>
    <t>POL</t>
  </si>
  <si>
    <t>PRI</t>
  </si>
  <si>
    <t>PRK</t>
  </si>
  <si>
    <t>PRT</t>
  </si>
  <si>
    <t>PRY</t>
  </si>
  <si>
    <t>PYF</t>
  </si>
  <si>
    <t>QAT</t>
  </si>
  <si>
    <t>REU</t>
  </si>
  <si>
    <t>ROM</t>
  </si>
  <si>
    <t>RUS</t>
  </si>
  <si>
    <t>RWA</t>
  </si>
  <si>
    <t>SAU</t>
  </si>
  <si>
    <t>SDN</t>
  </si>
  <si>
    <t>SEN</t>
  </si>
  <si>
    <t>SGP</t>
  </si>
  <si>
    <t>SGS</t>
  </si>
  <si>
    <t>SHN</t>
  </si>
  <si>
    <t>SJM</t>
  </si>
  <si>
    <t>SLB</t>
  </si>
  <si>
    <t>SLE</t>
  </si>
  <si>
    <t>SLV</t>
  </si>
  <si>
    <t>SMR</t>
  </si>
  <si>
    <t>SOM</t>
  </si>
  <si>
    <t>SPM</t>
  </si>
  <si>
    <t>STP</t>
  </si>
  <si>
    <t>SUR</t>
  </si>
  <si>
    <t>SVK</t>
  </si>
  <si>
    <t>SVN</t>
  </si>
  <si>
    <t>SWE</t>
  </si>
  <si>
    <t>SWZ</t>
  </si>
  <si>
    <t>SYC</t>
  </si>
  <si>
    <t>SYR</t>
  </si>
  <si>
    <t>TCA</t>
  </si>
  <si>
    <t>TCD</t>
  </si>
  <si>
    <t>TGO</t>
  </si>
  <si>
    <t>THA</t>
  </si>
  <si>
    <t>TJK</t>
  </si>
  <si>
    <t>TKL</t>
  </si>
  <si>
    <t>TKM</t>
  </si>
  <si>
    <t>TMP</t>
  </si>
  <si>
    <t>TON</t>
  </si>
  <si>
    <t>TTO</t>
  </si>
  <si>
    <t>TUN</t>
  </si>
  <si>
    <t>TUR</t>
  </si>
  <si>
    <t>TUV</t>
  </si>
  <si>
    <t>TWN</t>
  </si>
  <si>
    <t>TZA</t>
  </si>
  <si>
    <t>UGA</t>
  </si>
  <si>
    <t>UKR</t>
  </si>
  <si>
    <t>UMI</t>
  </si>
  <si>
    <t>URY</t>
  </si>
  <si>
    <t>USA</t>
  </si>
  <si>
    <t>UZB</t>
  </si>
  <si>
    <t>VAT</t>
  </si>
  <si>
    <t>VCT</t>
  </si>
  <si>
    <t>VEN</t>
  </si>
  <si>
    <t>VGB</t>
  </si>
  <si>
    <t>VIR</t>
  </si>
  <si>
    <t>VNM</t>
  </si>
  <si>
    <t>VUT</t>
  </si>
  <si>
    <t>WLF</t>
  </si>
  <si>
    <t>WSM</t>
  </si>
  <si>
    <t>YEM</t>
  </si>
  <si>
    <t>YUG</t>
  </si>
  <si>
    <t>ZAF</t>
  </si>
  <si>
    <t>ZAR</t>
  </si>
  <si>
    <t>ZMB</t>
  </si>
  <si>
    <t>ZWE</t>
  </si>
  <si>
    <t>full name</t>
  </si>
  <si>
    <t>ARUBA</t>
  </si>
  <si>
    <t>ANGOLA</t>
  </si>
  <si>
    <t>ANGUILLA</t>
  </si>
  <si>
    <t>ALBANIA</t>
  </si>
  <si>
    <t>ANDORRA</t>
  </si>
  <si>
    <t>NETHERLANDS ANTILLES</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</si>
  <si>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</si>
  <si>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</si>
  <si>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</si>
  <si>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</si>
  <si>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</si>
  <si>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</si>
  <si>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</si>
  <si>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</si>
  <si>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</si>
  <si>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</si>
  <si>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</si>
  <si>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</si>
  <si>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</si>
  <si>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</si>
  <si>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</si>
  <si>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</si>
  <si>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</si>
  <si>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</si>
  <si>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</si>
  <si>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</si>
  <si>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</si>
  <si>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</si>
  <si>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BOLIVIA</t>
  </si>
  <si>
    <t>BRAZIL</t>
  </si>
  <si>
    <t>BARBADOS</t>
  </si>
  <si>
    <t>BRUNEI DARUSSALAM</t>
  </si>
  <si>
    <t>BHUTAN</t>
  </si>
  <si>
    <t>BOUVET ISLAND</t>
  </si>
  <si>
    <t>BOTSWANA</t>
  </si>
  <si>
    <t>CENTRAL AFRICAN REPUBLIC</t>
  </si>
  <si>
    <t>CANADA</t>
  </si>
  <si>
    <t>COCOS (KEELING) ISLANDS</t>
  </si>
  <si>
    <t>SWITZERLAND</t>
  </si>
  <si>
    <t>CHILE</t>
  </si>
  <si>
    <t>CHINA</t>
  </si>
  <si>
    <t>COTE D'IVOIRE</t>
  </si>
  <si>
    <t>CAMEROON</t>
  </si>
  <si>
    <t>CONGO</t>
  </si>
  <si>
    <t>COOK ISLANDS</t>
  </si>
  <si>
    <t>COLOMBIA</t>
  </si>
  <si>
    <t>COMOROS</t>
  </si>
  <si>
    <t>CAPE VERDE</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</si>
  <si>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</si>
  <si>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</si>
  <si>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</si>
  <si>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</si>
  <si>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</si>
  <si>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</si>
  <si>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</si>
  <si>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</si>
  <si>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</si>
  <si>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</si>
  <si>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</si>
  <si>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</si>
  <si>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</si>
  <si>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</si>
  <si>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</si>
  <si>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WESTERN SAHARA</t>
  </si>
  <si>
    <t>SPAIN</t>
  </si>
  <si>
    <t>ESTONIA</t>
  </si>
  <si>
    <t>ETHIOPIA</t>
  </si>
  <si>
    <t>FINLAND</t>
  </si>
  <si>
    <t>FIJI</t>
  </si>
  <si>
    <t>FALKLAND ISLANDS (MALVINAS)</t>
  </si>
  <si>
    <t>FRANCE</t>
  </si>
  <si>
    <t>FAROE ISLANDS</t>
  </si>
  <si>
    <t>MICRONESIA, FEDERATED STATES OF</t>
  </si>
  <si>
    <t>FRANCE, METROPOLITAN</t>
  </si>
  <si>
    <t>GABON</t>
  </si>
  <si>
    <t>UNITED KINGDOM</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</si>
  <si>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</si>
  <si>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</si>
  <si>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</si>
  <si>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</si>
  <si>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</si>
  <si>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</si>
  <si>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</si>
  <si>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</si>
  <si>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</si>
  <si>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</si>
  <si>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</si>
  <si>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</si>
  <si>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</si>
  <si>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</si>
  <si>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</si>
  <si>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</si>
  <si>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HEARD AND MC DONALD ISLANDS</t>
  </si>
  <si>
    <t>HONDURAS</t>
  </si>
  <si>
    <t>CROATIA (local name: Hrvatska)</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</si>
  <si>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</si>
  <si>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</si>
  <si>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</si>
  <si>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</si>
  <si>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</si>
  <si>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</si>
  <si>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</si>
  <si>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</si>
  <si>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</si>
  <si>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</si>
  <si>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</si>
  <si>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</si>
  <si>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</si>
  <si>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</si>
  <si>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</si>
  <si>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</si>
  <si>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</si>
  <si>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</si>
  <si>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</si>
  <si>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</si>
  <si>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</si>
  <si>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</si>
  <si>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LAOS PEOPLE'S DEMOCRATIC REPUBLIC</t>
  </si>
  <si>
    <t>LEBANON</t>
  </si>
  <si>
    <t>LIBERIA</t>
  </si>
  <si>
    <t>LIBYAN ARAB JAMAHIRIYA</t>
  </si>
  <si>
    <t>SAINT LUCIA</t>
  </si>
  <si>
    <t>LIECHTENSTEIN</t>
  </si>
  <si>
    <t>SRI LANKA</t>
  </si>
  <si>
    <t>LESOTHO</t>
  </si>
  <si>
    <t>LITHUANIA</t>
  </si>
  <si>
    <t>LUXEMBOURG</t>
  </si>
  <si>
    <t>LATVIA</t>
  </si>
  <si>
    <t>MACAU</t>
  </si>
  <si>
    <t>MOROCCO</t>
  </si>
  <si>
    <t>MONACO</t>
  </si>
  <si>
    <t>MOLDOVA, REPUBLIC OF</t>
  </si>
  <si>
    <t>MADAGASCAR</t>
  </si>
  <si>
    <t>MALDIVES</t>
  </si>
  <si>
    <t>MEXICO</t>
  </si>
  <si>
    <t>MARSHALL ISLANDS</t>
  </si>
  <si>
    <t>MACEDONIA, THE FORMER YUGOSLAV REPUBLIC OF</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</si>
  <si>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</si>
  <si>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</si>
  <si>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</si>
  <si>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</si>
  <si>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</si>
  <si>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</si>
  <si>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</si>
  <si>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</si>
  <si>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</si>
  <si>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</si>
  <si>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</si>
  <si>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</si>
  <si>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</si>
  <si>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</si>
  <si>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</si>
  <si>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</si>
  <si>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</si>
  <si>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</si>
  <si>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</si>
  <si>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</si>
  <si>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</si>
  <si>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</si>
  <si>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</si>
  <si>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</si>
  <si>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</si>
  <si>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</si>
  <si>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</si>
  <si>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</si>
  <si>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</si>
  <si>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</si>
  <si>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</si>
  <si>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</si>
  <si>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</si>
  <si>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</si>
  <si>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</si>
  <si>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</si>
  <si>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</si>
  <si>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</si>
  <si>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</si>
  <si>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</si>
  <si>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</si>
  <si>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</si>
  <si>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</si>
  <si>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</si>
  <si>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Western Australian Mint trading as The Perth Mint</t>
  </si>
  <si>
    <t>Gold</t>
  </si>
  <si>
    <t>Tin</t>
  </si>
  <si>
    <t>Tantalum</t>
  </si>
  <si>
    <t>Tungsten</t>
  </si>
  <si>
    <t>Metall (*)</t>
  </si>
  <si>
    <t>Metal(*)</t>
  </si>
  <si>
    <t>Localisation de la fonderie : Pays (*)</t>
  </si>
  <si>
    <t>Schmelzhütte Standort: Land</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</si>
  <si>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</si>
  <si>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</si>
  <si>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</si>
  <si>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</si>
  <si>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</si>
  <si>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</si>
  <si>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</si>
  <si>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</si>
  <si>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</si>
  <si>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</si>
  <si>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</si>
  <si>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</si>
  <si>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</si>
  <si>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</si>
  <si>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</si>
  <si>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</si>
  <si>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</si>
  <si>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</si>
  <si>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</si>
  <si>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</si>
  <si>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</si>
  <si>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</si>
  <si>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</si>
  <si>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</si>
  <si>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</si>
  <si>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</si>
  <si>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</si>
  <si>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</si>
  <si>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</si>
  <si>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</si>
  <si>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</si>
  <si>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</si>
  <si>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</si>
  <si>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</si>
  <si>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</si>
  <si>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</si>
  <si>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</si>
  <si>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This template allows for smelter identification using the Smelter Reference List. Columns B,C,D and E must be completed in order from left to right to utilize the Smelter Reference List feature.
Use a separate line for each metal/smelter/country combination</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</si>
  <si>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</si>
  <si>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</si>
  <si>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</si>
  <si>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</si>
  <si>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</si>
  <si>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</si>
  <si>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</si>
  <si>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</si>
  <si>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 Merci de répondre par "Oui" ou par "Non". Commenter si nécessaire</t>
  </si>
  <si>
    <t xml:space="preserve">B.  "Yes=예" 또는 "No=아니오"로 답하시오. 웹사이트 링크를 기입하시오.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</si>
  <si>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</si>
  <si>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</si>
  <si>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</si>
  <si>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</si>
  <si>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</si>
  <si>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</si>
  <si>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</si>
  <si>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</si>
  <si>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</si>
  <si>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</si>
  <si>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</si>
  <si>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</si>
  <si>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</si>
  <si>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</si>
  <si>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</si>
  <si>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</si>
  <si>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</si>
  <si>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G. Bitte mit "Ja" oder "Nein" antworten. Machen Sie Anmerkungen wenn notwendig.</t>
  </si>
  <si>
    <t>J. Bitte mit "Ja" oder "Nein" antworten. Die von der SEC gestellten Anforderungen an Offenlegung gelten für alle US  börsennotierten Firmen, die dem US Securities Exchange Act unterliegen. Weitere Informationen erhalten sie unter: www.sec.gov</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</si>
  <si>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</si>
  <si>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</si>
  <si>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</si>
  <si>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</si>
  <si>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</si>
  <si>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</si>
  <si>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</si>
  <si>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</si>
  <si>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</si>
  <si>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</si>
  <si>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</si>
  <si>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</si>
  <si>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</si>
  <si>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</si>
  <si>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</si>
  <si>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</si>
  <si>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</si>
  <si>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</si>
  <si>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</si>
  <si>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</si>
  <si>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</si>
  <si>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</si>
  <si>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</si>
  <si>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</si>
  <si>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</si>
  <si>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</si>
  <si>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</si>
  <si>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</si>
  <si>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</si>
  <si>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</si>
  <si>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</si>
  <si>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</si>
  <si>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</si>
  <si>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</si>
  <si>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</si>
  <si>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</si>
  <si>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</si>
  <si>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</si>
  <si>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</si>
  <si>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</si>
  <si>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</si>
  <si>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</si>
  <si>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</si>
  <si>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</si>
  <si>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</si>
  <si>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</si>
  <si>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</si>
  <si>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</si>
  <si>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</si>
  <si>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</si>
  <si>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</si>
  <si>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</si>
  <si>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</si>
  <si>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</si>
  <si>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</si>
  <si>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</si>
  <si>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</si>
  <si>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</si>
  <si>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</si>
  <si>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</si>
  <si>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</si>
  <si>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</si>
  <si>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</si>
  <si>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</si>
  <si>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</si>
  <si>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</si>
  <si>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</si>
  <si>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G. Avete richiesto ai vostri fornitori il nominativo delle fonderie?</t>
  </si>
  <si>
    <t>I. Il vostro processo di verifica include la gestione di azioni correttive?</t>
  </si>
  <si>
    <t>J. Siete soggetti alla norma stabilita dalla SEC relativa all'obbligo di  divulgazione dei Conflict Minerals?</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</si>
  <si>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</si>
  <si>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</si>
  <si>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</si>
  <si>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</si>
  <si>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</si>
  <si>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</si>
  <si>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</si>
  <si>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</si>
  <si>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</si>
  <si>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1. Geben sie ihren rechtmäßigen Firmennamen ein. Abkürzungen sind nicht zulässig.</t>
  </si>
  <si>
    <t>B67</t>
  </si>
  <si>
    <t>1. Inserire la denominazione legale dell'Azienda. Si prega di non utilizzare abbreviazioni.</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</si>
  <si>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</si>
  <si>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</si>
  <si>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</si>
  <si>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Si prega di rispondere "SI" o "NO". Inserire i commenti se necessario</t>
  </si>
  <si>
    <t>B. Si prega di rispondere "SI" o "NO". Inserire il link al sito internet nella sezione Commenti.</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</si>
  <si>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</si>
  <si>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</si>
  <si>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</si>
  <si>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</si>
  <si>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</si>
  <si>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</si>
  <si>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</si>
  <si>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</si>
  <si>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</si>
  <si>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</si>
  <si>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</si>
  <si>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</si>
  <si>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</si>
  <si>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 xml:space="preserve">G. 您是否有要求您的供应商提供冶炼厂的名字？ </t>
  </si>
  <si>
    <t xml:space="preserve">G. Demandez-vous les noms des fonderies à vos fournisseurs ? </t>
  </si>
  <si>
    <t xml:space="preserve">G. Pides  el nombre de los fundidores a tu proveedores? </t>
  </si>
  <si>
    <t>B73</t>
  </si>
  <si>
    <t>B75</t>
  </si>
  <si>
    <t xml:space="preserve">I. Votre processus de vérification inclut-il la gestion des actions correctives ? </t>
  </si>
  <si>
    <t>B77</t>
  </si>
  <si>
    <t xml:space="preserve">J. 귀사는 미국 증권거래위원회가 요구하는 분쟁광물 사용 공개조건 사항에 적용됩니까? </t>
  </si>
  <si>
    <t xml:space="preserve">J. Etes-vous assujetti à la règle de divulgation de la SEC concernant les minerais de conflit ? </t>
  </si>
  <si>
    <t xml:space="preserve">J. Unterliegt Ihre Firma den Offenlegungspflichten der SEC im Bezug auf Konfliktmineralien? </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</si>
  <si>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</si>
  <si>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</si>
  <si>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</si>
  <si>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</si>
  <si>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</si>
  <si>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</si>
  <si>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</si>
  <si>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</si>
  <si>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</si>
  <si>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</si>
  <si>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</si>
  <si>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</si>
  <si>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</si>
  <si>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</si>
  <si>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</si>
  <si>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</si>
  <si>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</si>
  <si>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</si>
  <si>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</si>
  <si>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</si>
  <si>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</si>
  <si>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</si>
  <si>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</si>
  <si>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</si>
  <si>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</si>
  <si>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</si>
  <si>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</si>
  <si>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</si>
  <si>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</si>
  <si>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</si>
  <si>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</si>
  <si>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</si>
  <si>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</si>
  <si>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</si>
  <si>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</si>
  <si>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</si>
  <si>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</si>
  <si>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</si>
  <si>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</si>
  <si>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</si>
  <si>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</si>
  <si>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</si>
  <si>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</si>
  <si>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</si>
  <si>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</si>
  <si>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</si>
  <si>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</si>
  <si>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</si>
  <si>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</si>
  <si>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</si>
  <si>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</si>
  <si>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</si>
  <si>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</si>
  <si>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</si>
  <si>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</si>
  <si>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</si>
  <si>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</si>
  <si>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</si>
  <si>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</si>
  <si>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</si>
  <si>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</si>
  <si>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</si>
  <si>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</si>
  <si>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</si>
  <si>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</si>
  <si>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</si>
  <si>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</si>
  <si>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</si>
  <si>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</si>
  <si>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</si>
  <si>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</si>
  <si>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</si>
  <si>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</si>
  <si>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</si>
  <si>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</si>
  <si>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</si>
  <si>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</si>
  <si>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</si>
  <si>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</si>
  <si>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</si>
  <si>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</si>
  <si>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</si>
  <si>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</si>
  <si>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</si>
  <si>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Anweisungen zum Ausfüllen der Fragen A - J. (Zeilen 69 - 87).  Fragen A bis J sind erforderlich, wenn die Antwort auf die Frage 1 oder 2  "Ja"  für irgendein Metall ist.
Antworten bitte nur in englischer Sprache eingeben.</t>
  </si>
  <si>
    <t>C. Antworten Sie bitte mit "Ja" oder "Nein".  Kommentare falls erforderlich. Siehe Definitionen Arbeitsblatt für die Definition der "Demokratischen Republik Kongo Konflikt -frei".</t>
  </si>
  <si>
    <t>E. Antworten Sie bitte mit "Ja" oder "Nein", um offenlegen, ob Ihr Unternehmen die notwendigen Sorgfaltspflichten bzgl. der Konflikt Mineralien Lieferkette implementiert hat.  Diese Erklärung ist nicht dazu bestimmt, die Einzelheiten der Sorgfaltspflichten offenzulegen, sondern zu zeigen, dass ein Unternehmen die notwendigen Sorgfaltspflichten implemntiert hat. Die Aspekte der zulässigen notwendigen Sorgfaltspflichten Maßnahmen werden durch den Anforderer und den Lieferanten bestimmt.
Beispiele für die Due Diligence Maßnahmen können unter anderem sein: Kommunikation und die Einbindung ihrer Erwartungen an die Lieferanten auf eine konflikt-freie Mineralien Lieferkette chain in Verträge (soweit möglich) , Identifizierung und Bewertung von Risiken in der Lieferkette, Gestaltung und Umsetzung einer Strategie zur Reaktion auf identifizierte Risiken, überprüfen ob ihre direkten Lieferant die Einhaltung der DRC konflikt-frei Politik usw.  Die Überprüfung der Beispiele für notwendige Sorgfaltspflichten stehen im Einklang mit den Leitlinien der international anerkannten OECD-Leitlinien.</t>
  </si>
  <si>
    <t>H. Antworten Sie bitte mit "Ja" oder "Nein".  In der Spalte "Kommentare" können Sie zusätzliche Informationen über ihre Vorgehensweise eintragen. Beispiele können sein:
" 3rd Party Audit" - Audits vor Ort bei Lieferanten durch unabhängige Dritte.
"Nur Überprüfung der Dokumentation" - eine Überprüfung der vom Lieferanten vorgelegten Nachweise und Dokumentationen erfolgt durch unabhängige Dritte und/oder ihre Mitarbeiter.
"Interne Revision" - Prüfungen vor Ort, durchgeführt von firmeneigenem Personal beim Lieferanten.</t>
  </si>
  <si>
    <t>I. Bitte mit "Ja" oder "Nein" antworten. Falls "Ja", beschreiben Sie bitte, wie Sie den Prozess der korrektiven Maßnahmen ausführen.</t>
  </si>
  <si>
    <t>Anleitung zum Ausfüllen des Reiters "Smelter List". Bitte machen Sie ihre Angaben nur in englischer Sprache.</t>
  </si>
  <si>
    <t>Diese Vorlage ermöglicht die Identifikation der Schmelzer  mit der Schmelzer Referenzliste. Die Spalten B, C, D und E müssen  in der Reihenfolge von links nach rechts ausgefüllt werden, um die Schmelzer Referenzliste Funktionen zu nutzen.
 Verwenden Sie eine separate Zeile für jedes Metall / Hütte / Land-Kombination</t>
  </si>
  <si>
    <t>15. Kommt 100% des Rohstoffes des Schmelzers aus Recycling oder Schrott? Bitte antworten Sie mit "Ja", wenn die Schmelzanlage für die Verhüttungsprozesse nur recyceltes Material oder Schrott verwendet. Falls nicht, antworten Sie mit  "Nein".</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</si>
  <si>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</si>
  <si>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</si>
  <si>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</si>
  <si>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</si>
  <si>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</si>
  <si>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</si>
  <si>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</si>
  <si>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</si>
  <si>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</si>
  <si>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</si>
  <si>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</si>
  <si>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</si>
  <si>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</si>
  <si>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</si>
  <si>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</si>
  <si>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</si>
  <si>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</si>
  <si>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</si>
  <si>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</si>
  <si>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Alte Schmelzer-ID</t>
  </si>
  <si>
    <t>Neue Schmelzer-ID</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</si>
  <si>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</si>
  <si>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</si>
  <si>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</si>
  <si>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</si>
  <si>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Wählen Sie Ihre Erklärung. Die Optionen für den Geltungsbereich sind:
A. Unternehmensweit
B. Ware (oder eine Liste von Produkten)
C. Benutzerdefinierte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</si>
  <si>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</si>
  <si>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</si>
  <si>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</si>
  <si>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</si>
  <si>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</si>
  <si>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</si>
  <si>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</si>
  <si>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</si>
  <si>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</si>
  <si>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</si>
  <si>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</si>
  <si>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</si>
  <si>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</si>
  <si>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</si>
  <si>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</si>
  <si>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</si>
  <si>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</si>
  <si>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</si>
  <si>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</si>
  <si>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</si>
  <si>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</si>
  <si>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</si>
  <si>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</si>
  <si>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</si>
  <si>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</si>
  <si>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</si>
  <si>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</si>
  <si>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</si>
  <si>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</si>
  <si>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</si>
  <si>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</si>
  <si>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</si>
  <si>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</si>
  <si>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</si>
  <si>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</si>
  <si>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</si>
  <si>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</si>
  <si>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</si>
  <si>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</si>
  <si>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</si>
  <si>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</si>
  <si>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</si>
  <si>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Alam Lestari Kencana</t>
  </si>
  <si>
    <t>CID001393</t>
  </si>
  <si>
    <t>PT Bangka Kudai Tin</t>
  </si>
  <si>
    <t>CID001409</t>
  </si>
  <si>
    <t>PT Bangka Timah Utama Sejahtera</t>
  </si>
  <si>
    <t>CID001416</t>
  </si>
  <si>
    <t>PT BilliTin Makmur Lestari</t>
  </si>
  <si>
    <t>CID001424</t>
  </si>
  <si>
    <t>PT Fang Di MulTindo</t>
  </si>
  <si>
    <t>CID001442</t>
  </si>
  <si>
    <t>PT Panca Mega Persada</t>
  </si>
  <si>
    <t>CID001457</t>
  </si>
  <si>
    <t>CID001466</t>
  </si>
  <si>
    <t>PT Sumber Jaya Indah</t>
  </si>
  <si>
    <t>CID001471</t>
  </si>
  <si>
    <t>CID001486</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</si>
  <si>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</si>
  <si>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</si>
  <si>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</si>
  <si>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</si>
  <si>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</si>
  <si>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</si>
  <si>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</si>
  <si>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</si>
  <si>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</si>
  <si>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</si>
  <si>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</si>
  <si>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</si>
  <si>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</si>
  <si>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</si>
  <si>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</si>
  <si>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</si>
  <si>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</si>
  <si>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</si>
  <si>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CID002507</t>
  </si>
  <si>
    <t>CID002508</t>
  </si>
  <si>
    <t>CV Venus Inti Perkasa</t>
  </si>
  <si>
    <t>CID002455</t>
  </si>
  <si>
    <t>O.M. Manufacturing Philippines, Inc.</t>
  </si>
  <si>
    <t>CID002517</t>
  </si>
  <si>
    <t>PT ATD Makmur Mandiri Jaya</t>
  </si>
  <si>
    <t>CID002503</t>
  </si>
  <si>
    <t>PT Inti Stania Prima</t>
  </si>
  <si>
    <t>CID002530</t>
  </si>
  <si>
    <t>PT Tirus Putra Mandiri</t>
  </si>
  <si>
    <t>CID002478</t>
  </si>
  <si>
    <t>CID002479</t>
  </si>
  <si>
    <t>Asia Tungsten Products Vietnam Ltd.</t>
  </si>
  <si>
    <t>CID002502</t>
  </si>
  <si>
    <t>Chenzhou Diamond Tungsten Products Co., Ltd.</t>
  </si>
  <si>
    <t>CID002513</t>
  </si>
  <si>
    <t>Dayu Jincheng Tungsten Industry Co., Ltd.</t>
  </si>
  <si>
    <t>CID002518</t>
  </si>
  <si>
    <t>Ganxian Shirui New Material Co., Ltd.</t>
  </si>
  <si>
    <t>CID002531</t>
  </si>
  <si>
    <t>Ganzhou Yatai Tungsten Co., Ltd.</t>
  </si>
  <si>
    <t>CID002536</t>
  </si>
  <si>
    <t>Jiangxi Xiushui Xianggan Nonferrous Metals Co., Ltd.</t>
  </si>
  <si>
    <t>CID002535</t>
  </si>
  <si>
    <t>Sanher Tungsten Vietnam Co., Ltd.</t>
  </si>
  <si>
    <t>CID002538</t>
  </si>
  <si>
    <t>JSC Uralelectromed</t>
  </si>
  <si>
    <t>Samduck Precious Metals</t>
  </si>
  <si>
    <t>CID001555</t>
  </si>
  <si>
    <t>CID000402</t>
  </si>
  <si>
    <t>Global Advanced Metals Aizu</t>
  </si>
  <si>
    <t>CID002558</t>
  </si>
  <si>
    <t>Global Advanced Metals Boyertown</t>
  </si>
  <si>
    <t>CID002557</t>
  </si>
  <si>
    <t>H.C. Starck Co., Ltd.</t>
  </si>
  <si>
    <t>CID002544</t>
  </si>
  <si>
    <t>H.C. Starck GmbH Goslar</t>
  </si>
  <si>
    <t>CID002545</t>
  </si>
  <si>
    <t>H.C. Starck GmbH Laufenburg</t>
  </si>
  <si>
    <t>CID002546</t>
  </si>
  <si>
    <t>H.C. Starck Hermsdorf GmbH</t>
  </si>
  <si>
    <t>CID002547</t>
  </si>
  <si>
    <t>H.C. Starck Inc.</t>
  </si>
  <si>
    <t>CID002548</t>
  </si>
  <si>
    <t>H.C. Starck Ltd.</t>
  </si>
  <si>
    <t>CID002549</t>
  </si>
  <si>
    <t>H.C. Starck Smelting GmbH &amp; Co.KG</t>
  </si>
  <si>
    <t>CID002550</t>
  </si>
  <si>
    <t>KEMET Blue Metals</t>
  </si>
  <si>
    <t>CID002539</t>
  </si>
  <si>
    <t>Plansee SE Liezen</t>
  </si>
  <si>
    <t>CID002540</t>
  </si>
  <si>
    <t>Plansee SE Reutte</t>
  </si>
  <si>
    <t>CID002556</t>
  </si>
  <si>
    <t>Gejiu Kai Meng Industry and Trade LLC</t>
  </si>
  <si>
    <t>PT Pelat Timah Nusantara Tbk</t>
  </si>
  <si>
    <t>H.C. Starck GmbH</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</si>
  <si>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</si>
  <si>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</si>
  <si>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</si>
  <si>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</si>
  <si>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</si>
  <si>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</si>
  <si>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</si>
  <si>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</si>
  <si>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</si>
  <si>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</si>
  <si>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</si>
  <si>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</si>
  <si>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</si>
  <si>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</si>
  <si>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 xml:space="preserve">E. 请回答是(Yes)或不是(No)来申报贵公司是否有对冲突矿产采购进行审查鉴定。 申报无需提供审查鉴定的细则， 仅是报告有否曾做过审查鉴定。审查鉴定方法能否被接受是由提要求者和供应商共同决定的。                           </t>
    </r>
    <r>
      <rPr>
        <sz val="11"/>
        <rFont val="Calibri"/>
        <family val="2"/>
      </rPr>
      <t xml:space="preserve">。                                       审查鉴定方法的例子可能有：客户与供应商的合同或其它文件表明客户对其供应链中不使用冲突矿产的期望、识别与评估供应链的风险、就识别出的风险制定并实施的策略、核查直接供应商遵守无刚果民主共和国冲突（DRC conflict-free）政策的情况， 等等。 这些审查鉴定方法的例子均符合相关指引，其中包括受国际认可的组织经济合作与发展（OECD)指引。 </t>
    </r>
  </si>
  <si>
    <r>
      <t xml:space="preserve">H. 请回答是(Yes)或不是(No)。在注释栏贵公司可以填写更多关于实施方法的信息。 可能的例子会有：                                     </t>
    </r>
    <r>
      <rPr>
        <sz val="11"/>
        <rFont val="Calibri"/>
        <family val="2"/>
      </rPr>
      <t xml:space="preserve">“                                     “第三方审核”- 由独立的第三方对供应商进行现场审核。                               “只进行文件查阅”- 由独立的第三方或贵公司人员对供应商提交的记录、文件进行查阅。     “内部审核”- 由贵公司的人员对供应商进行现场审核。 </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</si>
  <si>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</si>
  <si>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</si>
  <si>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</si>
  <si>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</si>
  <si>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</si>
  <si>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</si>
  <si>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</si>
  <si>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</si>
  <si>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</si>
  <si>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rPr>
      <t>联系人姓名</t>
    </r>
    <r>
      <rPr>
        <sz val="11"/>
        <rFont val="Verdana"/>
        <family val="2"/>
      </rPr>
      <t xml:space="preserve"> (*):</t>
    </r>
  </si>
  <si>
    <r>
      <rPr>
        <sz val="11"/>
        <rFont val="宋体"/>
      </rPr>
      <t>联系人电邮地址</t>
    </r>
    <r>
      <rPr>
        <sz val="11"/>
        <rFont val="Verdana"/>
        <family val="2"/>
      </rPr>
      <t xml:space="preserve"> (*):</t>
    </r>
  </si>
  <si>
    <r>
      <rPr>
        <sz val="11"/>
        <rFont val="宋体"/>
      </rPr>
      <t>联系人电话</t>
    </r>
    <r>
      <rPr>
        <sz val="11"/>
        <rFont val="Verdana"/>
        <family val="2"/>
      </rPr>
      <t xml:space="preserve"> (*):</t>
    </r>
  </si>
  <si>
    <r>
      <rPr>
        <sz val="11"/>
        <rFont val="宋体"/>
      </rPr>
      <t>授权人姓名</t>
    </r>
    <r>
      <rPr>
        <sz val="11"/>
        <rFont val="Verdana"/>
        <family val="2"/>
      </rPr>
      <t xml:space="preserve"> (*):</t>
    </r>
  </si>
  <si>
    <r>
      <rPr>
        <sz val="11"/>
        <rFont val="宋体"/>
      </rPr>
      <t>授权人职务</t>
    </r>
    <r>
      <rPr>
        <sz val="11"/>
        <rFont val="Verdana"/>
        <family val="2"/>
      </rPr>
      <t>:</t>
    </r>
  </si>
  <si>
    <r>
      <rPr>
        <sz val="11"/>
        <rFont val="宋体"/>
      </rPr>
      <t>授权人电邮地址</t>
    </r>
    <r>
      <rPr>
        <sz val="11"/>
        <rFont val="Verdana"/>
        <family val="2"/>
      </rPr>
      <t xml:space="preserve"> (*):</t>
    </r>
  </si>
  <si>
    <r>
      <rPr>
        <sz val="11"/>
        <rFont val="宋体"/>
      </rPr>
      <t>授权人电话</t>
    </r>
    <r>
      <rPr>
        <sz val="11"/>
        <rFont val="Verdana"/>
        <family val="2"/>
      </rPr>
      <t xml:space="preserve"> (*):</t>
    </r>
  </si>
  <si>
    <r>
      <rPr>
        <sz val="11"/>
        <rFont val="宋体"/>
      </rPr>
      <t>授权日期</t>
    </r>
    <r>
      <rPr>
        <sz val="11"/>
        <rFont val="Verdana"/>
        <family val="2"/>
      </rPr>
      <t xml:space="preserve"> (*):</t>
    </r>
  </si>
  <si>
    <r>
      <t>金属 （</t>
    </r>
    <r>
      <rPr>
        <vertAlign val="superscript"/>
        <sz val="11"/>
        <rFont val="Calibri"/>
        <family val="2"/>
      </rPr>
      <t>*</t>
    </r>
    <r>
      <rPr>
        <sz val="11"/>
        <rFont val="Calibri"/>
        <family val="2"/>
      </rPr>
      <t>）</t>
    </r>
  </si>
  <si>
    <r>
      <t>冶炼厂参考目录 （</t>
    </r>
    <r>
      <rPr>
        <vertAlign val="superscript"/>
        <sz val="11"/>
        <rFont val="Calibri"/>
        <family val="2"/>
      </rPr>
      <t>*</t>
    </r>
    <r>
      <rPr>
        <sz val="11"/>
        <rFont val="Calibri"/>
        <family val="2"/>
      </rPr>
      <t>)</t>
    </r>
  </si>
  <si>
    <r>
      <t>冶炼工厂名称 (</t>
    </r>
    <r>
      <rPr>
        <vertAlign val="superscript"/>
        <sz val="11"/>
        <rFont val="Calibri"/>
        <family val="2"/>
      </rPr>
      <t>*</t>
    </r>
    <r>
      <rPr>
        <sz val="11"/>
        <rFont val="Calibri"/>
        <family val="2"/>
      </rPr>
      <t>)</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</si>
  <si>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</si>
  <si>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</si>
  <si>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</si>
  <si>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</si>
  <si>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</si>
  <si>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t>これらの7つの質問は各金属に関する使用法、原産地、調達先を明確にするものです。質問は、法規制の適用性を判定できるように御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</si>
  <si>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</si>
  <si>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</si>
  <si>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</si>
  <si>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For each of the seven required questions, provide an answer for each metal using the pull down menu selections.The questions in this section must be completed for all 3TG. If the response for a given metal to questions 1 and/or question 2 is positive, then  the subsequent questions shall be completed for that metal and the following due diligence questions (A to J) shall be completed about the company’s overall due diligence program.</t>
  </si>
  <si>
    <t>对于七个必答问题中的每个问题，使用下拉菜单选项提供每种金属的答复。必须为所有 3TG 完成此部分中的问题。如果给定金属的问题 1 和/或问题 2 答复是肯定的，则应完成该金属的后续问题，而且应完成关于公司的总体审核鉴定计划的后续审核鉴定问题（A 至 J）。</t>
  </si>
  <si>
    <t>7つの各質問には、各金属それぞれについてドロップダウンメニューから回答を選択してください。このセクションでの質問では、3TG全てについて記入する必要があります。ある金属に関する質問1および／又は質問2への回答が「はい」の場合は、その金属について以降の質問にも記入し、御社のデューデリジェンスプログラム全体に関する下記のデューデリジェンス関連の質問（A～J）にも記入する必要があります。</t>
  </si>
  <si>
    <t>3. This is a declaration that any portion of the 3TGs contained in a product or multiple products originates from the DRC or an adjoining country (covered countries). 
The answer to this query shall be "yes", "no", or "unknown".
This question is mandatory for a specific metal if the response to Question 1 or 2 is “Yes” for that metal.</t>
  </si>
  <si>
    <t>3. 这是要申报存在于一种产品或多种产品中的 3TG 的任何部分的源产地是刚果民主共和国及其毗邻受管制国家。
以“是”、“否”或“不知道”来答复此问题。
如果对问题 1 或问题 2 就特定金属的答复为“是”，必须为该金属回答此问题。</t>
  </si>
  <si>
    <t>3.  これは、1つ又は複数の製品に含まれている3TGの一部がコンゴ民主共和国又は隣接国（対象国）から調達されていることの申告です。
「Yes（はい）」「No（いいえ）」又は「Unknown（不明）」で回答してください。
この質問は、質問1又は2の回答が「Yes（はい）」の金属については必須となります。</t>
  </si>
  <si>
    <t xml:space="preserve">4. This is a declaration that identifies whether 3TGs contained in the product(s) necessary to the functionality of that product(s) originate from recycled or scrap sources. 
The answer to this query shall be "yes", "no", or "unknown". This question is mandatory for a specific metal if the response to Question 1 or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</si>
  <si>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或问题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</si>
  <si>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これは、製品の機能性に必要であるためにその製品中に含まれる3TGが、リサイクル業者又はスクラップサプライヤーから調達されているかどうかを示す申告です。
「Yes（はい）」「No（いいえ）」又は「Unknown（不明）」で回答してください。この質問は、質問1又は2の回答が「Yes（はい）」の金属については必須となります。
「Yes（はい）」とは、紛争金属の全てをリサイクル業者又はスクラップサプライヤーから調達していることを意味します。「No（いいえ）」とは、3TGの一部はリサイクル業者又はスクラップサプライヤーから調達していないことを意味します。「Unknown（不明）」とは、3TGの全てがリサイクル業者又はスクラップサプライヤーから調達されているかどうかをユーザーが把握していないことを意味します。</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</si>
  <si>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oder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</si>
  <si>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5. This is a declaration to determine whether a company has received conflict minerals disclosures from all direct suppliers reasonably believed to be providing 3TGs contained in the products covered by the scope of this declaration. Permissible responses to this question are:
­ Yes, 100%
­ No, but greater than 75%
­ No, but greater than 50%
­ No, but greater than 25%
­ No, but less than 25%
­ None
This question is mandatory for a specific metal if the response to Question 1 or 2 is “Yes” for that metal.</t>
  </si>
  <si>
    <t>5. 此申报是要确定公司是否已经从合理相信提供本申报范围中的产品中含有的 3TG 的所有直接供应商得到冲突矿产披露。本问题的允许答复有：
- 是，100%
- 不是，但多于 75%
- 不是，但多于50%
- 不是，但多于 25%
- 不是，但小于 25%
- 没有
如果对问题 1 或问题 2 就特定金属的答复为“是”，必须为该金属回答此问题。</t>
  </si>
  <si>
    <t>5.  これは、企業が、この申告範囲内の製品に含まれる3TGを供給すると合理的に考えられる全ての直接サプライヤーから、紛争金属開示情報を受け取ったかどうかを判定する申告です。回答は、以下の中から選択してください。
­ Yes, 100%（はい、100％）
­ No, but greater than 75%（いいえ、しかし75%以上）
­ No, but greater than 50%（いいえ、しかし50%以上）
­ No, but greater than 25%（いいえ、しかし25%以上）
­ No, but less than 25%（いいえ、しかし25%未満）
­ None（ゼロ）
この質問は、質問1又は2の回答が「Yes（はい）」の該当金属には必須となります。</t>
  </si>
  <si>
    <t>5. Diese Erklärung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Ja, 100 %
­ Nein, aber mehr als 75 %
­ Nein, aber mehr als 50 %
­ Nein, aber mehr als 25 %
­ Nein, aber weniger als 25 %
­ Keine
Diese Frage muss für ein bestimmtes Metall beantwortet werden, wenn die Antwort auf Frage 1 oder 2 „Ja“ für dieses Metall lautet.</t>
  </si>
  <si>
    <t>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or 2 is “Yes” for that metal.</t>
  </si>
  <si>
    <t>6. 此问题是要核实供应商是否有理由相信他们已识别出提供此申报涵盖的产品中的 3TG 的所有冶炼厂。本问题的答复有“是”或“否”并就情况说明，如冶炼厂名单。如果对问题 1 或问题 2 就特定金属的答复为“是”，必须为该金属回答此问题。</t>
  </si>
  <si>
    <t>6.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又は2の回答が「Yes（はい）」の金属については必須となります。</t>
  </si>
  <si>
    <t>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or 2 is “Yes” for that metal.</t>
  </si>
  <si>
    <t>7. 此问题是要核实经确定为提供此申报范围涵盖的产品中含有的任何 3TG 的所有冶炼厂是否已在此申报中报告。本问题的答复有“是”或“否”并就情况说明，如冶炼厂名单。如果对问题 1 或问题 2 就特定金属的答复为“是”，必须为该金属回答此问题。</t>
  </si>
  <si>
    <t>D. 此申报是要确定公司要求直接供应商从经过确认的无使用冲突矿产的冶炼厂处采购冲突矿产。以“是”或“否”来答复此问题。此问题必须作答。</t>
  </si>
  <si>
    <t>F. This is a declaration to disclose whether a company requests their supplier to fill out a conflict minerals declaration. The answer to this query shall be "yes" or "no" along with a comment in certain cases, i.e., to provide the format used for collecting information. This question is mandatory.</t>
  </si>
  <si>
    <t>F. 此申报是要披露公司是否要求供应商填写冲突矿产申报。本问题的答复有“是”或“否”并就情况说明，如提供用于收集信息的格式。此问题必须作答。</t>
  </si>
  <si>
    <t>F.  これは、企業がサプライヤーに対して、紛争鉱物申告に記入することを要求しているかどうかを開示する申告です。この質問の回答は「Yes（はい）」又は「No（いいえ）」で、場合によっては情報収集のために使用する形式を提供する目的などで、コメントを伴う場合もあります。この質問への回答は必須です。</t>
  </si>
  <si>
    <t>F. Dies ist eine Erklärung zur Offenlegung, ob ein Unternehmen von seinen Lieferanten verlangt, eine Erklärung zu Konfliktmineralien auszufüllen. Die Antwort auf diese Frage muss „Ja“ oder „Nein“ lauten, zusammen mit einem Kommentar in bestimmten Fällen, d. h. um das Format zur Erhebung von Informationen bereitzustellen. Diese Frage muss beantwortet werden.</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</si>
  <si>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</si>
  <si>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</si>
  <si>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</si>
  <si>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t>1) Is the 3TG intentionally added to your product? (*)</t>
  </si>
  <si>
    <t>2) Is the 3TG necessary to the production of your company’s products and contained in the finished product that your company manufactures or contracts to manufacture?  (*)</t>
  </si>
  <si>
    <t xml:space="preserve">D.  御社は直接サプライヤーに対し、独立民間監査会社の監査プログラムによりデューデリジェンス業務が認証された製錬業者から3TGを調達することを要求していますか？ </t>
  </si>
  <si>
    <t>Smelter Reference List</t>
  </si>
  <si>
    <t>冶炼厂参考目录</t>
  </si>
  <si>
    <t>製錬業者参照表</t>
  </si>
  <si>
    <t>제련소 참조 리스트</t>
  </si>
  <si>
    <t>Liste des fonderies référencées</t>
  </si>
  <si>
    <t>Lista de referência de Fundições</t>
  </si>
  <si>
    <t>Schmelzhütten-Referenz-Liste</t>
  </si>
  <si>
    <t>Lista de referencia de fundidores</t>
  </si>
  <si>
    <r>
      <t xml:space="preserve">2. </t>
    </r>
    <r>
      <rPr>
        <sz val="10"/>
        <rFont val="宋体"/>
        <charset val="134"/>
      </rPr>
      <t xml:space="preserve">选择贵公司的申报范围。范围的选项为：
</t>
    </r>
    <r>
      <rPr>
        <sz val="10"/>
        <rFont val="Verdana"/>
        <family val="2"/>
      </rPr>
      <t xml:space="preserve">A. </t>
    </r>
    <r>
      <rPr>
        <sz val="10"/>
        <rFont val="宋体"/>
        <charset val="134"/>
      </rPr>
      <t xml:space="preserve">全公司
</t>
    </r>
    <r>
      <rPr>
        <sz val="10"/>
        <rFont val="Verdana"/>
        <family val="2"/>
      </rPr>
      <t xml:space="preserve">B. </t>
    </r>
    <r>
      <rPr>
        <sz val="10"/>
        <rFont val="宋体"/>
        <charset val="134"/>
      </rPr>
      <t xml:space="preserve">产品（或产品清单）
</t>
    </r>
    <r>
      <rPr>
        <sz val="10"/>
        <rFont val="Verdana"/>
        <family val="2"/>
      </rPr>
      <t xml:space="preserve">C. </t>
    </r>
    <r>
      <rPr>
        <sz val="10"/>
        <rFont val="宋体"/>
        <charset val="134"/>
      </rPr>
      <t>自定义</t>
    </r>
    <r>
      <rPr>
        <sz val="10"/>
        <rFont val="Verdana"/>
        <family val="2"/>
      </rPr>
      <t xml:space="preserve"> 
</t>
    </r>
    <r>
      <rPr>
        <sz val="10"/>
        <rFont val="宋体"/>
        <charset val="134"/>
      </rPr>
      <t>对于</t>
    </r>
    <r>
      <rPr>
        <sz val="10"/>
        <rFont val="Verdana"/>
        <family val="2"/>
      </rPr>
      <t>“</t>
    </r>
    <r>
      <rPr>
        <sz val="10"/>
        <rFont val="宋体"/>
        <charset val="134"/>
      </rPr>
      <t>全公司</t>
    </r>
    <r>
      <rPr>
        <sz val="10"/>
        <rFont val="Verdana"/>
        <family val="2"/>
      </rPr>
      <t>”</t>
    </r>
    <r>
      <rPr>
        <sz val="10"/>
        <rFont val="宋体"/>
        <charset val="134"/>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34"/>
      </rPr>
      <t>产品（或产品清单）</t>
    </r>
    <r>
      <rPr>
        <sz val="10"/>
        <rFont val="Verdana"/>
        <family val="2"/>
      </rPr>
      <t>”</t>
    </r>
    <r>
      <rPr>
        <sz val="10"/>
        <rFont val="宋体"/>
        <charset val="134"/>
      </rPr>
      <t>，将显示产品清单的工作表选项卡。如果选择了此范围，则必须在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B </t>
    </r>
    <r>
      <rPr>
        <sz val="10"/>
        <rFont val="宋体"/>
        <charset val="134"/>
      </rPr>
      <t>列中列出此申报范围涵盖的产品的制造商产品序号。可以选择是否在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C </t>
    </r>
    <r>
      <rPr>
        <sz val="10"/>
        <rFont val="宋体"/>
        <charset val="134"/>
      </rPr>
      <t>列中列出制造商产品名称。
如果选择范围为</t>
    </r>
    <r>
      <rPr>
        <sz val="10"/>
        <rFont val="Verdana"/>
        <family val="2"/>
      </rPr>
      <t>“</t>
    </r>
    <r>
      <rPr>
        <sz val="10"/>
        <rFont val="宋体"/>
        <charset val="134"/>
      </rPr>
      <t>自定义</t>
    </r>
    <r>
      <rPr>
        <sz val="10"/>
        <rFont val="Verdana"/>
        <family val="2"/>
      </rPr>
      <t>”</t>
    </r>
    <r>
      <rPr>
        <sz val="10"/>
        <rFont val="宋体"/>
        <charset val="134"/>
      </rPr>
      <t>，用户必须描述冲突金属披露适用的范围。用户可以通过</t>
    </r>
    <r>
      <rPr>
        <sz val="10"/>
        <rFont val="Verdana"/>
        <family val="2"/>
      </rPr>
      <t>“</t>
    </r>
    <r>
      <rPr>
        <sz val="10"/>
        <rFont val="宋体"/>
        <charset val="134"/>
      </rPr>
      <t>自定义分类</t>
    </r>
    <r>
      <rPr>
        <sz val="10"/>
        <rFont val="Verdana"/>
        <family val="2"/>
      </rPr>
      <t>”</t>
    </r>
    <r>
      <rPr>
        <sz val="10"/>
        <rFont val="宋体"/>
        <charset val="134"/>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34"/>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</si>
  <si>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</si>
  <si>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</si>
  <si>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</si>
  <si>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</si>
  <si>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</si>
  <si>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</si>
  <si>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</si>
  <si>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</si>
  <si>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</si>
  <si>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</si>
  <si>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필수 질문 일곱 개 각각에 대해, 풀다운 메뉴를 이용하여 각 광물에 대한 답변을 선택하십시오. 이 섹션의 질문은 모든 3TG에 대해서 작성되어야 합니다. 특정 광물에 대한 질문 1 및/또는 질문 2의 답변이 긍정적일 경우, 그 광물에 대한 후속 질문에 답변을 제공해야 하며 회사의 전체 실사 프로그램에 대한 다음의 실사 질문(A ~ J)에 답변을 제공해야 합니다.</t>
    </r>
  </si>
  <si>
    <r>
      <rPr>
        <sz val="10"/>
        <rFont val="Verdana"/>
        <family val="2"/>
      </rPr>
      <t>Pour chacune des sept questions requises, donnez une réponse pour chaque métal en utilisant le menu déroulant. Des réponses doivent être apportées aux questions de cette section pour chacun des 3TG. Si la réponse à la question 1 et/ou 2 est positive pour un métal donné, vous devez répondre aux questions suivantes pour ce métal, et répondre aux questions suivantes de diligence raisonnable (A à J) en prenant en compte le programme global de diligence raisonnable de votre société.</t>
    </r>
  </si>
  <si>
    <r>
      <rPr>
        <sz val="10"/>
        <rFont val="Verdana"/>
        <family val="2"/>
      </rPr>
      <t>Para cada uma das sete perguntas exigidas, forneça uma resposta para cada metal usando o menu de seleção disponível. As perguntas nessa seção devem ser respondidas para todos os metais de conflito. Se a resposta para determinado metal para as perguntas 1 e/ou 2 for positiva, as perguntas subsequentes devem ser respondidas para tal metal, e as seguintes perguntas de diligência devida (A a J) devem ser respondidas sobre o programa de diligência devida global da empresa.</t>
    </r>
  </si>
  <si>
    <r>
      <rPr>
        <sz val="10"/>
        <rFont val="Verdana"/>
        <family val="2"/>
      </rPr>
      <t>Geben Sie bei jeder der sieben obligatorischen Fragen eine Antwort für jedes Metall an, indem Sie eine Auswahl aus dem Pull-down-Menü treffen. Die Fragen in diesem Abschnitt müssen für alle 3TG-Mineralien beantwortet werden. Falls die Antwort auf Frage 1 und/oder Frage 2 für ein bestimmtes Metall positiv lautet, müssen die nachfolgenden Fragen für dieses Metall beantwortet werden und auch die folgenden Due-Diligence-Fragen (A bis J) bezüglich des allgemeinen Due-Diligence-Programms des Unternehmens müssen beantwortet werden.</t>
    </r>
  </si>
  <si>
    <r>
      <rPr>
        <sz val="10"/>
        <rFont val="Verdana"/>
        <family val="2"/>
      </rPr>
      <t xml:space="preserve">En cada una de las siete preguntas requeridas proporcione una respuesta para cada metal utilizando las selecciones del menú desplegable. Se deben completar las preguntas en esta sección para todo el 3TG.  Si la respuesta para un metal determinado es afirmativa en las preguntas 1 y/o 2, se deben responder las siguientes preguntas para ese metal, así como las siguientes preguntas de debida diligencia (de la A a la J) acerca del programa de debida diligencia de la compañía. </t>
    </r>
  </si>
  <si>
    <r>
      <rPr>
        <sz val="10"/>
        <rFont val="Verdana"/>
        <family val="2"/>
      </rPr>
      <t>Per ciascuna delle sette domande, si prega di fornire una risposta per ciascuno dei metalli usando il menu a tendina. Le domande di questa sezione devono essere completate per tutti i metalli di conflitto. Se una risposta per un determinato metallo alle domande 1 e/o 2 è positiva, allora devono essere completate quelle successive per quel metallo e devono essere completate le seguenti domande sul dovere di diligenza (dalla A alla J) sul programma complessivo del dovere di diligenza della società.</t>
    </r>
  </si>
  <si>
    <r>
      <rPr>
        <sz val="10"/>
        <rFont val="Verdana"/>
        <family val="2"/>
      </rPr>
      <t>3. 이것은 한 제품이나 여러 제품들에 포함된 3TG의 일정 부분이 콩고공화국이나 그 인접국가(적용 국가들)로부터 유래된 것인지에 대한 신고입니다. 
이 질문에 대한 답은 "Yes", "No", 또는 "Unknown"이 되어야 합니다.
이 질문은 만일 특정 광물에 대한 질문1 또는 질문2의 답이 그 광물에 대해 "Yes"라면 필수 사항입니다.</t>
    </r>
  </si>
  <si>
    <r>
      <rPr>
        <sz val="10"/>
        <rFont val="Verdana"/>
        <family val="2"/>
      </rPr>
      <t>3. Il s’agit d’une déclaration selon laquelle une partie des 3TG contenue dans un ou plusieurs produits provient de la RDC ou d’un pays limitrophe (les pays couverts). 
La réponse à cette question doit être « oui », « non » ou « inconnu ».
Cette question est obligatoire pour un métal donné si la réponse à la question 1 ou 2 est « oui » pour ce métal.</t>
    </r>
  </si>
  <si>
    <r>
      <rPr>
        <sz val="10"/>
        <rFont val="Verdana"/>
        <family val="2"/>
      </rPr>
      <t>3. Esta é uma declaração de que qualquer parte dos minerais de conflito contidos em um produto ou em vários produtos tem origem na RDC ou em países vizinhos (países abrangidos). 
A resposta a esta pergunta deverá ser “Sim”, “Não” ou “Desconhecido”.
Esta pergunta é obrigatória para um metal específico se a resposta às perguntas 1 ou 2 for “Sim” para esse metal.</t>
    </r>
  </si>
  <si>
    <r>
      <rPr>
        <sz val="10"/>
        <rFont val="Verdana"/>
        <family val="2"/>
      </rPr>
      <t>3. Dies ist eine Erklärung, dass jedwede Menge der in einem Produkt oder in mehreren Produkten enthaltenen 3TG-Mineralien aus der Demokratischen Republik Kongo oder benachbarten Ländern stammt (umfasste Länder). 
Die Antwort auf diese Frage muss „Ja“ oder „Nein“ oder „Unbekannt“ lauten.
Diese Frage muss für ein bestimmtes Metall beantwortet werden, wenn die Antwort auf Frage 1 oder 2 „Ja“ für dieses Metall lautet.</t>
    </r>
  </si>
  <si>
    <r>
      <rPr>
        <sz val="10"/>
        <rFont val="Verdana"/>
        <family val="2"/>
      </rPr>
      <t xml:space="preserve">3.  Ésta es una declaración que menciona que cualquier parte de los 3TG contenidos en un producto o múltiples productos se originan del DRC o de un país contiguo (países cubiertos).  
La respuesta a esta pregunta debe ser "sí", "no" o "desconocido". 
Esta pregunta es obligatoria para un metal específico si la respuesta a la Pregunta 1 o 2 es "sí" para ese metal. </t>
    </r>
  </si>
  <si>
    <r>
      <rPr>
        <sz val="10"/>
        <rFont val="Verdana"/>
        <family val="2"/>
      </rPr>
      <t>3. Questa è una dichiarazione che qualsiasi parte dei metalli di conflitto contenuta in uno o più prodotti deriva dalla DRC o paesi limitrofi (paesi interessati). 
La risposta a questa domanda può essere "sì", "no" o "sconosciuto".
Questa domanda è obbligatoria per un metallo specifico se la risposta alla domanda 1 o 2 è "Sì" relativamente a quel metallo.</t>
    </r>
  </si>
  <si>
    <r>
      <rPr>
        <sz val="10"/>
        <rFont val="Verdana"/>
        <family val="2"/>
      </rPr>
      <t xml:space="preserve">4. 이것은 해당 제품의 기능을 위해 필요한 제품에 포함된 3TG가 재활용이나 폐자원에서 나온 것인지 여부를 식별하는 신고입니다. 
이 질문에 대한 답은 "Yes", "No", 또는 "Unknown"이 되어야 합니다. 이 질문은 만일 특정 광물에 대한 질문1 또는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r>
  </si>
  <si>
    <r>
      <rPr>
        <sz val="10"/>
        <rFont val="Verdana"/>
        <family val="2"/>
      </rPr>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ou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r>
  </si>
  <si>
    <r>
      <rPr>
        <sz val="10"/>
        <rFont val="Verdana"/>
        <family val="2"/>
      </rPr>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ou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r>
  </si>
  <si>
    <r>
      <rPr>
        <sz val="10"/>
        <rFont val="Verdana"/>
        <family val="2"/>
      </rPr>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o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r>
  </si>
  <si>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o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</si>
  <si>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r>
      <rPr>
        <sz val="10"/>
        <rFont val="Verdana"/>
        <family val="2"/>
      </rPr>
      <t>5. 이것은 이 신고의 범위가 적용되는 제품에 포함된 3TG를 제공하고 있는 것으로 합리적으로 신뢰를 받고 있는 모든 직접 공급업체로부터 회사가 분쟁 광물 공개를 받았는지 여부를 결정하는 신고입니다. 이 질문에 허용되는 답변은 다음과 같습니다.
­ 예, 100%
­ 아니요, 하지만 75% 이상
­ 아니요, 하지만 50% 이상
­ 아니요, 하지만 25% 이상
­ 아니요, 하지만 25% 미만
­ 없음
이 질문은 만일 특정 광물에 대한 질문1 또는 질문2의 답이 그 광물에 대해 "Yes"라면 필수 사항입니다.</t>
    </r>
  </si>
  <si>
    <r>
      <rPr>
        <sz val="10"/>
        <rFont val="Verdana"/>
        <family val="2"/>
      </rPr>
      <t>5. Il s’agit d’une déclaration visant à déterminer si une société a reçu des déclarations de minerai de conflit en provenance de tous les fournisseurs directs raisonnablement susceptibles de fournir des 3TG contenus dans les produits couverts par la portée de cette déclaration Les réponses possibles à cette question sont :
­ Oui, 100 %
­ Non, mais plus de 75 %
­ Non, mais plus de 50 %
­ Non, mais plus de 25 %
­ Non, mais moins de 25 %
­ Aucun
cette question est obligatoire pour un métal donné si la réponse à la question 1 ou 2 est « oui » pour ce métal.</t>
    </r>
  </si>
  <si>
    <r>
      <rPr>
        <sz val="10"/>
        <rFont val="Verdana"/>
        <family val="2"/>
      </rPr>
      <t>5. Esta é uma declaração que determina se uma empresa recebeu ou não informações referentes a minerais de conflito de todos os fornecedores diretos que creem fornecer minerais contidos nnos produtos abrangidos pelo âmbito desta declaração. As respostas aceitáveis a esta pergunta são:
- Sim, 100%
- Não, mas superior a 75%
- Não, mas superior a 50%
- Não, mas superior a 25%
- Não, mas inferior a 25%
- Nenhum
Esta pergunta é obrigatória para um metal específico se a resposta às perguntas 1 e 2 for “Sim” para esse metal.</t>
    </r>
  </si>
  <si>
    <r>
      <rPr>
        <sz val="10"/>
        <rFont val="Verdana"/>
        <family val="2"/>
      </rPr>
      <t xml:space="preserve">5.  Esta es una declaración para determinar si una compañía ha recibido divulgaciones de minerales en conflicto de todos los proveedores directos que se piensa razonablemente que suministran 3TG contenido en los productos cubiertos en el enfoque de esta declaración.  Las respuestas permitidas para esta pregunta son: 
­ Sí, 100%
­ No, pero más de 75%
­ No, pero más de 50%
­ No, pero más de 25%
­ No, pero menos de 25%
­ Ninguno
Esta pregunta es obligatoria para un metal en específico si la respuesta a la Pregunta 1 o 2 es "sí" para ese metal. </t>
    </r>
  </si>
  <si>
    <r>
      <rPr>
        <sz val="10"/>
        <rFont val="Verdana"/>
        <family val="2"/>
      </rPr>
      <t>5. Questa è una dichiarazione al fine di determinare se una società ha ricevuto la dichiarazione sui metalli di conflitto da tutti i fornitori diretti ragionevolmente ritenuti fornitori di minerali di conflitto contenuti nei prodotti che rientrano nel campo di applicazione della presente dichiarazione. Le risposte a questa domanda sono:
Sì, 100%
No, ma maggiore del 75%
­ No, ma maggiore del 50%
 No, ma maggiore del 25%
­ No, ma minore del 25%
­ Nessuno
Questa domanda è obbligatoria per un metallo specifico se si è risposto "Sì" alla domanda 1 o 2 per quel metallo.</t>
    </r>
  </si>
  <si>
    <r>
      <rPr>
        <sz val="10"/>
        <rFont val="Verdana"/>
        <family val="2"/>
      </rPr>
      <t>6. 이 질문은 이 신고에 포함된 제품에 있는 3TG를 제공하는 모든 제련소를 공급업체가 식별했음을 신뢰할 이유가 있는지 여부를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</si>
  <si>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</si>
  <si>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</si>
  <si>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</si>
  <si>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6.  Esta pregunta confirma si el proveedor tiene razón para pensar que ha identificado a todos los fundidores que suministran 3TG en los productos cubiertos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</si>
  <si>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</si>
  <si>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7. 이 질문은 이 신고에 포함된 제품에 있는 3TG를 공급하는 모든 제련소가 이 신고에 보고되었는지를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</si>
  <si>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7. Cette question vise à vérifier que toutes les fonderies identifiées comme fournisseurs de quelconques 3TG contenus dans les produits couverts par la portée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</si>
  <si>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</si>
  <si>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7. Diese Frage bestätigt, dass alle Schmelzöfen, von denen bekannt ist, dass sie in den vom Umfang dieser Erklärung umfassten Produkten 3TG-Minerialien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</si>
  <si>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7. Esta pregunta confirma que todos los fundidores identificados como que suministran cualquiera de los 3TG contenidos en los productos cubiertos en el enfoque de esta declaración han sido reportados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</si>
  <si>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7. Questa domanda verifica che tutte le fonderie identificate quali fornitrici di qualsiasi metallo di conflitto contenuto nei prodotti inseriti nella presente dichiarazione sono state riportate in questa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</si>
  <si>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D. Il s’agit d’une déclaration visant à déterminer si une société impose à ses fournisseurs directs de s’approvisionner en minerai de conflit auprès de fonderies validées, dont l’approvisionnement n’alimente pas les conflits. La réponse à cette question doit être « oui » ou « non ». Cette question est obligatoire.</t>
    </r>
  </si>
  <si>
    <r>
      <rPr>
        <sz val="10"/>
        <rFont val="Verdana"/>
        <family val="2"/>
      </rPr>
      <t>D. Esta é uma declaração para determinar se uma empresa requer que seus fornecedores diretos tenham fontes de minerais de conflito validadas como sendo livres de conflitos. A resposta a esta pergunta deverá ser “Sim” ou “Não”. Esta pergunta é obrigatória.</t>
    </r>
  </si>
  <si>
    <r>
      <rPr>
        <sz val="10"/>
        <rFont val="Verdana"/>
        <family val="2"/>
      </rPr>
      <t>D. Dies ist eine Erklärung zur Bestimmung, ob ein Unternehmen verlangt, dass seine direkten Lieferanten Konfliktmineralien aus bestätigt konfliktfreien Schmelzöfen beschaffen. Die Antwort auf diese Frage muss „Ja“ oder „Nein“ lauten. Diese Frage muss beantwortet werden.</t>
    </r>
  </si>
  <si>
    <r>
      <rPr>
        <sz val="10"/>
        <rFont val="Verdana"/>
        <family val="2"/>
      </rPr>
      <t>D. Esta es una declaración para determinar si una compañía requiere que sus proveedores directos suministren minerales en conflicto de los fundidores validados sin conflicto.  La respuesta a esta pregunta debe ser "sí" o "no".  Esta pregunta es obligatoria.</t>
    </r>
  </si>
  <si>
    <r>
      <rPr>
        <sz val="10"/>
        <rFont val="Verdana"/>
        <family val="2"/>
      </rPr>
      <t>D. Questa è una dichiarazione volta a determinare se una società impone ai propri fornitori diretti di approvvigionare i minerali di conflitto da fonderie verificate libere da conflitti. La risposta a questa domanda può essere "sì" o "no". Questa domanda è obbligatoria.</t>
    </r>
  </si>
  <si>
    <r>
      <rPr>
        <sz val="10"/>
        <rFont val="Verdana"/>
        <family val="2"/>
      </rPr>
      <t>F. 이것은 회사가 해당 공급업체에서 분쟁 광물 신고를 작성하도록 요청하는지 여부를 공개하는 신고입니다. 이 질문에 대한 답변은 특정 사례의 의견(즉, 정보 수집을 위해 사용되는 형식을 제공하는 의견)과 함께 "Yes" 또는 "No"가 될 것입니다. 이 질문은 필수 사항입니다.</t>
    </r>
  </si>
  <si>
    <r>
      <rPr>
        <sz val="10"/>
        <rFont val="Verdana"/>
        <family val="2"/>
      </rPr>
      <t>F. Il s’agit d’une déclaration visant à indiquer si une société impose à ses fournisseurs de remplir une déclaration au sujet des minerais de conflit. La réponse à cette question doit être « oui » ou « non », accompagnée d’un commentaire dans certains cas, par exemple pour indiquer le format utilisé pour la collecte d’informations. Cette question est obligatoire.</t>
    </r>
  </si>
  <si>
    <r>
      <rPr>
        <sz val="10"/>
        <rFont val="Verdana"/>
        <family val="2"/>
      </rPr>
      <t>F. Esta é uma declaração para divulgar se uma empresa solicita a seu fornecedor que preencha uma declaração de minerais de conflito. A resposta a esta pergunta deverá ser “Sim” ou “Não”, com a adição de comentários em determinados casos, por exemplo, fornecer o formato utilizado para coletar informações. Esta pergunta é obrigatória.</t>
    </r>
  </si>
  <si>
    <r>
      <rPr>
        <sz val="10"/>
        <rFont val="Verdana"/>
        <family val="2"/>
      </rPr>
      <t>F. Esta es una declaración para revelar si una compañía solicita a su proveedor que llene una declaración de minerales en conflicto.  La respuesta a esta pregunta debe ser "sí" o "no" seguido de un comentario en ciertos casos; por ejemplo, proporcionar el formato utilizado en la recolección de información.  Esta pregunta es obligatoria.</t>
    </r>
  </si>
  <si>
    <r>
      <rPr>
        <sz val="10"/>
        <rFont val="Verdana"/>
        <family val="2"/>
      </rPr>
      <t>F. Questa è una dichiarazione volta a comunicare se una società richiede al proprio fornitore di compilare una dichiarazione relativa ai minerali di conflitto. La risposta al quesito deve essere "sì" o "no" con un commento in alcuni casi, ad esempio, indicare il formato utilizzato per la raccolta delle informazioni. Questa domanda è obbligatoria.</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</si>
  <si>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</si>
  <si>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</si>
  <si>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</si>
  <si>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</si>
  <si>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</si>
  <si>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1) 3TG 是否有意增加到贵公司的产品中？(*)</t>
    </r>
  </si>
  <si>
    <r>
      <rPr>
        <sz val="10"/>
        <rFont val="Verdana"/>
        <family val="2"/>
      </rPr>
      <t>1) 3TG가 귀사의 제품에 의도적으로 추가되어 있습니까?(*)</t>
    </r>
  </si>
  <si>
    <r>
      <rPr>
        <sz val="10"/>
        <rFont val="Verdana"/>
        <family val="2"/>
      </rPr>
      <t>1) Est-ce que les 3TG sont ajoutés volontairement à votre produit ? (*)</t>
    </r>
  </si>
  <si>
    <r>
      <rPr>
        <sz val="10"/>
        <rFont val="Verdana"/>
        <family val="2"/>
      </rPr>
      <t>1) O mineral de conflito é adicionado intencionalmente ao seu produto?(*)</t>
    </r>
  </si>
  <si>
    <r>
      <rPr>
        <sz val="10"/>
        <rFont val="Verdana"/>
        <family val="2"/>
      </rPr>
      <t>1) Wird das 3TG-Mineral Ihrem Produkt absichtlich hinzugefügt? (*)</t>
    </r>
  </si>
  <si>
    <r>
      <rPr>
        <sz val="10"/>
        <rFont val="Verdana"/>
        <family val="2"/>
      </rPr>
      <t xml:space="preserve">1) ¿Se añade intencionalmente el 3TG a su producto? (*) </t>
    </r>
  </si>
  <si>
    <r>
      <rPr>
        <sz val="10"/>
        <rFont val="Verdana"/>
        <family val="2"/>
      </rPr>
      <t>1) Il metallo di conflitto è intenzionalmente aggiunto ai vostri prodotti? (*)</t>
    </r>
  </si>
  <si>
    <r>
      <rPr>
        <sz val="10"/>
        <rFont val="Verdana"/>
        <family val="2"/>
      </rPr>
      <t>2) 3TG가 귀사의 제품 생산에 필요하며 귀사가 제조하거나 계약제조한 최종제품에 포함되어 있습니까?(*)</t>
    </r>
  </si>
  <si>
    <r>
      <rPr>
        <sz val="10"/>
        <rFont val="Verdana"/>
        <family val="2"/>
      </rPr>
      <t>2) Est-ce que les 3TG sont indispensables à la production des produits de votre société, et contenus dans le produit fini que votre société fabrique ou fait fabriquer ? (*)</t>
    </r>
  </si>
  <si>
    <r>
      <rPr>
        <sz val="10"/>
        <rFont val="Verdana"/>
        <family val="2"/>
      </rPr>
      <t>2) O mineral de conflito é necessário à produção dos produtos da sua empresa e está contido no produto acabado que sua empresa produz ou contrata para produzir? (*)</t>
    </r>
  </si>
  <si>
    <r>
      <rPr>
        <sz val="10"/>
        <rFont val="Verdana"/>
        <family val="2"/>
      </rPr>
      <t>2) Ist das 3TG-Mineral notwendig für die Herstellung der Produkte Ihres Unternehmens und ist es im Endprodukt enthalten, das Ihr Unternehmen herstellt oder im Auftrag herstellen lässt? (*)</t>
    </r>
  </si>
  <si>
    <r>
      <rPr>
        <sz val="10"/>
        <rFont val="Verdana"/>
        <family val="2"/>
      </rPr>
      <t xml:space="preserve">2) ¿Es necesario el 3TG para la fabricación de los productos de su compañía y está contenido en el producto terminado que fabrica su compañía o contrata para fabricar? (*) </t>
    </r>
  </si>
  <si>
    <r>
      <rPr>
        <sz val="10"/>
        <rFont val="Verdana"/>
        <family val="2"/>
      </rPr>
      <t>2) Il metallo di conflitto è necessario alla fabbricazione dei prodotti della vostra azienda e contenuto nei prodotti finiti che la vostra azienda produce o dei quali ha appaltato la produzione?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</si>
  <si>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</si>
  <si>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</si>
  <si>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</si>
  <si>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</si>
  <si>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</si>
  <si>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</si>
  <si>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</si>
  <si>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</si>
  <si>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</si>
  <si>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</si>
  <si>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</si>
  <si>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</si>
  <si>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</si>
  <si>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</si>
  <si>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</si>
  <si>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</si>
  <si>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</si>
  <si>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</si>
  <si>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</si>
  <si>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</si>
  <si>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</si>
  <si>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</si>
  <si>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</si>
  <si>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</si>
  <si>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</si>
  <si>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</si>
  <si>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</si>
  <si>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</si>
  <si>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</si>
  <si>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</si>
  <si>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</si>
  <si>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5) Have you received data/information for each 3TG from all relevant suppliers?</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</si>
  <si>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</si>
  <si>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</si>
  <si>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</si>
  <si>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5) 您是否从所有相关供应商收到过针对每种 3TG 的数据/信息？</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</si>
  <si>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</si>
  <si>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</si>
  <si>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</si>
  <si>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</si>
  <si>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</si>
  <si>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</si>
  <si>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5) Avez-vous reçu des données/informations pour chacun des 3TG de la part de tous les fournisseurs concernés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</si>
  <si>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</si>
  <si>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</si>
  <si>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</si>
  <si>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5) Você recebeu dados ou informações para cada mineral de conflito por parte de todos os fornecedores relevantes ?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</si>
  <si>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</si>
  <si>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</si>
  <si>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</si>
  <si>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5) ¿Ha recibido datos/información de cada 3TG de todos los proveedores pertinentes?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</si>
  <si>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</si>
  <si>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</si>
  <si>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</si>
  <si>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5) Avete ricevuto dati/informazioni relativi ai minerali di conflitto per ogni metallo da parte di tutti i fornitori rilevanti di metalli di conflitto?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</si>
  <si>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</si>
  <si>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</si>
  <si>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</si>
  <si>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</si>
  <si>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</si>
  <si>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</si>
  <si>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</si>
  <si>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</si>
  <si>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</si>
  <si>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</si>
  <si>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</si>
  <si>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</si>
  <si>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</si>
  <si>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</si>
  <si>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</si>
  <si>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</si>
  <si>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</si>
  <si>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</si>
  <si>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</si>
  <si>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</si>
  <si>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</si>
  <si>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</si>
  <si>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</si>
  <si>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</si>
  <si>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</si>
  <si>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</si>
  <si>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</si>
  <si>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</si>
  <si>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</si>
  <si>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</si>
  <si>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</si>
  <si>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</si>
  <si>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</si>
  <si>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</si>
  <si>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</si>
  <si>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</si>
  <si>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an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</si>
  <si>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</si>
  <si>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</si>
  <si>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</si>
  <si>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</si>
  <si>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</si>
  <si>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</si>
  <si>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</si>
  <si>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</si>
  <si>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</si>
  <si>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</si>
  <si>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</si>
  <si>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</si>
  <si>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</si>
  <si>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</si>
  <si>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</si>
  <si>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</si>
  <si>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</si>
  <si>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</si>
  <si>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</si>
  <si>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</si>
  <si>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</si>
  <si>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</si>
  <si>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</si>
  <si>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</si>
  <si>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</si>
  <si>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</si>
  <si>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</si>
  <si>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</si>
  <si>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</si>
  <si>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</si>
  <si>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</si>
  <si>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</si>
  <si>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</si>
  <si>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</si>
  <si>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</si>
  <si>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</si>
  <si>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</si>
  <si>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</si>
  <si>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</si>
  <si>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</si>
  <si>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</si>
  <si>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</si>
  <si>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</si>
  <si>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</si>
  <si>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</si>
  <si>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</si>
  <si>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</si>
  <si>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</si>
  <si>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</si>
  <si>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</si>
  <si>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</si>
  <si>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</si>
  <si>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</si>
  <si>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</si>
  <si>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</si>
  <si>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</si>
  <si>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</si>
  <si>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</si>
  <si>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</si>
  <si>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</si>
  <si>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</si>
  <si>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</si>
  <si>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</si>
  <si>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</si>
  <si>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</si>
  <si>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</si>
  <si>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</si>
  <si>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</si>
  <si>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</si>
  <si>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</si>
  <si>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</si>
  <si>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</si>
  <si>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</si>
  <si>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</si>
  <si>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</si>
  <si>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</si>
  <si>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</si>
  <si>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</si>
  <si>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</si>
  <si>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</si>
  <si>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</si>
  <si>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</si>
  <si>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</si>
  <si>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</si>
  <si>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</si>
  <si>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</si>
  <si>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</si>
  <si>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</si>
  <si>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</si>
  <si>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</si>
  <si>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</si>
  <si>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</si>
  <si>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</si>
  <si>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</si>
  <si>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</si>
  <si>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</si>
  <si>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</si>
  <si>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A. Do you have a policy in place that addresses conflict minerals sourcing?</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</si>
  <si>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</si>
  <si>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</si>
  <si>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</si>
  <si>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</si>
  <si>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F. Do you collect conflict minerals due diligence information from your suppliers which is in conformance with the IPC-1755 Conflict Minerals Data Exchange standard [e.g., the CFSI Conflict Minerals Reporting Template]?</t>
  </si>
  <si>
    <t>G. Do you request smelter names from your suppliers?</t>
  </si>
  <si>
    <t>H. Do you review due diligence information received from your suppliers against your company’s expectations?</t>
  </si>
  <si>
    <t>I. Does your review process include corrective action management?</t>
  </si>
  <si>
    <t>J. Are you subject to the SEC Conflict Minerals rule?</t>
  </si>
  <si>
    <t>Click here to enter the products this declaration applies to</t>
  </si>
  <si>
    <t>D11</t>
  </si>
  <si>
    <t xml:space="preserve">The following list represents the CFSI’s latest smelter name / alias information as of this template’s release.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Column B is a list of commonly used names for known smelters that are eligible for CFSP’s audit program.
Column C is the list of the official standard smelter names, understood to be the legal names of the eligible smelters. The majority of smelters will have the same entry for both columns, however if the common name varies from the standard name, the variation is noted in Column B. </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</si>
  <si>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</si>
  <si>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</si>
  <si>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</si>
  <si>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</si>
  <si>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</si>
  <si>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</si>
  <si>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</si>
  <si>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</si>
  <si>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</si>
  <si>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</si>
  <si>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</si>
  <si>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</si>
  <si>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</si>
  <si>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</si>
  <si>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</si>
  <si>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Tashkent Province</t>
  </si>
  <si>
    <t>AngloGold Ashanti Córrego do Sítio Mineração</t>
  </si>
  <si>
    <t>Nova Lima</t>
  </si>
  <si>
    <t>Minas Gerais</t>
  </si>
  <si>
    <t>Mendrisio</t>
  </si>
  <si>
    <t>Ticino</t>
  </si>
  <si>
    <t>Kobe</t>
  </si>
  <si>
    <t>Hyogo</t>
  </si>
  <si>
    <t>Amagasaki Factory, Hyogo Prefecture, Japan</t>
  </si>
  <si>
    <t>Tamura</t>
  </si>
  <si>
    <t>Fukushima</t>
  </si>
  <si>
    <t>Istanbul</t>
  </si>
  <si>
    <t>Istanbul Province</t>
  </si>
  <si>
    <t>Hamburg</t>
  </si>
  <si>
    <t>Hamburg State</t>
  </si>
  <si>
    <t>Norddeutsche Affinererie AG</t>
  </si>
  <si>
    <t>Manila</t>
  </si>
  <si>
    <t>Skelleftehamn</t>
  </si>
  <si>
    <t>Västerbotten</t>
  </si>
  <si>
    <t>Nacozari</t>
  </si>
  <si>
    <t>Sonora</t>
  </si>
  <si>
    <t>Montréal</t>
  </si>
  <si>
    <t>Quebec</t>
  </si>
  <si>
    <t>CCR</t>
  </si>
  <si>
    <t>Xstrata</t>
  </si>
  <si>
    <t>Biel-Bienne</t>
  </si>
  <si>
    <t>Bern</t>
  </si>
  <si>
    <t>Kunming</t>
  </si>
  <si>
    <t>Yunnan</t>
  </si>
  <si>
    <t>CHALCO Yunnan Copper Co. Ltd.</t>
  </si>
  <si>
    <t>Arezzo</t>
  </si>
  <si>
    <t>Tuscany</t>
  </si>
  <si>
    <t>Chiyoda</t>
  </si>
  <si>
    <t>Namdong</t>
  </si>
  <si>
    <t>Incheon</t>
  </si>
  <si>
    <t>Daejin Industry</t>
  </si>
  <si>
    <t>Huangshi</t>
  </si>
  <si>
    <t>Huabei</t>
  </si>
  <si>
    <t>Gimpo</t>
  </si>
  <si>
    <t>Gyeonggi</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</si>
  <si>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</si>
  <si>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</si>
  <si>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</si>
  <si>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</si>
  <si>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</si>
  <si>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</si>
  <si>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</si>
  <si>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</si>
  <si>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</si>
  <si>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</si>
  <si>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</si>
  <si>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</si>
  <si>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</si>
  <si>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</si>
  <si>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</si>
  <si>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</si>
  <si>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</si>
  <si>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</si>
  <si>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</si>
  <si>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</si>
  <si>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Hesse</t>
  </si>
  <si>
    <t>Changsha</t>
  </si>
  <si>
    <t>Hunan Chenzhou Mining Industry Co. Ltd.</t>
  </si>
  <si>
    <t>Danwon</t>
  </si>
  <si>
    <t>Hohhot</t>
  </si>
  <si>
    <t>Inner Mongolia</t>
  </si>
  <si>
    <t>Soka</t>
  </si>
  <si>
    <t>Kuyumcukent</t>
  </si>
  <si>
    <t>Osaka</t>
  </si>
  <si>
    <t>Kansai</t>
  </si>
  <si>
    <t>Guixi City</t>
  </si>
  <si>
    <t>Jiangxi</t>
  </si>
  <si>
    <t>JCC</t>
  </si>
  <si>
    <t>Salt Lake City</t>
  </si>
  <si>
    <t>Utah</t>
  </si>
  <si>
    <t>Johnson Matthey Inc. (USA)</t>
  </si>
  <si>
    <t>Brampton</t>
  </si>
  <si>
    <t>Ontario</t>
  </si>
  <si>
    <t>Verkhnyaya Pyshma</t>
  </si>
  <si>
    <t>Sverdlovsk</t>
  </si>
  <si>
    <t>Kazzinc</t>
  </si>
  <si>
    <t>Ust-Kamenogorsk</t>
  </si>
  <si>
    <t>Magna</t>
  </si>
  <si>
    <t>Sayama</t>
  </si>
  <si>
    <t>Kojima Kagaku Yakuhin Co., Ltd</t>
  </si>
  <si>
    <t>Seoul</t>
  </si>
  <si>
    <t>Bishkek</t>
  </si>
  <si>
    <t>Chuy Province</t>
  </si>
  <si>
    <t>Riyadh</t>
  </si>
  <si>
    <t>Riyadh Province</t>
  </si>
  <si>
    <t>Lingbao</t>
  </si>
  <si>
    <t>Henan</t>
  </si>
  <si>
    <t>Onsan-eup</t>
  </si>
  <si>
    <t>Ulsan</t>
  </si>
  <si>
    <t>Luoyang Zijin Yinhui Gold Refinery Co., Ltd.</t>
  </si>
  <si>
    <t>Luoyang</t>
  </si>
  <si>
    <t>Buffalo</t>
  </si>
  <si>
    <t>New York</t>
  </si>
  <si>
    <t>Iruma</t>
  </si>
  <si>
    <t>Metalor Technologies (Suzhou) Ltd.</t>
  </si>
  <si>
    <t>CID001147</t>
  </si>
  <si>
    <t>Suzhou Industrial Park</t>
  </si>
  <si>
    <t>Jiangsu</t>
  </si>
  <si>
    <t>Kwai Chung</t>
  </si>
  <si>
    <t>Tuas</t>
  </si>
  <si>
    <t>Singapore</t>
  </si>
  <si>
    <t>Marin</t>
  </si>
  <si>
    <t>Neuchâtel</t>
  </si>
  <si>
    <t>North Attleboro</t>
  </si>
  <si>
    <t>Massachusetts</t>
  </si>
  <si>
    <t>Torreon</t>
  </si>
  <si>
    <t>Coahuila</t>
  </si>
  <si>
    <t>Naoshima</t>
  </si>
  <si>
    <t>Hiroshima</t>
  </si>
  <si>
    <t>Takehara</t>
  </si>
  <si>
    <t>Mitsui Kinzoku Co., Ltd.</t>
  </si>
  <si>
    <t>Obrucheva</t>
  </si>
  <si>
    <t>Bahçelievler</t>
  </si>
  <si>
    <t>Navoi</t>
  </si>
  <si>
    <t>Navoi Province</t>
  </si>
  <si>
    <t>Noda</t>
  </si>
  <si>
    <t>Chiba</t>
  </si>
  <si>
    <t>Jackson</t>
  </si>
  <si>
    <t>Ohio</t>
  </si>
  <si>
    <t>Nara-shi</t>
  </si>
  <si>
    <t>Nara</t>
  </si>
  <si>
    <t>Krasnoyarsk</t>
  </si>
  <si>
    <t>Krasnoyarsk Krai</t>
  </si>
  <si>
    <t>OJSC Krastsvetmet</t>
  </si>
  <si>
    <t>Castel San Pietro</t>
  </si>
  <si>
    <t>Yantai</t>
  </si>
  <si>
    <t>Shandong</t>
  </si>
  <si>
    <t>Kasimov</t>
  </si>
  <si>
    <t>Ryazan</t>
  </si>
  <si>
    <t>Jakarta</t>
  </si>
  <si>
    <t>Java</t>
  </si>
  <si>
    <t>La Chaux-de-Fonds</t>
  </si>
  <si>
    <t>Germiston</t>
  </si>
  <si>
    <t>Gauteng</t>
  </si>
  <si>
    <t>Ottawa</t>
  </si>
  <si>
    <t>Williston</t>
  </si>
  <si>
    <t>North Dakota</t>
  </si>
  <si>
    <t>Samdok Metal</t>
  </si>
  <si>
    <t>SD (Samdok) Metal</t>
  </si>
  <si>
    <t>Changwon</t>
  </si>
  <si>
    <t>Gyeongsangnam</t>
  </si>
  <si>
    <t>Amsterdam</t>
  </si>
  <si>
    <t>North Holland</t>
  </si>
  <si>
    <t>Madrid</t>
  </si>
  <si>
    <t>Community of 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</si>
  <si>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</si>
  <si>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</si>
  <si>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</si>
  <si>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</si>
  <si>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</si>
  <si>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</si>
  <si>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</si>
  <si>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</si>
  <si>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</si>
  <si>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</si>
  <si>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</si>
  <si>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Moscow Region</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</si>
  <si>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</si>
  <si>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</si>
  <si>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</si>
  <si>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</si>
  <si>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</si>
  <si>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</si>
  <si>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</si>
  <si>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</si>
  <si>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</si>
  <si>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</si>
  <si>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</si>
  <si>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</si>
  <si>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</si>
  <si>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</si>
  <si>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</si>
  <si>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</si>
  <si>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Chungcheong</t>
  </si>
  <si>
    <t>Guarulhos</t>
  </si>
  <si>
    <t>São Paulo</t>
  </si>
  <si>
    <t>Hoboken</t>
  </si>
  <si>
    <t>Antwerp</t>
  </si>
  <si>
    <t>Alden</t>
  </si>
  <si>
    <t>Balerna</t>
  </si>
  <si>
    <t>Newburn</t>
  </si>
  <si>
    <t>Western Australia</t>
  </si>
  <si>
    <t>AGR Mathey</t>
  </si>
  <si>
    <t>AGR(Perth Mint Australia)</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</si>
  <si>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</si>
  <si>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</si>
  <si>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</si>
  <si>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</si>
  <si>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</si>
  <si>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</si>
  <si>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</si>
  <si>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</si>
  <si>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</si>
  <si>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</si>
  <si>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</si>
  <si>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</si>
  <si>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</si>
  <si>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</si>
  <si>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</si>
  <si>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Dokmai</t>
  </si>
  <si>
    <t>Pravet</t>
  </si>
  <si>
    <t>Faggi Enrico S.p.A.</t>
  </si>
  <si>
    <t>CID002355</t>
  </si>
  <si>
    <t>Sesto Fiorentino</t>
  </si>
  <si>
    <t>Florence</t>
  </si>
  <si>
    <t>Geib Refining Corporation</t>
  </si>
  <si>
    <t>CID002459</t>
  </si>
  <si>
    <t>Mewat</t>
  </si>
  <si>
    <t>Haryana</t>
  </si>
  <si>
    <t>Miami</t>
  </si>
  <si>
    <t>Florida</t>
  </si>
  <si>
    <t>Lubin</t>
  </si>
  <si>
    <t>Lower Silesian Voivodeship</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</si>
  <si>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</si>
  <si>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</si>
  <si>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</si>
  <si>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</si>
  <si>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</si>
  <si>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</si>
  <si>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</si>
  <si>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</si>
  <si>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</si>
  <si>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</si>
  <si>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</si>
  <si>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</si>
  <si>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</si>
  <si>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</si>
  <si>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Khartoum State</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</si>
  <si>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</si>
  <si>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</si>
  <si>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</si>
  <si>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</si>
  <si>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</si>
  <si>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</si>
  <si>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</si>
  <si>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</si>
  <si>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</si>
  <si>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</si>
  <si>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</si>
  <si>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</si>
  <si>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</si>
  <si>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</si>
  <si>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</si>
  <si>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</si>
  <si>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</si>
  <si>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</si>
  <si>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</si>
  <si>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</si>
  <si>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</si>
  <si>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</si>
  <si>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</si>
  <si>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</si>
  <si>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</si>
  <si>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</si>
  <si>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</si>
  <si>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</si>
  <si>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</si>
  <si>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</si>
  <si>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</si>
  <si>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Perm Krai</t>
  </si>
  <si>
    <t>Harima</t>
  </si>
  <si>
    <t>Telex Metals</t>
  </si>
  <si>
    <t>Croydon</t>
  </si>
  <si>
    <t>Pennsylvania</t>
  </si>
  <si>
    <t>Ulba Metallurgical Plant JSC</t>
  </si>
  <si>
    <t>East Kazakhstan</t>
  </si>
  <si>
    <t>Zhuzhou Cemented Carbide Group</t>
  </si>
  <si>
    <t>Zhuzhou Cemented Carbide Works Imp. &amp; Exp. Co.</t>
  </si>
  <si>
    <t>Yichun</t>
  </si>
  <si>
    <t>Hengyang</t>
  </si>
  <si>
    <t>Gastonia</t>
  </si>
  <si>
    <t>North Carolina</t>
  </si>
  <si>
    <t>YunFu City</t>
  </si>
  <si>
    <t>Fengxin</t>
  </si>
  <si>
    <t>Matamoros</t>
  </si>
  <si>
    <t>Tamaulipas</t>
  </si>
  <si>
    <t>Liezen</t>
  </si>
  <si>
    <t>Styria</t>
  </si>
  <si>
    <t>Map Ta Phut</t>
  </si>
  <si>
    <t>Rayong</t>
  </si>
  <si>
    <t>Goslar</t>
  </si>
  <si>
    <t>Lower Saxony</t>
  </si>
  <si>
    <t>Laufenburg</t>
  </si>
  <si>
    <t>Hermsdorf</t>
  </si>
  <si>
    <t>Thuringia</t>
  </si>
  <si>
    <t>Newton</t>
  </si>
  <si>
    <t>Mito</t>
  </si>
  <si>
    <t>Ibaraki</t>
  </si>
  <si>
    <t>Reutte</t>
  </si>
  <si>
    <t>Tyrol</t>
  </si>
  <si>
    <t>Boyertown</t>
  </si>
  <si>
    <t>Aizuwakamatsu</t>
  </si>
  <si>
    <t>Mound House</t>
  </si>
  <si>
    <t>Nevada</t>
  </si>
  <si>
    <t>Tranzact, Inc.</t>
  </si>
  <si>
    <t>CID002571</t>
  </si>
  <si>
    <t>Lancaster</t>
  </si>
  <si>
    <t>CID002707</t>
  </si>
  <si>
    <t>Minas gerais</t>
  </si>
  <si>
    <t>Phoenix Metal Ltd.</t>
  </si>
  <si>
    <t>Jabana</t>
  </si>
  <si>
    <t>Kigali</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</si>
  <si>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</si>
  <si>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</si>
  <si>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</si>
  <si>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</si>
  <si>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</si>
  <si>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</si>
  <si>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</si>
  <si>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</si>
  <si>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</si>
  <si>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</si>
  <si>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</si>
  <si>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</si>
  <si>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Rondonia</t>
  </si>
  <si>
    <t>Sungailiat</t>
  </si>
  <si>
    <t>Bangka</t>
  </si>
  <si>
    <t>Kabupaten</t>
  </si>
  <si>
    <t>Pangkalan</t>
  </si>
  <si>
    <t>Pangkal Pinang</t>
  </si>
  <si>
    <t>Dowa Metaltech Co., Ltd.</t>
  </si>
  <si>
    <t>Oruro</t>
  </si>
  <si>
    <t>Cercado</t>
  </si>
  <si>
    <t>Rondônia</t>
  </si>
  <si>
    <t>Feinhütte Halsbrücke GmbH</t>
  </si>
  <si>
    <t>CID000466</t>
  </si>
  <si>
    <t>Halsbrücke</t>
  </si>
  <si>
    <t>Saxony</t>
  </si>
  <si>
    <t>Chmielów</t>
  </si>
  <si>
    <t>Subcarpathian Voivodeship</t>
  </si>
  <si>
    <t>Geiju</t>
  </si>
  <si>
    <t>Gejiu Zili Mining And Metallurgy Co., Ltd.</t>
  </si>
  <si>
    <t>Yunnan Geiju Zili Metallurgy Co. Ltd.</t>
  </si>
  <si>
    <t>Ganzhou</t>
  </si>
  <si>
    <t>Putuo District</t>
  </si>
  <si>
    <t>Shanghai</t>
  </si>
  <si>
    <t>Linwu Xianggui Ore Smelting Co., Ltd.</t>
  </si>
  <si>
    <t>Chenzhou</t>
  </si>
  <si>
    <t>Laibin</t>
  </si>
  <si>
    <t>Guang Xi Liu Xhou</t>
  </si>
  <si>
    <t>Liuzhhou China Tin</t>
  </si>
  <si>
    <t>Metallic Materials Branch of Guangxi China Tin Group Co.,Ltd.</t>
  </si>
  <si>
    <t>XiHai - Liuzhou China Tin Group Co ltd</t>
  </si>
  <si>
    <t>Butterworth</t>
  </si>
  <si>
    <t>Penang</t>
  </si>
  <si>
    <t>CID001142</t>
  </si>
  <si>
    <t>Twinsburg</t>
  </si>
  <si>
    <t>Bairro Guarapiranga</t>
  </si>
  <si>
    <t>Toboca/ Paranapenema</t>
  </si>
  <si>
    <t>Paracas</t>
  </si>
  <si>
    <t>Ica</t>
  </si>
  <si>
    <t>Funsur Smelter</t>
  </si>
  <si>
    <t>Asago</t>
  </si>
  <si>
    <t>CID001231</t>
  </si>
  <si>
    <t>Nanshan Tin Co. Ltd.</t>
  </si>
  <si>
    <t>Chonburi</t>
  </si>
  <si>
    <t>Operaciones Metalurgical S.A.</t>
  </si>
  <si>
    <t>Lintang</t>
  </si>
  <si>
    <t>Kepulauan</t>
  </si>
  <si>
    <t>BML</t>
  </si>
  <si>
    <t>PT Indra Eramult Logam Industri</t>
  </si>
  <si>
    <t>Kepulauan Riau</t>
  </si>
  <si>
    <t>Karimun</t>
  </si>
  <si>
    <t>Brand RBT</t>
  </si>
  <si>
    <t>West Java</t>
  </si>
  <si>
    <t>PT Timah (Persero) Tbk Kundur</t>
  </si>
  <si>
    <t>Kundur</t>
  </si>
  <si>
    <t>Riau Islands</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</si>
  <si>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</si>
  <si>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</si>
  <si>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</si>
  <si>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</si>
  <si>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</si>
  <si>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</si>
  <si>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</si>
  <si>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</si>
  <si>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</si>
  <si>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</si>
  <si>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</si>
  <si>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</si>
  <si>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</si>
  <si>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</si>
  <si>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Hanoi</t>
  </si>
  <si>
    <t>White Solder Metalurgica</t>
  </si>
  <si>
    <t>Yunnan Adventure Co., Ltd.</t>
  </si>
  <si>
    <t>Yunnan wind Nonferrous Metals Co., Ltd.</t>
  </si>
  <si>
    <t>Bogor</t>
  </si>
  <si>
    <t>Topang Island</t>
  </si>
  <si>
    <t>Riau Province</t>
  </si>
  <si>
    <t>Cavite Economic Zone</t>
  </si>
  <si>
    <t>Rosario Cavite</t>
  </si>
  <si>
    <t>CV Ayi Jaya</t>
  </si>
  <si>
    <t>CID002570</t>
  </si>
  <si>
    <t>Electro-Mechanical Facility of the Cao Bang Minerals &amp; Metallurgy Joint Stock Company</t>
  </si>
  <si>
    <t>CID002572</t>
  </si>
  <si>
    <t>Tinh Tuc</t>
  </si>
  <si>
    <t>Cao Bang</t>
  </si>
  <si>
    <t>Nghe Tinh Non-Ferrous Metals Joint Stock Company</t>
  </si>
  <si>
    <t>CID002573</t>
  </si>
  <si>
    <t>Quy Hop</t>
  </si>
  <si>
    <t>Nghe An</t>
  </si>
  <si>
    <t>Tuyen Quang Non-Ferrous Metals Joint Stock Company</t>
  </si>
  <si>
    <t>CID002574</t>
  </si>
  <si>
    <t>Tan Quang</t>
  </si>
  <si>
    <t>Tuyen Quang</t>
  </si>
  <si>
    <t>PT Cipta Persada Mulia</t>
  </si>
  <si>
    <t>CID002696</t>
  </si>
  <si>
    <t>CID002706</t>
  </si>
  <si>
    <t>Metallo-Chimique N.V.</t>
  </si>
  <si>
    <t>CID002773</t>
  </si>
  <si>
    <t>Beerse</t>
  </si>
  <si>
    <t>CID002774</t>
  </si>
  <si>
    <t>Berango</t>
  </si>
  <si>
    <t>Vizcaya</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</si>
  <si>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</si>
  <si>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</si>
  <si>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</si>
  <si>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</si>
  <si>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</si>
  <si>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</si>
  <si>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</si>
  <si>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</si>
  <si>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</si>
  <si>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</si>
  <si>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</si>
  <si>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</si>
  <si>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</si>
  <si>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Quang Ninh</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</si>
  <si>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</si>
  <si>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</si>
  <si>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</si>
  <si>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</si>
  <si>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</si>
  <si>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</si>
  <si>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</si>
  <si>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</si>
  <si>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</si>
  <si>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</si>
  <si>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</si>
  <si>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</si>
  <si>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</si>
  <si>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Dayu Country</t>
  </si>
  <si>
    <t>Ganxian</t>
  </si>
  <si>
    <t>Pobedit, JSC</t>
  </si>
  <si>
    <t>CID002532</t>
  </si>
  <si>
    <t>Vladikavkaz</t>
  </si>
  <si>
    <t>Republic of North Ossetia-Alania</t>
  </si>
  <si>
    <t>Huyen Nhon Trach</t>
  </si>
  <si>
    <t>Tinh Dong Nai</t>
  </si>
  <si>
    <t>Dai Tu</t>
  </si>
  <si>
    <t>Thai Nguyen</t>
  </si>
  <si>
    <t>Hunan Chuangda Vanadium Tungsten Co., Ltd. Yanglin</t>
  </si>
  <si>
    <t>CID002578</t>
  </si>
  <si>
    <t>Hunan Chuangda Vanadium Tungsten Co., Ltd. Wuji</t>
  </si>
  <si>
    <t>CID002579</t>
  </si>
  <si>
    <t>Niagara Refining LLC</t>
  </si>
  <si>
    <t>CID002589</t>
  </si>
  <si>
    <t>Depew</t>
  </si>
  <si>
    <t>Hydrometallurg, JSC</t>
  </si>
  <si>
    <t>CID002649</t>
  </si>
  <si>
    <t>Nalchik</t>
  </si>
  <si>
    <t>Kabardino-Balkar Republic</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</si>
  <si>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</si>
  <si>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</si>
  <si>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</si>
  <si>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</si>
  <si>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</si>
  <si>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</si>
  <si>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</si>
  <si>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</si>
  <si>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</si>
  <si>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</si>
  <si>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</si>
  <si>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</si>
  <si>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</si>
  <si>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</si>
  <si>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</si>
  <si>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</si>
  <si>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</si>
  <si>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</si>
  <si>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</si>
  <si>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</si>
  <si>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</si>
  <si>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</si>
  <si>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</si>
  <si>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</si>
  <si>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</si>
  <si>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</si>
  <si>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</si>
  <si>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</si>
  <si>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</si>
  <si>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</si>
  <si>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</si>
  <si>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</si>
  <si>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</si>
  <si>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</si>
  <si>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</si>
  <si>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</si>
  <si>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</si>
  <si>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</si>
  <si>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</si>
  <si>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</si>
  <si>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</si>
  <si>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</si>
  <si>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</si>
  <si>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</si>
  <si>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</si>
  <si>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</si>
  <si>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</si>
  <si>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</si>
  <si>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</si>
  <si>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 xml:space="preserve">F. 您是否有按照 IPC-1755 冲突矿产数据交换标准的要求从供应商收集冲突矿产审核鉴定信息 [例如，CFSI 冲突矿产报告模板]？  </t>
  </si>
  <si>
    <t xml:space="preserve">F. 귀사는 공급업체로부터 IPC-1755 분쟁 광물 데이터 교환 기준에 따른 분쟁 광물 실사 정보를 수집하고 있습니까 [예를 들면, CFSI 분쟁광물 보고 템플릿]？ </t>
  </si>
  <si>
    <t xml:space="preserve">F. Est-ce que vous recueillez les informations de diligence raisonnable concernant les minerais de conflit auprès de vos fournisseurs, conformément à la norme IPC-1755 en matière d’échange de données sur les minerais de conflit [par exemple, le modèle de rapport sur les minéraux des conflits de l'Initiative d'approvisionnement hors conflit (Conflict-free Sourcing Initiative, CFSI)] ? </t>
  </si>
  <si>
    <t>F. Você coleta informações de diligência devida de minerais de conflito de seus fornecedores que estejam em conformidade com a norma IPC-1755 de troca de dados sobre minerais de conflito (por exemplo, o Modelo de relatório de minerais de conflito da Iniciativa Livre de Conflitos [Conflict-Free Sourcing Initiative, CFSI])？</t>
  </si>
  <si>
    <t xml:space="preserve">F.  ¿Recolecta la información de debida diligencia de minerales en conflicto de los proveedores, la cual cumpla con el estándar IPC-1755 de Intercambio de datos de minerales en conflicto [por ejemplo, la Plantilla de reporte de minerales en conflicto CFSI]？ </t>
  </si>
  <si>
    <t xml:space="preserve">F. Avete raccolto informazioni di dovuta diligenza sui minerali di conflitto dai vostri fornitori, che siano in conformità con lo standard Conflict Minerals Data Exchange IPC-1755 [ad esempio il modello del rapporto sui minerali del conflitto di CFSI]？ </t>
  </si>
  <si>
    <r>
      <rPr>
        <sz val="10"/>
        <rFont val="Verdana"/>
        <family val="2"/>
      </rPr>
      <t>以下目录是截止此模板发布时 CFSI 的最新冶炼厂名称/别名信息。冶炼厂存在于此目录中不保证它就是不使用冲突矿产冶炼厂计划内的目前有效或合规的冶炼厂。
有关有效或合规的标准冶炼厂名称的最新、准确目录，请访问 CFSI 网站 www.conflictfreesourcing.org。
B 列是符合 CFSP 审核计划条件的已知冶炼厂的常用名称目录。
C 列是正式标准冶炼厂名称目录，被认为是合格冶炼厂的法定名称。大多数冶炼厂的这两列具有相同的条目，然而，如果常用名称与标准名称不同，则在 B 列中注明这种变化。</t>
    </r>
  </si>
  <si>
    <r>
      <rPr>
        <sz val="10"/>
        <rFont val="Verdana"/>
        <family val="2"/>
      </rPr>
      <t xml:space="preserve">다음 목록은 이 템플릿의 발표 시점을 기준으로 한 CFSI의 최신 제련소 명칭/별칭 정보를 나타냅니다. 이 목록에 제련소가 포함되어 있다고 해서 해당 제련소가 현재 분쟁으로부터 자유로운 제련소 프로그램 내에서 활동 중이거나 준수한다고 보장하는 것은 아닙니다. 
프로그램 내에서 활동 중이거나 그 범위를 준수하고 있는 가장 최근의 정확한 표준 제련소 명칭 목록은 CFSI 웹사이트인 www.conflictfreesourcing.org를 참조하십시오. 
B열은 CFSP 감사 프로그램에 적격한 제련소들의 일반적으로 사용되는 명칭의 목록입니다. 
C열은 공식적인 제련소 표준 명칭의 목록으로, 자격을 갖춘 제련소의 법적 명칭이 되기도 합니다. 대다수 제련소들의 명칭이 두 열 모두 동일하지만, 일반 명칭이 표준 명칭과 다를 경우, 다른 명칭이 B열에 표기됩니다. </t>
    </r>
  </si>
  <si>
    <r>
      <rPr>
        <sz val="10"/>
        <rFont val="Verdana"/>
        <family val="2"/>
      </rPr>
      <t xml:space="preserve">La liste suivante représente les dernières informations de la CFSI relatives au nom/pseudonyme de la fonderie au moment de la publication de ce modèle. La présence d’une fonderie sur cette liste ne garantit PAS que celle-ci est actuellement active ou conforme au Programme des fonderies hors conflits (Conflict Free Smelter Program, CFSP). 
Veuillez consulter le site Web de la CFSI, www.conflictfreesourcing.org, pour obtenir la liste actualisée et précise de noms des fonderies standard qui sont actives ou conformes. 
La colonne B est une liste de noms couramment  utilisés pour les fonderies connues qui sont éligibles pour le programme d'audit du CFSP.
La colonne C est la liste des noms officiels des fonderies standard, entendus comme noms légaux des fonderies éligibles. La plupart des fonderies auront la même entrée pour les deux colonnes ; toutefois, si le nom courant est différent du nom standard, la variation est indiquée dans la colonne B. </t>
    </r>
  </si>
  <si>
    <r>
      <rPr>
        <sz val="10"/>
        <rFont val="Verdana"/>
        <family val="2"/>
      </rPr>
      <t xml:space="preserve">A lista a seguir representa as informações mais recentes da CFSI sobre nomes/pseudônimos de fundições no momento da divulgação deste modelo. A presença de uma fundição aqui NÃO é uma garantia de que ela esteja atualmente Ativa ou Em conformidade com o Programa de fundições livres de conflito (Conflict-Free Smelter Program, CFSP). 
Consulte o site da CFSI, www.conflictfreesourcing.org, para obter a versão mais recente e precisa da lista de nomes padrão de fundições que estão Ativas ou em Conformidade. 
A coluna B é uma lista de nomes comumente usados para fundições conhecidas que são elegíveis para o programa de auditoria do CFSP.
A coluna C é a lista dos nomes padrão oficiais de fundições, entendidos como sendo as razões sociais das fundições elegíveis. A maioria das fundições terá a mesma entrada em ambas as colunas; no entanto, se o nome comum variar em relação ao nome padrão, a variação será indicada na coluna B. </t>
    </r>
  </si>
  <si>
    <r>
      <rPr>
        <sz val="10"/>
        <rFont val="Verdana"/>
        <family val="2"/>
      </rPr>
      <t xml:space="preserve">Die folgende Liste beruht auf den neuesten Informationen der CFSI über Schmelzofennamen / Aliasnamen zum Zeitpunkt der Veröffentlichung dieser Vorlage. Die Aufführung eines Schmelzofens in dieser Erklärung ist KEINE Garantie, dass dieser gegenwärtig aktiv ist oder das Conflict-Free Smelter Program einhält. 
Bitte entnehmen Sie der CFSI-Website www.conflictfreesourcing.org die aktuellste und genaueste Liste der Namen von aktiven oder mit dem CFSP konformen Standardschmelzöfen. 
Spalte B ist eine Liste mit häufig verwendeten Namen von Schmelzöfen, die für das Prüfungsprogramm von CFSP in Betracht kommen.
Spalte C ist die Liste mit den Namen der offiziellen Standardschmelzöfen, von denen angenommen wird, dass sie die gesetzlichen Namen der in Betracht kommenden Schmelzöfen sind. Die Mehrheit von Schmelzöfen hat dieselbe Eintragung für beide Spalten. Wenn jedoch der übliche Name vom Standardnamen abweicht, wird die Abweichung in Spalte B vermerkt. </t>
    </r>
  </si>
  <si>
    <r>
      <rPr>
        <sz val="10"/>
        <rFont val="Verdana"/>
        <family val="2"/>
      </rPr>
      <t xml:space="preserve">La siguiente lista representa la información del nombre/alias del último fundidor a partir de la publicación de la plantilla. La presencia del fundidor en esta parte NO es una garantía de que actualmente se encuentre activo o en cumplimiento con el Programa de Fundidores Sin Conflictos. 
Consulte la página de Internet de la CFSI, www.conflictfreesourcing.org, para obtener la lista más actual y exacta de los nombres de fundidores estándares que se encuentran activos o en cumplimiento. 
La Columna B es una lista de nombres comúnmente utilizados para los fundidores conocidos que son elegibles para el programa de auditoría CFSP.
La Columna C es una lista de los nombres de los fundidores estándares oficiales, entendiéndose que son los nombres legales de los fundidores elegibles. La mayoría de los fundidores tendrán la misma entrada en ambas columnas; sin embargo, si el nombre común varía del nombre estándar, la variación se observa en la Columna B. </t>
    </r>
  </si>
  <si>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</si>
  <si>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</si>
  <si>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</si>
  <si>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</si>
  <si>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</si>
  <si>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</si>
  <si>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</si>
  <si>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</si>
  <si>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</si>
  <si>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</si>
  <si>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</si>
  <si>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</si>
  <si>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</si>
  <si>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</si>
  <si>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</si>
  <si>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</si>
  <si>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</si>
  <si>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</si>
  <si>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</si>
  <si>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</si>
  <si>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</si>
  <si>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</si>
  <si>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</si>
  <si>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</si>
  <si>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</si>
  <si>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</si>
  <si>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</si>
  <si>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</si>
  <si>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</si>
  <si>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</si>
  <si>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</si>
  <si>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</si>
  <si>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</si>
  <si>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</si>
  <si>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</si>
  <si>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</si>
  <si>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</si>
  <si>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</si>
  <si>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</si>
  <si>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D16 单元格中提供联系人的电子邮件地址</t>
  </si>
  <si>
    <t>「申告」タブのD16セルに連絡先担当者の電子メールを記入してください</t>
  </si>
  <si>
    <t xml:space="preserve">신고(Declaration) 탭의 D16 셀에 담당자 이메일을 제공하십시오. </t>
  </si>
  <si>
    <t>Saisissez une adresse e-mail de contact dans la cellule D16 de l'onglet Déclaration</t>
  </si>
  <si>
    <t>Forneça um e-mail para contato na célula D16 da guia Declaração</t>
  </si>
  <si>
    <t>Geben Sie eine Kontakt-E-Mail-Adresse in der Reiterzelle D16 der Erklärung an</t>
  </si>
  <si>
    <t>Proporcione el correo electrónico del contacto en la pestaña Declaration (Declaración), celda D16</t>
  </si>
  <si>
    <t>Fornire un'e-mail di contatto nella cella D16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</si>
  <si>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</si>
  <si>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</si>
  <si>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</si>
  <si>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</si>
  <si>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</si>
  <si>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</si>
  <si>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</si>
  <si>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</si>
  <si>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</si>
  <si>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</si>
  <si>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</si>
  <si>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</si>
  <si>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</si>
  <si>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</si>
  <si>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</si>
  <si>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</si>
  <si>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D20 单元格中提供授权公司代表的电子邮件地址</t>
  </si>
  <si>
    <t>「申告」タブのD20セルに会社から正式に認められた代表者の電子メールを記入してください</t>
  </si>
  <si>
    <t xml:space="preserve">신고(Declaration) 탭의 D20 셀에 회사 대표 정보책임 담당자 이메일을 제공하십시오. </t>
  </si>
  <si>
    <t>Saisissez l'adresse e-mail du représentant agréé de l'entreprise dans la cellule D20 de l'onglet Déclaration</t>
  </si>
  <si>
    <t>Forneça um e-mail para o representante autorizado pela empresa na célula D20 da guia Declaração</t>
  </si>
  <si>
    <t>Geben Sie eine E-Mail-Adresse eines bevollmächtigten Unternehmensvertreters in der Reiterzelle D20 der Erklärung an</t>
  </si>
  <si>
    <t>Proporcione un correo electrónico del representante autorizado de la compañía en la pestaña Declaration (Declaración), celda D20</t>
  </si>
  <si>
    <t>Fornire un'e-mail del rappresentante della società autorizzata nella cella D20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</si>
  <si>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</si>
  <si>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</si>
  <si>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</si>
  <si>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</si>
  <si>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</si>
  <si>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</si>
  <si>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</si>
  <si>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</si>
  <si>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</si>
  <si>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</si>
  <si>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</si>
  <si>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</si>
  <si>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</si>
  <si>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</si>
  <si>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</si>
  <si>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</si>
  <si>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</si>
  <si>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</si>
  <si>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</si>
  <si>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</si>
  <si>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</si>
  <si>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</si>
  <si>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</si>
  <si>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</si>
  <si>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</si>
  <si>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</si>
  <si>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</si>
  <si>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</si>
  <si>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</si>
  <si>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</si>
  <si>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</si>
  <si>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</si>
  <si>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</si>
  <si>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</si>
  <si>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</si>
  <si>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</si>
  <si>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</si>
  <si>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</si>
  <si>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</si>
  <si>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</si>
  <si>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</si>
  <si>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</si>
  <si>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</si>
  <si>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</si>
  <si>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</si>
  <si>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</si>
  <si>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</si>
  <si>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</si>
  <si>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</si>
  <si>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</si>
  <si>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</si>
  <si>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</si>
  <si>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</si>
  <si>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</si>
  <si>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</si>
  <si>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</si>
  <si>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</si>
  <si>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</si>
  <si>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</si>
  <si>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</si>
  <si>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</si>
  <si>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</si>
  <si>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</si>
  <si>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</si>
  <si>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</si>
  <si>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</si>
  <si>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</si>
  <si>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</si>
  <si>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</si>
  <si>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</si>
  <si>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</si>
  <si>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</si>
  <si>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</si>
  <si>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</si>
  <si>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</si>
  <si>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</si>
  <si>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</si>
  <si>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</si>
  <si>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</si>
  <si>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</si>
  <si>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</si>
  <si>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</si>
  <si>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</si>
  <si>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</si>
  <si>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</si>
  <si>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</si>
  <si>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</si>
  <si>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</si>
  <si>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</si>
  <si>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</si>
  <si>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</si>
  <si>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</si>
  <si>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</si>
  <si>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</si>
  <si>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</si>
  <si>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</si>
  <si>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</si>
  <si>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</si>
  <si>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</si>
  <si>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</si>
  <si>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</si>
  <si>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</si>
  <si>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</si>
  <si>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</si>
  <si>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</si>
  <si>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</si>
  <si>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</si>
  <si>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</si>
  <si>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</si>
  <si>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</si>
  <si>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</si>
  <si>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</si>
  <si>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</si>
  <si>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</si>
  <si>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</si>
  <si>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</si>
  <si>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</si>
  <si>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</si>
  <si>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</si>
  <si>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</si>
  <si>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</si>
  <si>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</si>
  <si>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</si>
  <si>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</si>
  <si>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</si>
  <si>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</si>
  <si>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</si>
  <si>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</si>
  <si>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</si>
  <si>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</si>
  <si>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</si>
  <si>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</si>
  <si>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</si>
  <si>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</si>
  <si>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</si>
  <si>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</si>
  <si>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</si>
  <si>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</si>
  <si>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</si>
  <si>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</si>
  <si>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</si>
  <si>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</si>
  <si>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</si>
  <si>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</si>
  <si>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</si>
  <si>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</si>
  <si>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</si>
  <si>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</si>
  <si>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</si>
  <si>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</si>
  <si>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</si>
  <si>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</si>
  <si>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</si>
  <si>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</si>
  <si>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</si>
  <si>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</si>
  <si>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</si>
  <si>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</si>
  <si>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</si>
  <si>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</si>
  <si>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</si>
  <si>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</si>
  <si>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</si>
  <si>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</si>
  <si>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</si>
  <si>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</si>
  <si>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</si>
  <si>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</si>
  <si>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</si>
  <si>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</si>
  <si>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</si>
  <si>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</si>
  <si>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</si>
  <si>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</si>
  <si>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</si>
  <si>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</si>
  <si>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</si>
  <si>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</si>
  <si>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</si>
  <si>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</si>
  <si>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</si>
  <si>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</si>
  <si>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</si>
  <si>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</si>
  <si>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</si>
  <si>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</si>
  <si>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</si>
  <si>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</si>
  <si>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</si>
  <si>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</si>
  <si>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</si>
  <si>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</si>
  <si>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</si>
  <si>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</si>
  <si>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</si>
  <si>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</si>
  <si>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</si>
  <si>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</si>
  <si>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</si>
  <si>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</si>
  <si>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</si>
  <si>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</si>
  <si>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</si>
  <si>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</si>
  <si>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</si>
  <si>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</si>
  <si>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</si>
  <si>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</si>
  <si>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</si>
  <si>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</si>
  <si>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</si>
  <si>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</si>
  <si>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</si>
  <si>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</si>
  <si>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</si>
  <si>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</si>
  <si>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</si>
  <si>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</si>
  <si>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</si>
  <si>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</si>
  <si>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</si>
  <si>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</si>
  <si>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</si>
  <si>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</si>
  <si>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</si>
  <si>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</si>
  <si>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</si>
  <si>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</si>
  <si>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</si>
  <si>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</si>
  <si>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</si>
  <si>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</si>
  <si>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</si>
  <si>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</si>
  <si>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</si>
  <si>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</si>
  <si>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</si>
  <si>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</si>
  <si>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</si>
  <si>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</si>
  <si>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</si>
  <si>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</si>
  <si>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</si>
  <si>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</si>
  <si>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</si>
  <si>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</si>
  <si>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</si>
  <si>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</si>
  <si>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</si>
  <si>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</si>
  <si>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</si>
  <si>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</si>
  <si>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</si>
  <si>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</si>
  <si>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</si>
  <si>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</si>
  <si>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</si>
  <si>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</si>
  <si>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</si>
  <si>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</si>
  <si>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</si>
  <si>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</si>
  <si>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</si>
  <si>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</si>
  <si>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</si>
  <si>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</si>
  <si>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</si>
  <si>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</si>
  <si>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</si>
  <si>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</si>
  <si>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</si>
  <si>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</si>
  <si>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</si>
  <si>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</si>
  <si>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</si>
  <si>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</si>
  <si>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</si>
  <si>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</si>
  <si>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</si>
  <si>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</si>
  <si>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</si>
  <si>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</si>
  <si>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</si>
  <si>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</si>
  <si>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</si>
  <si>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</si>
  <si>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</si>
  <si>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</si>
  <si>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</si>
  <si>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</si>
  <si>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</si>
  <si>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</si>
  <si>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</si>
  <si>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</si>
  <si>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</si>
  <si>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</si>
  <si>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</si>
  <si>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</si>
  <si>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</si>
  <si>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</si>
  <si>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</si>
  <si>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</si>
  <si>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</si>
  <si>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</si>
  <si>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</si>
  <si>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</si>
  <si>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</si>
  <si>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</si>
  <si>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</si>
  <si>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</si>
  <si>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</si>
  <si>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</si>
  <si>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</si>
  <si>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</si>
  <si>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</si>
  <si>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</si>
  <si>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</si>
  <si>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</si>
  <si>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</si>
  <si>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</si>
  <si>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</si>
  <si>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</si>
  <si>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</si>
  <si>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</si>
  <si>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</si>
  <si>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</si>
  <si>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</si>
  <si>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</si>
  <si>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</si>
  <si>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</si>
  <si>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</si>
  <si>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</si>
  <si>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</si>
  <si>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</si>
  <si>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</si>
  <si>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</si>
  <si>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</si>
  <si>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</si>
  <si>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</si>
  <si>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</si>
  <si>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</si>
  <si>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</si>
  <si>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</si>
  <si>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</si>
  <si>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</si>
  <si>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</si>
  <si>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</si>
  <si>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</si>
  <si>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</si>
  <si>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</si>
  <si>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</si>
  <si>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</si>
  <si>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</si>
  <si>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</si>
  <si>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</si>
  <si>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</si>
  <si>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</si>
  <si>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</si>
  <si>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</si>
  <si>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</si>
  <si>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</si>
  <si>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</si>
  <si>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</si>
  <si>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</si>
  <si>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</si>
  <si>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</si>
  <si>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</si>
  <si>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</si>
  <si>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</si>
  <si>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</si>
  <si>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</si>
  <si>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</si>
  <si>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</si>
  <si>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</si>
  <si>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</si>
  <si>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</si>
  <si>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</si>
  <si>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</si>
  <si>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</si>
  <si>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</si>
  <si>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</si>
  <si>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D. 이것은 회사가1차 협력사 에게 검증된 분쟁으로부터 자유로운 제련소에서 분쟁 광물을 구매하도록 요구하는지 여부를 결정하는 신고입니다. 이 질문에 대한 답은 "Yes" 또는 "No"여야 합니다. 이 질문은 필수 사항입니다.</t>
  </si>
  <si>
    <t>E. 귀사가 분쟁광물 공급 실사 수단을 시행하고 있는 지 여부를 밝히기 위해 "Yes" 또는 "No"로 대답하시오. 이 신고는 회사의 실사 수단의 상세를 말하기 위해 의도된 것이 아니고 단지 회사가 실수 수단을 시행하고 있는 지를 위함입니다. 수용가능한 실사 수단이라는 측면은 요구자와 공급자에 의해 결정됩니다.
실사 수단의 예는 분쟁에서 자유로운 물질 공급망에 대한 당신의 기대 논의되고 계약에 삽입되었는지, 공급망에서의 위험이 식별되고 평가되었는지, 식별된 위험에 대한 조치 전략이 고안되고 시행되었는지, 1차 협력사의 DRC 분쟁 없는 (광물) 정책에 대한 준수가 확인되었는지 등이다. 이러한 실사 수단의 예는 국제적으로 인정된 OECD Guidance에 포함된 규정들에 일치합니다.</t>
  </si>
  <si>
    <t>Please answer Questions 1 and 2 on Declaration tab</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</si>
  <si>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</si>
  <si>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</si>
  <si>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</si>
  <si>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</si>
  <si>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</si>
  <si>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</si>
  <si>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</si>
  <si>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</si>
  <si>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</si>
  <si>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</si>
  <si>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</si>
  <si>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2.  御社の申告範囲を選択してください。範囲の選択肢は以下のとおりです: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</si>
  <si>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7.  この質問は、この申告の対象となる製品に含まれるあらゆる3TGを供給していると特定された全ての製錬業者が、この申告で報告されていることを検証します。この質問の回答は、「Yes（はい）」又は「No（いいえ）」です（例：製錬業者のリスト）。この質問は、質問1又は2の回答が「Yes（はい）」の金属については必須となります。</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</si>
  <si>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</si>
  <si>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1)3TGは御社の製品に意図的に付加されていますか？(*)</t>
  </si>
  <si>
    <r>
      <t xml:space="preserve">F.  御社はサプライヤーから、IPC-1755紛争鉱物データ交換規格に適合する紛争鉱物デューデリジェンス情報を収集しますか </t>
    </r>
    <r>
      <rPr>
        <sz val="10"/>
        <rFont val="Calibri"/>
        <family val="2"/>
      </rPr>
      <t xml:space="preserve">[例：CFSI紛争鉱物報告テンプレート]？ </t>
    </r>
  </si>
  <si>
    <t>以下の精錬業者リストは、このテンプレート発表時点で最新のCFSIの精錬業者／別名の情報を表すものです。このリストに精錬業者の名前が掲載されている場合であっても、それはコンフリクトフリー精錬業者プログラム内で現在アクティブまたは適合しているという保証ではありません。
最新版かつ正確な標準精錬業者（アクティブまたは適合）リストについては、CFSIウエブサイトを参照してください（http://www.conflictfreesourcing.org）。
B列は、CFSPの監査プログラムの資格を持つ既知の精錬業者の一般名称リストです。
C列は、資格を持つ精錬業者の正式名称と理解されている、正式な標準精錬業者名のリストです。大多数の精錬業者の名前は両列で同じですが、一般名称が正式名と違う場合は、B列にその違いが注記されています。</t>
  </si>
  <si>
    <t>D.  これは、企業が直接サプライヤーに対し、認証されたコンフリクトフリーの製錬業者から3TGを調達することを要求するかどうかを判定する申告です。「Yes（はい）」又は「No（いいえ）」で回答してください。この質問への回答は必須です。</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</si>
  <si>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</si>
  <si>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</si>
  <si>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</si>
  <si>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</si>
  <si>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</si>
  <si>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TayNinh</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</si>
  <si>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</si>
  <si>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</si>
  <si>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</si>
  <si>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</si>
  <si>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</si>
  <si>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</si>
  <si>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</si>
  <si>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</si>
  <si>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</si>
  <si>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</si>
  <si>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</si>
  <si>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</si>
  <si>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</si>
  <si>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</si>
  <si>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Hwasung CJ Co., Ltd.</t>
  </si>
  <si>
    <t>Johnson Matthey Inc.</t>
  </si>
  <si>
    <t>Johnson Matthey Limited</t>
  </si>
  <si>
    <t>King-Tan Tantalum Industry Ltd.</t>
  </si>
  <si>
    <t>Kojima Chemicals Co., Ltd.</t>
  </si>
  <si>
    <t>Korea Metal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</si>
  <si>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</si>
  <si>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</si>
  <si>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</si>
  <si>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</si>
  <si>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</si>
  <si>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</si>
  <si>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</si>
  <si>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</si>
  <si>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</si>
  <si>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</si>
  <si>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PT Seirama Tin Investment</t>
  </si>
  <si>
    <t>Rand Refinery (Pty) Ltd.</t>
  </si>
  <si>
    <t>RFH Tantalum Smeltry Co., Ltd.</t>
  </si>
  <si>
    <t>SAMWON Metals Corp.</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</si>
  <si>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</si>
  <si>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</si>
  <si>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</si>
  <si>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</si>
  <si>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</si>
  <si>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</si>
  <si>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</si>
  <si>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</si>
  <si>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</si>
  <si>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</si>
  <si>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Zhuzhou Cemented Carbide</t>
  </si>
  <si>
    <t>Yichun Jin Yang Rare Metal Co., Ltd.</t>
  </si>
  <si>
    <t>Magnu's Minerais Metais e Ligas Ltda.</t>
  </si>
  <si>
    <t>PT Wahana Perkit Jaya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</si>
  <si>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</si>
  <si>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</si>
  <si>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</si>
  <si>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</si>
  <si>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</si>
  <si>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</si>
  <si>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</si>
  <si>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</si>
  <si>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</si>
  <si>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</si>
  <si>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</si>
  <si>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</si>
  <si>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</si>
  <si>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</si>
  <si>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</si>
  <si>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</si>
  <si>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</si>
  <si>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</si>
  <si>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A.你是否已制定不使用冲突矿产的采购政策?</t>
  </si>
  <si>
    <t>A. Gibt es in Ihrem Unternehmen eine Richtlinie zur Beschaffung von  Konfliktmineralien?</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</si>
  <si>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</si>
  <si>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</si>
  <si>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 xml:space="preserve">F. Erheben Sie von Ihren Lieferanten Due-Diligence-Informationen zu Konfliktmineralien gemäß Richtlinie IPC-1755 „Conflict Minerals Data Exchange Standard“ [z. B. CFSI Conflict Minerals Reporting Template]？ </t>
  </si>
  <si>
    <t>G. Verlangen Sie von Ihren Lieferanten die Namen der Schmelzhütten?</t>
  </si>
  <si>
    <t>H. Überprüfen Sie die Due-Diligence-Informationen, die Sie von ihren Lieferanten erhalten, anhand der Erwartungen Ihres Unternehmens?</t>
  </si>
  <si>
    <t>I. Sieht Ihr Review-Prozess ein Korrekturmaßnahmen-Management vor?</t>
  </si>
  <si>
    <t>B. Ist Ihre Richtlinie zur Beschaffung von Konfliktmineralien öffentlich auf ihrer Website verfügbar? (Hinweis: Wenn "Ja" geben Sie die URL im Feld "Kommentar" an.)</t>
  </si>
  <si>
    <t xml:space="preserve">5) 관련된 모든 공급 협력사로부터 각 3TG에 대한 데이터/정보를 받았습니까? (*)  </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</si>
  <si>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</si>
  <si>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</si>
  <si>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</si>
  <si>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</si>
  <si>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</si>
  <si>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</si>
  <si>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</si>
  <si>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</si>
  <si>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</si>
  <si>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</si>
  <si>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</si>
  <si>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</si>
  <si>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</si>
  <si>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</si>
  <si>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</si>
  <si>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</si>
  <si>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</si>
  <si>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</si>
  <si>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</si>
  <si>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</si>
  <si>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</si>
  <si>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</si>
  <si>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</si>
  <si>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</si>
  <si>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</si>
  <si>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</si>
  <si>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</si>
  <si>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</si>
  <si>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</si>
  <si>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</si>
  <si>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</si>
  <si>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</si>
  <si>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</si>
  <si>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Karaganda Region</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</si>
  <si>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</si>
  <si>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</si>
  <si>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</si>
  <si>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</si>
  <si>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</si>
  <si>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5) Haben Sie von allen betroffenen Lieferanten die entsprechenden Daten/Informationen zu jedem 3TG-Mineral erhalten?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</si>
  <si>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</si>
  <si>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</si>
  <si>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2)3TGは御社の製品の生産に必要であり、御社が製造又は製造委託している完成品に含まれていますか？ (*)</t>
  </si>
  <si>
    <t>4)3TG（御社の製品の機能性又は生産に必要なもの）は全て、再生利用品又はスクラップ起源から調達していますか？</t>
  </si>
  <si>
    <t>6)御社のサプライチェーンに3TGを供給する製錬業者を全て特定しましたか？</t>
  </si>
  <si>
    <t>7)御社は受領した該当する全ての製錬業者情報を、この申告で報告していますか？</t>
  </si>
  <si>
    <t>2)3TG是否在贵公司产品生产中必须使用和存在于贵公司生产的成品或外包生产的成品中？(*)</t>
  </si>
  <si>
    <r>
      <t xml:space="preserve">D. This is a declaration to determine whether a company requires their direct suppliers to source </t>
    </r>
    <r>
      <rPr>
        <b/>
        <sz val="10"/>
        <rFont val="Verdana"/>
        <family val="2"/>
      </rPr>
      <t>3TG</t>
    </r>
    <r>
      <rPr>
        <sz val="10"/>
        <rFont val="Verdana"/>
        <family val="2"/>
      </rPr>
      <t xml:space="preserve"> from validated, conflict free smelters. The answer to this query shall be "yes" or "no". This question is mandatory.</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</si>
  <si>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</si>
  <si>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</si>
  <si>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</si>
  <si>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</si>
  <si>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Elemetal Refining, LLC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</si>
  <si>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</si>
  <si>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</si>
  <si>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</si>
  <si>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</si>
  <si>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</si>
  <si>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</si>
  <si>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</si>
  <si>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</si>
  <si>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</si>
  <si>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</si>
  <si>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</si>
  <si>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</si>
  <si>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</si>
  <si>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</si>
  <si>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</si>
  <si>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</si>
  <si>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</si>
  <si>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</si>
  <si>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</si>
  <si>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</si>
  <si>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</si>
  <si>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Zijin Mining Group Co., Ltd. Gold Refinery</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</si>
  <si>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</si>
  <si>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</si>
  <si>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</si>
  <si>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</si>
  <si>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</si>
  <si>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</si>
  <si>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</si>
  <si>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</si>
  <si>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</si>
  <si>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</si>
  <si>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</si>
  <si>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</si>
  <si>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</si>
  <si>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</si>
  <si>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</si>
  <si>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</si>
  <si>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</si>
  <si>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</si>
  <si>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</si>
  <si>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</si>
  <si>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</si>
  <si>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</si>
  <si>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PT Timah Nusantara</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</si>
  <si>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</si>
  <si>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</si>
  <si>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</si>
  <si>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</si>
  <si>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</si>
  <si>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</si>
  <si>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</si>
  <si>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</si>
  <si>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</si>
  <si>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</si>
  <si>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</si>
  <si>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</si>
  <si>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</si>
  <si>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</si>
  <si>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</si>
  <si>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</si>
  <si>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</si>
  <si>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</si>
  <si>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</si>
  <si>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</si>
  <si>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</si>
  <si>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</si>
  <si>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</si>
  <si>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</si>
  <si>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</si>
  <si>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</si>
  <si>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</si>
  <si>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</si>
  <si>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</si>
  <si>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Novosibirsk Province</t>
  </si>
  <si>
    <t>SAAMP</t>
  </si>
  <si>
    <t>CID002761</t>
  </si>
  <si>
    <t>Paris</t>
  </si>
  <si>
    <t>Ile-de-France</t>
  </si>
  <si>
    <t>Tony Goetz NV</t>
  </si>
  <si>
    <t>CID002587</t>
  </si>
  <si>
    <t>E.S.R. Electronics</t>
  </si>
  <si>
    <t>CID002590</t>
  </si>
  <si>
    <t>Houston</t>
  </si>
  <si>
    <t>Texas</t>
  </si>
  <si>
    <t>ULBA</t>
  </si>
  <si>
    <t>Chenzhou Yun Xiang mining limited liability company</t>
  </si>
  <si>
    <t>CV Tiga Sekawan</t>
  </si>
  <si>
    <t>CID002593</t>
  </si>
  <si>
    <t>CID002848</t>
  </si>
  <si>
    <t>Jijie</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</si>
  <si>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</si>
  <si>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</si>
  <si>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</si>
  <si>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</si>
  <si>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</si>
  <si>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</si>
  <si>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</si>
  <si>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</si>
  <si>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</si>
  <si>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</si>
  <si>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</si>
  <si>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</si>
  <si>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Yi Chun City</t>
  </si>
  <si>
    <t>Moliren Ltd</t>
  </si>
  <si>
    <t>CID002845</t>
  </si>
  <si>
    <t>Roshal</t>
  </si>
  <si>
    <t>CID002827</t>
  </si>
  <si>
    <t>Marilao</t>
  </si>
  <si>
    <t>Bulacan</t>
  </si>
  <si>
    <t>South-East Nonferrous Metal Company Limited of Hengyang City</t>
  </si>
  <si>
    <t>CID002815</t>
  </si>
  <si>
    <t>Woltech Korea Co., Ltd.</t>
  </si>
  <si>
    <t>CID002843</t>
  </si>
  <si>
    <t>Gyeongju</t>
  </si>
  <si>
    <t>Gyeongsanbuk</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</si>
  <si>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</si>
  <si>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</si>
  <si>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</si>
  <si>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</si>
  <si>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</si>
  <si>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</si>
  <si>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</si>
  <si>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</si>
  <si>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</si>
  <si>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</si>
  <si>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</si>
  <si>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</si>
  <si>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</si>
  <si>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</si>
  <si>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</si>
  <si>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</si>
  <si>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1.</t>
    </r>
    <r>
      <rPr>
        <sz val="11"/>
        <color indexed="8"/>
        <rFont val="Verdana"/>
        <family val="2"/>
      </rPr>
      <t xml:space="preserve"> </t>
    </r>
    <r>
      <rPr>
        <sz val="11"/>
        <color indexed="8"/>
        <rFont val="Verdana"/>
        <family val="2"/>
      </rPr>
      <t>Şirketinizin Yasal Adını girin.</t>
    </r>
    <r>
      <rPr>
        <sz val="11"/>
        <color indexed="8"/>
        <rFont val="Verdana"/>
        <family val="2"/>
      </rPr>
      <t xml:space="preserve"> </t>
    </r>
    <r>
      <rPr>
        <sz val="11"/>
        <color indexed="8"/>
        <rFont val="Verdana"/>
        <family val="2"/>
      </rPr>
      <t>Lütfen kısaltma kullanmayın</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</si>
  <si>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</si>
  <si>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</si>
  <si>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</si>
  <si>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</si>
  <si>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</si>
  <si>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</si>
  <si>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</si>
  <si>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</si>
  <si>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</si>
  <si>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</si>
  <si>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</si>
  <si>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</si>
  <si>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</si>
  <si>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</si>
  <si>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</si>
  <si>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0"/>
        <color indexed="8"/>
        <rFont val="Verdana"/>
        <family val="2"/>
      </rPr>
      <t>Zorunlu yedi sorunun her birinde, açılır menü seçimlerini kullanarak her bir metal için bir yanıt verin. Bu bölümdeki sorular tüm 3TG'ler için doldurulmalıdır.</t>
    </r>
    <r>
      <rPr>
        <sz val="10"/>
        <color indexed="8"/>
        <rFont val="Verdana"/>
        <family val="2"/>
      </rPr>
      <t xml:space="preserve"> </t>
    </r>
    <r>
      <rPr>
        <sz val="10"/>
        <color indexed="8"/>
        <rFont val="Verdana"/>
        <family val="2"/>
      </rPr>
      <t>Bir metal ile ilgili olarak soru 1 ve/veya soru 2'ye olumlu yanıt verilmişse, bu metal için daha sonraki soruların ve şirketin genel durum tespiti programı hakkındaki soruların (A ile J arası) da yanıtlanması gerekmektedir.</t>
    </r>
  </si>
  <si>
    <r>
      <rPr>
        <sz val="11"/>
        <color indexed="8"/>
        <rFont val="Verdana"/>
        <family val="2"/>
      </rPr>
      <t>Bazı şirketler "Hayır" yanıtı için bir doğrulama gerektirebilir ve bu doğrulamanın Açıklama alanına girilmesi gerekmektedir.</t>
    </r>
  </si>
  <si>
    <r>
      <rPr>
        <sz val="10"/>
        <color indexed="8"/>
        <rFont val="Verdana"/>
        <family val="2"/>
      </rPr>
      <t>3.</t>
    </r>
    <r>
      <rPr>
        <sz val="10"/>
        <color indexed="8"/>
        <rFont val="Verdana"/>
        <family val="2"/>
      </rPr>
      <t xml:space="preserve"> </t>
    </r>
    <r>
      <rPr>
        <sz val="10"/>
        <color indexed="8"/>
        <rFont val="Verdana"/>
        <family val="2"/>
      </rPr>
      <t xml:space="preserve">Bu, bir ya da birden fazla ürün içinde bulunan 3TG'lerin herhangi bir kısmının DKC veya komşu ülkelerinden (kapsam dahilindeki ülkelerden) geldiğine dair bir beyandır. </t>
    </r>
    <r>
      <rPr>
        <sz val="10"/>
        <color indexed="8"/>
        <rFont val="Verdana"/>
        <family val="2"/>
      </rPr>
      <t xml:space="preserve"> </t>
    </r>
    <r>
      <rPr>
        <sz val="10"/>
        <color indexed="8"/>
        <rFont val="Verdana"/>
        <family val="2"/>
      </rPr>
      <t xml:space="preserve">
Bu soruya "evet", "hayır" ya da "bilinmiyor" şeklinde yanıt verilmelidir.</t>
    </r>
    <r>
      <rPr>
        <sz val="10"/>
        <color indexed="8"/>
        <rFont val="Verdana"/>
        <family val="2"/>
      </rPr>
      <t xml:space="preserve">
1 veya 2. soruya belirli bir metal için “Evet” yanıtı verilmişse, bu metal için bu soruya yanıt verilmesi zorunludur.</t>
    </r>
  </si>
  <si>
    <r>
      <rPr>
        <sz val="10"/>
        <color indexed="8"/>
        <rFont val="Verdana"/>
        <family val="2"/>
      </rPr>
      <t>4.</t>
    </r>
    <r>
      <rPr>
        <sz val="10"/>
        <color indexed="8"/>
        <rFont val="Verdana"/>
        <family val="2"/>
      </rPr>
      <t xml:space="preserve"> </t>
    </r>
    <r>
      <rPr>
        <sz val="10"/>
        <color indexed="8"/>
        <rFont val="Verdana"/>
        <family val="2"/>
      </rPr>
      <t>Bu, ürünler içinde bulunan ve ürünün işlevselliği için gerekli 3TG'lerin bu geri dönüşüm veya hurda kaynaklardan gelip gelmediğinin beyanıdır.</t>
    </r>
    <r>
      <rPr>
        <sz val="10"/>
        <color indexed="8"/>
        <rFont val="Verdana"/>
        <family val="2"/>
      </rPr>
      <t xml:space="preserve"> </t>
    </r>
    <r>
      <rPr>
        <sz val="10"/>
        <color indexed="8"/>
        <rFont val="Verdana"/>
        <family val="2"/>
      </rPr>
      <t xml:space="preserve">
Bu soruya "evet", "hayır" ya da "bilinmiyor" şeklinde yanıt verilmelidir.</t>
    </r>
    <r>
      <rPr>
        <sz val="10"/>
        <color indexed="8"/>
        <rFont val="Verdana"/>
        <family val="2"/>
      </rPr>
      <t xml:space="preserve"> </t>
    </r>
    <r>
      <rPr>
        <sz val="10"/>
        <color indexed="8"/>
        <rFont val="Verdana"/>
        <family val="2"/>
      </rPr>
      <t>1 veya 2. soruya belirli bir metal için “Evet” yanıtı verilmişse, bu metal için bu soruya yanıt verilmesi zorunludur.</t>
    </r>
    <r>
      <rPr>
        <sz val="10"/>
        <color indexed="8"/>
        <rFont val="Verdana"/>
        <family val="2"/>
      </rPr>
      <t xml:space="preserve">
Bu soruya "Evet" yanıtı verilmesi, 3TG'lerin %100'ünün geri dönüşüm veya hurda kaynaklarından elde edildiği anlamına gelecektir.</t>
    </r>
    <r>
      <rPr>
        <sz val="10"/>
        <color indexed="8"/>
        <rFont val="Verdana"/>
        <family val="2"/>
      </rPr>
      <t xml:space="preserve"> </t>
    </r>
    <r>
      <rPr>
        <sz val="10"/>
        <color indexed="8"/>
        <rFont val="Verdana"/>
        <family val="2"/>
      </rPr>
      <t>Bu</t>
    </r>
    <r>
      <rPr>
        <sz val="10"/>
        <color indexed="8"/>
        <rFont val="Verdana"/>
        <family val="2"/>
      </rPr>
      <t xml:space="preserve"> soruya "Hayır" yanıtı verilmesi, 3TG'lerin bir kısmının geri dönüşüm veya hurda kaynaklarından elde edilmediği anlamına gelecektir.</t>
    </r>
    <r>
      <rPr>
        <sz val="10"/>
        <color indexed="8"/>
        <rFont val="Verdana"/>
        <family val="2"/>
      </rPr>
      <t xml:space="preserve"> </t>
    </r>
    <r>
      <rPr>
        <sz val="10"/>
        <color indexed="8"/>
        <rFont val="Verdana"/>
        <family val="2"/>
      </rPr>
      <t>Bu soruya "Bilinmiyor"	yanıtı verilmesi, kullanıcının 3TG'nin %100'ünün geri dönüşüm veya hurda kaynaklarından elde edilip edilmediğini bilmediği anlamına gelecektir.</t>
    </r>
    <r>
      <rPr>
        <sz val="10"/>
        <color indexed="8"/>
        <rFont val="Verdana"/>
        <family val="2"/>
      </rPr>
      <t xml:space="preserve"> </t>
    </r>
  </si>
  <si>
    <r>
      <rPr>
        <sz val="10"/>
        <color indexed="8"/>
        <rFont val="Verdana"/>
        <family val="2"/>
      </rPr>
      <t>5.</t>
    </r>
    <r>
      <rPr>
        <sz val="10"/>
        <color indexed="8"/>
        <rFont val="Verdana"/>
        <family val="2"/>
      </rPr>
      <t xml:space="preserve"> </t>
    </r>
    <r>
      <rPr>
        <sz val="10"/>
        <color indexed="8"/>
        <rFont val="Verdana"/>
        <family val="2"/>
      </rPr>
      <t>Bu bir şirketin bu beyan kapsamındaki ürünlerde makul düzeyde 3TG sağladığına inanılan tüm doğrudan tedarikçilerin ihtilaf konusu maden açıklaması yapıp yapmadığının belirlenmesi yönünde bir beyandır.</t>
    </r>
    <r>
      <rPr>
        <sz val="10"/>
        <color indexed="8"/>
        <rFont val="Verdana"/>
        <family val="2"/>
      </rPr>
      <t xml:space="preserve"> </t>
    </r>
    <r>
      <rPr>
        <sz val="10"/>
        <color indexed="8"/>
        <rFont val="Verdana"/>
        <family val="2"/>
      </rPr>
      <t>Bu soruya aşağıdaki şekillerde yanıt verilebilir:</t>
    </r>
    <r>
      <rPr>
        <sz val="10"/>
        <color indexed="8"/>
        <rFont val="Verdana"/>
        <family val="2"/>
      </rPr>
      <t xml:space="preserve">
­ Evet, %100</t>
    </r>
    <r>
      <rPr>
        <sz val="10"/>
        <color indexed="8"/>
        <rFont val="Verdana"/>
        <family val="2"/>
      </rPr>
      <t xml:space="preserve">
­ Hayır, ancak %75'ten fazla</t>
    </r>
    <r>
      <rPr>
        <sz val="10"/>
        <color indexed="8"/>
        <rFont val="Verdana"/>
        <family val="2"/>
      </rPr>
      <t xml:space="preserve">
­ Hayır, ancak %50'den fazla</t>
    </r>
    <r>
      <rPr>
        <sz val="10"/>
        <color indexed="8"/>
        <rFont val="Verdana"/>
        <family val="2"/>
      </rPr>
      <t xml:space="preserve">
­ Hayır, ancak %25'ten fazla</t>
    </r>
    <r>
      <rPr>
        <sz val="10"/>
        <color indexed="8"/>
        <rFont val="Verdana"/>
        <family val="2"/>
      </rPr>
      <t xml:space="preserve">
­ Hayır, ancak %25'ten az</t>
    </r>
    <r>
      <rPr>
        <sz val="10"/>
        <color indexed="8"/>
        <rFont val="Verdana"/>
        <family val="2"/>
      </rPr>
      <t xml:space="preserve">
­ Hiçbiri</t>
    </r>
    <r>
      <rPr>
        <sz val="10"/>
        <color indexed="8"/>
        <rFont val="Verdana"/>
        <family val="2"/>
      </rPr>
      <t xml:space="preserve">
Bir metal için 1. veya 2. soruda “Evet” yanıtı verilmişse, bu metal için bu sorunun yanıtlanması zorunludur.</t>
    </r>
  </si>
  <si>
    <r>
      <rPr>
        <sz val="10"/>
        <color indexed="8"/>
        <rFont val="Verdana"/>
        <family val="2"/>
      </rPr>
      <t>6.</t>
    </r>
    <r>
      <rPr>
        <sz val="10"/>
        <color indexed="8"/>
        <rFont val="Verdana"/>
        <family val="2"/>
      </rPr>
      <t xml:space="preserve"> </t>
    </r>
    <r>
      <rPr>
        <sz val="10"/>
        <color indexed="8"/>
        <rFont val="Verdana"/>
        <family val="2"/>
      </rPr>
      <t>Bu soru, tedarikçinin bu beyan kapsamındaki ürünlerde 3TG sağlayan tüm izabe tesislerinin tanımlandığını düşünüp düşü</t>
    </r>
    <r>
      <rPr>
        <sz val="10"/>
        <color indexed="8"/>
        <rFont val="Verdana"/>
        <family val="2"/>
      </rPr>
      <t>nmediğini doğrulama amacı taşır.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</si>
  <si>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0"/>
        <color indexed="8"/>
        <rFont val="Verdana"/>
        <family val="2"/>
      </rPr>
      <t>7.</t>
    </r>
    <r>
      <rPr>
        <sz val="10"/>
        <color indexed="8"/>
        <rFont val="Verdana"/>
        <family val="2"/>
      </rPr>
      <t xml:space="preserve"> </t>
    </r>
    <r>
      <rPr>
        <sz val="10"/>
        <color indexed="8"/>
        <rFont val="Verdana"/>
        <family val="2"/>
      </rPr>
      <t>Bu soru, bu beyan kapsamındaki ürünlerdeki 3TG'leri sağladığı belirlenen izabe tesislerinin beyanda bildirilip bildirilmediğini tespit etme amacı taşımaktadır.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</si>
  <si>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1"/>
        <color indexed="8"/>
        <rFont val="Verdana"/>
        <family val="2"/>
      </rPr>
      <t>Yanıtlarınızı açıklamak için Açıklama bölümlerine gereken açıklamaları girin.</t>
    </r>
  </si>
  <si>
    <r>
      <rPr>
        <sz val="11"/>
        <color indexed="8"/>
        <rFont val="Verdana"/>
        <family val="2"/>
      </rPr>
      <t>A. ve J. arası soruların yanıtlanması için talimatlar (69 ila 87 arası satırlar).</t>
    </r>
    <r>
      <rPr>
        <sz val="11"/>
        <color indexed="8"/>
        <rFont val="Verdana"/>
        <family val="2"/>
      </rPr>
      <t xml:space="preserve"> </t>
    </r>
    <r>
      <rPr>
        <sz val="11"/>
        <color indexed="8"/>
        <rFont val="Verdana"/>
        <family val="2"/>
      </rPr>
      <t>Herhangi bir metal için 1. veya 2. soruya “Evet” yanıtı verilmişse, A. ile J. arası soruların yanıtlanması gerekmektedir.</t>
    </r>
    <r>
      <rPr>
        <sz val="11"/>
        <color indexed="8"/>
        <rFont val="Verdana"/>
        <family val="2"/>
      </rPr>
      <t xml:space="preserve">
Yanıtları yalnızca İNGİLİZCE olarak verin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</si>
  <si>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</si>
  <si>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A.</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</si>
  <si>
    <r>
      <rPr>
        <sz val="11"/>
        <color indexed="8"/>
        <rFont val="Verdana"/>
        <family val="2"/>
      </rPr>
      <t>B.</t>
    </r>
    <r>
      <rPr>
        <sz val="11"/>
        <color indexed="8"/>
        <rFont val="Verdana"/>
        <family val="2"/>
      </rPr>
      <t xml:space="preserve"> </t>
    </r>
    <r>
      <rPr>
        <sz val="11"/>
        <color indexed="8"/>
        <rFont val="Verdana"/>
        <family val="2"/>
      </rPr>
      <t>Lütfen “Evet” veya “Hayır” şeklinde yanıt verin. Cevabınız “Evet” ise, web bağlantısını açıklama bölümüne ekleyin.</t>
    </r>
  </si>
  <si>
    <r>
      <rPr>
        <sz val="11"/>
        <color indexed="8"/>
        <rFont val="Verdana"/>
        <family val="2"/>
      </rPr>
      <t>C.</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r>
      <rPr>
        <sz val="11"/>
        <color indexed="8"/>
        <rFont val="Verdana"/>
        <family val="2"/>
      </rPr>
      <t>"DKC ihtilafı içermeyen" tanımı için Tanımlar çalışma sayfasını inceleyin.</t>
    </r>
  </si>
  <si>
    <r>
      <rPr>
        <sz val="10"/>
        <color indexed="8"/>
        <rFont val="Verdana"/>
        <family val="2"/>
      </rPr>
      <t>D.</t>
    </r>
    <r>
      <rPr>
        <sz val="10"/>
        <color indexed="8"/>
        <rFont val="Verdana"/>
        <family val="2"/>
      </rPr>
      <t xml:space="preserve"> </t>
    </r>
    <r>
      <rPr>
        <sz val="10"/>
        <color indexed="8"/>
        <rFont val="Verdana"/>
        <family val="2"/>
      </rPr>
      <t xml:space="preserve">Bu, bir şirketin doğrudan tedarikçilerinin </t>
    </r>
    <r>
      <rPr>
        <b/>
        <sz val="10"/>
        <color indexed="8"/>
        <rFont val="Verdana"/>
        <family val="2"/>
      </rPr>
      <t>3TG</t>
    </r>
    <r>
      <rPr>
        <sz val="10"/>
        <color indexed="8"/>
        <rFont val="Verdana"/>
        <family val="2"/>
      </rPr>
      <t>leri doğrulanmış, ihtilaf konusu olmayan izabe tesislerinden temin edip etmediğinin belirlenmesini amaçlamaktadır.</t>
    </r>
    <r>
      <rPr>
        <sz val="10"/>
        <color indexed="8"/>
        <rFont val="Verdana"/>
        <family val="2"/>
      </rPr>
      <t xml:space="preserve"> </t>
    </r>
    <r>
      <rPr>
        <sz val="10"/>
        <color indexed="8"/>
        <rFont val="Verdana"/>
        <family val="2"/>
      </rPr>
      <t>Bu soruya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</si>
  <si>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E.</t>
    </r>
    <r>
      <rPr>
        <sz val="11"/>
        <color indexed="8"/>
        <rFont val="Verdana"/>
        <family val="2"/>
      </rPr>
      <t xml:space="preserve"> </t>
    </r>
    <r>
      <rPr>
        <sz val="11"/>
        <color indexed="8"/>
        <rFont val="Verdana"/>
        <family val="2"/>
      </rPr>
      <t>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color indexed="8"/>
        <rFont val="Verdana"/>
        <family val="2"/>
      </rPr>
      <t xml:space="preserve">
Durum tespiti tedbirleri örnekleri şunları içerebilir: ihtilaf içeremeyen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t>
    </r>
    <r>
      <rPr>
        <sz val="11"/>
        <color indexed="8"/>
        <rFont val="Verdana"/>
        <family val="2"/>
      </rPr>
      <t xml:space="preserve"> </t>
    </r>
  </si>
  <si>
    <r>
      <rPr>
        <sz val="10"/>
        <color indexed="8"/>
        <rFont val="Verdana"/>
        <family val="2"/>
      </rPr>
      <t>F.</t>
    </r>
    <r>
      <rPr>
        <sz val="10"/>
        <color indexed="8"/>
        <rFont val="Verdana"/>
        <family val="2"/>
      </rPr>
      <t xml:space="preserve"> </t>
    </r>
    <r>
      <rPr>
        <sz val="10"/>
        <color indexed="8"/>
        <rFont val="Verdana"/>
        <family val="2"/>
      </rPr>
      <t>Bu, bir şirketin tedarikçilerinden ihtilaf konusu maden beyanı doldurmalarını isteyip istemediğini tespit etme amaçlıdır.</t>
    </r>
    <r>
      <rPr>
        <sz val="10"/>
        <color indexed="8"/>
        <rFont val="Verdana"/>
        <family val="2"/>
      </rPr>
      <t xml:space="preserve"> </t>
    </r>
    <r>
      <rPr>
        <sz val="10"/>
        <color indexed="8"/>
        <rFont val="Verdana"/>
        <family val="2"/>
      </rPr>
      <t>Bu soruya belirli durumlarda bir açıklama (bilgi toplama biçimini açıklama gibi) ile birlikte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</si>
  <si>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G.</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</si>
  <si>
    <r>
      <rPr>
        <sz val="11"/>
        <color indexed="8"/>
        <rFont val="Verdana"/>
        <family val="2"/>
      </rPr>
      <t>H.</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Açıklamalar bölümünde, yaklaşımınız ile ilgili ilave bilgiler girebilirsiniz.</t>
    </r>
    <r>
      <rPr>
        <sz val="11"/>
        <color indexed="8"/>
        <rFont val="Verdana"/>
        <family val="2"/>
      </rPr>
      <t xml:space="preserve"> </t>
    </r>
    <r>
      <rPr>
        <sz val="11"/>
        <color indexed="8"/>
        <rFont val="Verdana"/>
        <family val="2"/>
      </rPr>
      <t>Örnekler şunları içerebilir:</t>
    </r>
    <r>
      <rPr>
        <sz val="11"/>
        <color indexed="8"/>
        <rFont val="Verdana"/>
        <family val="2"/>
      </rPr>
      <t xml:space="preserve">
 </t>
    </r>
    <r>
      <rPr>
        <sz val="11"/>
        <color indexed="8"/>
        <rFont val="Verdana"/>
        <family val="2"/>
      </rPr>
      <t>“3. kişi denetimleri” - bağımsız üçüncü kişiler tarafından gerçekleştirilen tesis içi denetimler.</t>
    </r>
    <r>
      <rPr>
        <sz val="11"/>
        <color indexed="8"/>
        <rFont val="Verdana"/>
        <family val="2"/>
      </rPr>
      <t xml:space="preserve"> </t>
    </r>
    <r>
      <rPr>
        <sz val="11"/>
        <color indexed="8"/>
        <rFont val="Verdana"/>
        <family val="2"/>
      </rPr>
      <t xml:space="preserve">
 </t>
    </r>
    <r>
      <rPr>
        <sz val="11"/>
        <color indexed="8"/>
        <rFont val="Verdana"/>
        <family val="2"/>
      </rPr>
      <t>“Yalnızca belgelendirme değerlendirmesi” - tedarikçinin verdiği kayıtların ve bağımsız üçüncü kişiler veya şirket personeliniz tarafından hazırlanan belgelerin değerlendirilmesi.</t>
    </r>
    <r>
      <rPr>
        <sz val="11"/>
        <color indexed="8"/>
        <rFont val="Verdana"/>
        <family val="2"/>
      </rPr>
      <t xml:space="preserve"> </t>
    </r>
    <r>
      <rPr>
        <sz val="11"/>
        <color indexed="8"/>
        <rFont val="Verdana"/>
        <family val="2"/>
      </rPr>
      <t xml:space="preserve">
 </t>
    </r>
    <r>
      <rPr>
        <sz val="11"/>
        <color indexed="8"/>
        <rFont val="Verdana"/>
        <family val="2"/>
      </rPr>
      <t>“Kurum içi denetim” - şirket personelinizin tedarikçileriniz üzerinde yerinde gerçekleştirdiği denetimler.</t>
    </r>
  </si>
  <si>
    <r>
      <rPr>
        <sz val="11"/>
        <color indexed="8"/>
        <rFont val="Verdana"/>
        <family val="2"/>
      </rPr>
      <t>I.</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Yanıtınız “Evet” ise lütfen düzeltici eylem sürecini nasıl yönettiğinizi belirtin.</t>
    </r>
  </si>
  <si>
    <r>
      <rPr>
        <sz val="11"/>
        <color indexed="8"/>
        <rFont val="Verdana"/>
        <family val="2"/>
      </rPr>
      <t>J.</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SEC ihtilaf konusu maden açıklama gereklilikleri ABD Menkul Kıymetler Borsası Kanununa tâbi ABD'de bulunan, döviz ticareti yapan şirketler için geçerlidir.</t>
    </r>
    <r>
      <rPr>
        <sz val="11"/>
        <color indexed="8"/>
        <rFont val="Verdana"/>
        <family val="2"/>
      </rPr>
      <t xml:space="preserve"> </t>
    </r>
    <r>
      <rPr>
        <sz val="11"/>
        <color indexed="8"/>
        <rFont val="Verdana"/>
        <family val="2"/>
      </rPr>
      <t>Daha fazla bilgi için lütfen www.sec.gov adres</t>
    </r>
    <r>
      <rPr>
        <sz val="11"/>
        <color indexed="8"/>
        <rFont val="Verdana"/>
        <family val="2"/>
      </rPr>
      <t>ine başvurun.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</si>
  <si>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</si>
  <si>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</si>
  <si>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Bu şablon, İzabe Tesisi Referans Listesi kullanılarak izabe tesisi tanımlanabilmesini sağlar.</t>
    </r>
    <r>
      <rPr>
        <sz val="11"/>
        <color indexed="8"/>
        <rFont val="Verdana"/>
        <family val="2"/>
      </rPr>
      <t xml:space="preserve"> </t>
    </r>
    <r>
      <rPr>
        <sz val="11"/>
        <color indexed="8"/>
        <rFont val="Verdana"/>
        <family val="2"/>
      </rPr>
      <t>İzabe Tesisi Referans Listesi işlevinin kullanılabilmesi için B, C, D ve E sütunlarının soldan sağa doğru doldurulması gerekmektedir.</t>
    </r>
    <r>
      <rPr>
        <sz val="11"/>
        <color indexed="8"/>
        <rFont val="Verdana"/>
        <family val="2"/>
      </rPr>
      <t xml:space="preserve">
Her bir metal/izabe tesisi/ülke kombinasyonu için ayrı bir satır kullanın</t>
    </r>
  </si>
  <si>
    <r>
      <rPr>
        <sz val="11"/>
        <color indexed="8"/>
        <rFont val="Verdana"/>
        <family val="2"/>
      </rPr>
      <t>15.</t>
    </r>
    <r>
      <rPr>
        <sz val="11"/>
        <color indexed="8"/>
        <rFont val="Verdana"/>
        <family val="2"/>
      </rPr>
      <t xml:space="preserve"> </t>
    </r>
    <r>
      <rPr>
        <sz val="11"/>
        <color indexed="8"/>
        <rFont val="Verdana"/>
        <family val="2"/>
      </rPr>
      <t>İzabe tesisinin hammaddeleri %100 oranda geri dönüşüm veya hurda kaynaklarından mı geliyor?</t>
    </r>
    <r>
      <rPr>
        <sz val="11"/>
        <color indexed="8"/>
        <rFont val="Verdana"/>
        <family val="2"/>
      </rPr>
      <t xml:space="preserve"> </t>
    </r>
    <r>
      <rPr>
        <sz val="11"/>
        <color indexed="8"/>
        <rFont val="Verdana"/>
        <family val="2"/>
      </rPr>
      <t>- İzabe tesisi izabe süreçleri için girdileri yalnızca geri dönüşüm veya hurda kaynaklarından alıyorsa lütfen bu soruya "Evet" yanıtı verin.</t>
    </r>
    <r>
      <rPr>
        <sz val="11"/>
        <color indexed="8"/>
        <rFont val="Verdana"/>
        <family val="2"/>
      </rPr>
      <t xml:space="preserve"> </t>
    </r>
    <r>
      <rPr>
        <sz val="11"/>
        <color indexed="8"/>
        <rFont val="Verdana"/>
        <family val="2"/>
      </rPr>
      <t>Diğer durumlarda, "Hayır" yanıtı verin.</t>
    </r>
    <r>
      <rPr>
        <sz val="11"/>
        <color indexed="8"/>
        <rFont val="Verdana"/>
        <family val="2"/>
      </rPr>
      <t xml:space="preserve"> </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</si>
  <si>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</si>
  <si>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</si>
  <si>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</si>
  <si>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</si>
  <si>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</si>
  <si>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</si>
  <si>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</si>
  <si>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</si>
  <si>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</si>
  <si>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</si>
  <si>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</si>
  <si>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</si>
  <si>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</si>
  <si>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</si>
  <si>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</si>
  <si>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</si>
  <si>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</si>
  <si>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</si>
  <si>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</si>
  <si>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</si>
  <si>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</si>
  <si>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</si>
  <si>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</si>
  <si>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</si>
  <si>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</si>
  <si>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</si>
  <si>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</si>
  <si>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</si>
  <si>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</si>
  <si>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</si>
  <si>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</si>
  <si>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</si>
  <si>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</si>
  <si>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</si>
  <si>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</si>
  <si>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</si>
  <si>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</si>
  <si>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</si>
  <si>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</si>
  <si>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</si>
  <si>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</si>
  <si>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</si>
  <si>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</si>
  <si>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</si>
  <si>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</si>
  <si>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</si>
  <si>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</si>
  <si>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</si>
  <si>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</si>
  <si>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</si>
  <si>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</si>
  <si>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</si>
  <si>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</si>
  <si>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</si>
  <si>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</si>
  <si>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</si>
  <si>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</si>
  <si>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</si>
  <si>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</si>
  <si>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</si>
  <si>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</si>
  <si>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</si>
  <si>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</si>
  <si>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</si>
  <si>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</si>
  <si>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</si>
  <si>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</si>
  <si>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</si>
  <si>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</si>
  <si>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</si>
  <si>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</si>
  <si>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</si>
  <si>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</si>
  <si>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</si>
  <si>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</si>
  <si>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</si>
  <si>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</si>
  <si>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</si>
  <si>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</si>
  <si>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</si>
  <si>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</si>
  <si>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</si>
  <si>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</si>
  <si>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</si>
  <si>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</si>
  <si>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</si>
  <si>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</si>
  <si>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</si>
  <si>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</si>
  <si>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</si>
  <si>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</si>
  <si>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</si>
  <si>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1) 3TG ürününüze kasten mi eklendi? (*)</t>
    </r>
  </si>
  <si>
    <r>
      <rPr>
        <sz val="10"/>
        <color indexed="8"/>
        <rFont val="Verdana"/>
        <family val="2"/>
      </rPr>
      <t>2) 3TG şirketinizin ürünlerinin imalatı için gerekli mi ya da şirketinizin ürettiği veya üretme sözleşmesi yaptığı nihai ürünlerin içinde bulunuyor mu? (*)</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</si>
  <si>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</si>
  <si>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5) İlgili tedarikçilerden her bir 3TG için gerekli verileri/bilgileri aldınız mı?</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</si>
  <si>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</si>
  <si>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</si>
  <si>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</si>
  <si>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A.</t>
    </r>
    <r>
      <rPr>
        <sz val="11"/>
        <color indexed="8"/>
        <rFont val="Verdana"/>
        <family val="2"/>
      </rPr>
      <t xml:space="preserve"> </t>
    </r>
    <r>
      <rPr>
        <sz val="11"/>
        <color indexed="8"/>
        <rFont val="Verdana"/>
        <family val="2"/>
      </rPr>
      <t>İhtilaf konusu maden kaynakları ile ilgili sorunlar için bir politika uyguluyor musunuz?</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</si>
  <si>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</si>
  <si>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</si>
  <si>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</si>
  <si>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</si>
  <si>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0"/>
        <color indexed="8"/>
        <rFont val="Verdana"/>
        <family val="2"/>
      </rPr>
      <t>F.</t>
    </r>
    <r>
      <rPr>
        <sz val="10"/>
        <color indexed="8"/>
        <rFont val="Verdana"/>
        <family val="2"/>
      </rPr>
      <t xml:space="preserve"> </t>
    </r>
    <r>
      <rPr>
        <sz val="10"/>
        <color indexed="8"/>
        <rFont val="Verdana"/>
        <family val="2"/>
      </rPr>
      <t>Tedarikçilerinizden IPC-1755 İhtilaf Konusu Maden Veri Alışverişi Standardına uygun şekilde [ör: CFSI İhtilaf Konusu Maden Raporlama Şablonu</t>
    </r>
    <r>
      <rPr>
        <sz val="10"/>
        <color indexed="8"/>
        <rFont val="Verdana"/>
        <family val="2"/>
      </rPr>
      <t>]</t>
    </r>
    <r>
      <rPr>
        <sz val="10"/>
        <color indexed="8"/>
        <rFont val="Verdana"/>
        <family val="2"/>
      </rPr>
      <t xml:space="preserve"> ihtilaf konusu maden bilgileri topluyor musunuz?</t>
    </r>
  </si>
  <si>
    <r>
      <rPr>
        <sz val="11"/>
        <color indexed="8"/>
        <rFont val="Verdana"/>
        <family val="2"/>
      </rPr>
      <t>G.</t>
    </r>
    <r>
      <rPr>
        <sz val="11"/>
        <color indexed="8"/>
        <rFont val="Verdana"/>
        <family val="2"/>
      </rPr>
      <t xml:space="preserve"> </t>
    </r>
    <r>
      <rPr>
        <sz val="11"/>
        <color indexed="8"/>
        <rFont val="Verdana"/>
        <family val="2"/>
      </rPr>
      <t>Tedarikçilerinizden izabe tesisi adı alıyor musunuz?</t>
    </r>
  </si>
  <si>
    <r>
      <rPr>
        <sz val="11"/>
        <color indexed="8"/>
        <rFont val="Verdana"/>
        <family val="2"/>
      </rPr>
      <t>H.</t>
    </r>
    <r>
      <rPr>
        <sz val="11"/>
        <color indexed="8"/>
        <rFont val="Verdana"/>
        <family val="2"/>
      </rPr>
      <t xml:space="preserve"> </t>
    </r>
    <r>
      <rPr>
        <sz val="11"/>
        <color indexed="8"/>
        <rFont val="Verdana"/>
        <family val="2"/>
      </rPr>
      <t>Tedarikçilerinizden edindiğiniz durum tespiti bilgilerini şirketinizin beklentileri ile karşılaştırarak değerlendiriyor musunuz?</t>
    </r>
  </si>
  <si>
    <r>
      <rPr>
        <sz val="11"/>
        <color indexed="8"/>
        <rFont val="Verdana"/>
        <family val="2"/>
      </rPr>
      <t>I.</t>
    </r>
    <r>
      <rPr>
        <sz val="11"/>
        <color indexed="8"/>
        <rFont val="Verdana"/>
        <family val="2"/>
      </rPr>
      <t xml:space="preserve"> </t>
    </r>
    <r>
      <rPr>
        <sz val="11"/>
        <color indexed="8"/>
        <rFont val="Verdana"/>
        <family val="2"/>
      </rPr>
      <t>Değerlendirme süreciniz düzeltici eylem yönetimini içeriyor mu?</t>
    </r>
  </si>
  <si>
    <r>
      <rPr>
        <sz val="11"/>
        <color indexed="8"/>
        <rFont val="Verdana"/>
        <family val="2"/>
      </rPr>
      <t>J.</t>
    </r>
    <r>
      <rPr>
        <sz val="11"/>
        <color indexed="8"/>
        <rFont val="Verdana"/>
        <family val="2"/>
      </rPr>
      <t xml:space="preserve"> </t>
    </r>
    <r>
      <rPr>
        <sz val="11"/>
        <color indexed="8"/>
        <rFont val="Verdana"/>
        <family val="2"/>
      </rPr>
      <t>SEC İhtilaf Konusu Maden kurallarına tâbi misiniz?</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</si>
  <si>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</si>
  <si>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</si>
  <si>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</si>
  <si>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</si>
  <si>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</si>
  <si>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</si>
  <si>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</si>
  <si>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</si>
  <si>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</si>
  <si>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</si>
  <si>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</si>
  <si>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Evet, %100</t>
    </r>
  </si>
  <si>
    <r>
      <rPr>
        <sz val="11"/>
        <color indexed="8"/>
        <rFont val="Verdana"/>
        <family val="2"/>
      </rPr>
      <t>Hayır, ancak %75'ten fazla</t>
    </r>
    <r>
      <rPr>
        <sz val="11"/>
        <color indexed="8"/>
        <rFont val="Verdana"/>
        <family val="2"/>
      </rPr>
      <t xml:space="preserve"> </t>
    </r>
  </si>
  <si>
    <r>
      <rPr>
        <sz val="11"/>
        <color indexed="8"/>
        <rFont val="Verdana"/>
        <family val="2"/>
      </rPr>
      <t>Hayır, ancak %50'den fazla</t>
    </r>
  </si>
  <si>
    <r>
      <rPr>
        <sz val="11"/>
        <color indexed="8"/>
        <rFont val="Verdana"/>
        <family val="2"/>
      </rPr>
      <t>Hayır, ancak %25'ten fazla</t>
    </r>
  </si>
  <si>
    <r>
      <rPr>
        <sz val="11"/>
        <color indexed="8"/>
        <rFont val="Verdana"/>
        <family val="2"/>
      </rPr>
      <t>Hayır, ancak %25'ten az</t>
    </r>
  </si>
  <si>
    <r>
      <rPr>
        <sz val="11"/>
        <color indexed="8"/>
        <rFont val="Verdana"/>
        <family val="2"/>
      </rPr>
      <t>Hiçbiri</t>
    </r>
  </si>
  <si>
    <r>
      <rPr>
        <sz val="10"/>
        <color indexed="8"/>
        <rFont val="Verdana"/>
        <family val="2"/>
      </rPr>
      <t>Aşağıdaki liste, CFSI'nin şablonun yayın tarihi itibariyle en güncel izabe tesisi adı/rumuz bilgilerini içermektedir.</t>
    </r>
    <r>
      <rPr>
        <sz val="10"/>
        <color indexed="8"/>
        <rFont val="Verdana"/>
        <family val="2"/>
      </rPr>
      <t xml:space="preserve"> </t>
    </r>
    <r>
      <rPr>
        <sz val="10"/>
        <color indexed="8"/>
        <rFont val="Verdana"/>
        <family val="2"/>
      </rPr>
      <t>Bir izabe tesisinin bu listede yer alması, mevcut durumda Aktif olduğu ya da İhtilafsız İzabe Tesisi Programına Uyumlu olduğu anlamına gelmez.</t>
    </r>
    <r>
      <rPr>
        <sz val="10"/>
        <color indexed="8"/>
        <rFont val="Verdana"/>
        <family val="2"/>
      </rPr>
      <t xml:space="preserve"> </t>
    </r>
    <r>
      <rPr>
        <sz val="10"/>
        <color indexed="8"/>
        <rFont val="Verdana"/>
        <family val="2"/>
      </rPr>
      <t xml:space="preserve">
Aktif veya Uyumlu standart izabe tesisi adlarının en güncel ve en doğru listesi için lütfen CFSI web sitesine başvurun: www.conflictfreesourcing.org.</t>
    </r>
    <r>
      <rPr>
        <sz val="10"/>
        <color indexed="8"/>
        <rFont val="Verdana"/>
        <family val="2"/>
      </rPr>
      <t xml:space="preserve"> </t>
    </r>
    <r>
      <rPr>
        <sz val="10"/>
        <color indexed="8"/>
        <rFont val="Verdana"/>
        <family val="2"/>
      </rPr>
      <t xml:space="preserve">
B sütunu, CFSP'ni denetim programı açısından uygun olduğu bilinen izabe tesisleri için sık kullanılan adların listesini içerir.</t>
    </r>
    <r>
      <rPr>
        <sz val="10"/>
        <color indexed="8"/>
        <rFont val="Verdana"/>
        <family val="2"/>
      </rPr>
      <t xml:space="preserve">
C sütunu, uygun izabe tesisleri için yasal adlar olduğu anlaşılan, resmi standart izabe tesisi adlarının listesini içerir.</t>
    </r>
    <r>
      <rPr>
        <sz val="10"/>
        <color indexed="8"/>
        <rFont val="Verdana"/>
        <family val="2"/>
      </rPr>
      <t xml:space="preserve"> </t>
    </r>
    <r>
      <rPr>
        <sz val="10"/>
        <color indexed="8"/>
        <rFont val="Verdana"/>
        <family val="2"/>
      </rPr>
      <t>İzabe tesislerinin büyük bir çoğunluğunda her iki sütunda da aynı değer görülecektir ancak genel adın standart addan farklı olduğu durumlar B sütununda belirtilmektedir.</t>
    </r>
    <r>
      <rPr>
        <sz val="10"/>
        <color indexed="8"/>
        <rFont val="Verdana"/>
        <family val="2"/>
      </rPr>
      <t xml:space="preserve"> </t>
    </r>
  </si>
  <si>
    <r>
      <rPr>
        <sz val="11"/>
        <color indexed="8"/>
        <rFont val="Verdana"/>
        <family val="2"/>
      </rPr>
      <t>Metal</t>
    </r>
  </si>
  <si>
    <r>
      <rPr>
        <sz val="11"/>
        <color indexed="8"/>
        <rFont val="Verdana"/>
        <family val="2"/>
      </rPr>
      <t>İzabe Tesisi Referans Listesi</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</si>
  <si>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</si>
  <si>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</si>
  <si>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</si>
  <si>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Eski İzabe Tesisi Kimliği</t>
    </r>
  </si>
  <si>
    <r>
      <rPr>
        <sz val="11"/>
        <color indexed="8"/>
        <rFont val="Verdana"/>
        <family val="2"/>
      </rPr>
      <t>Yeni İzabe Tesisi Kimliği</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</si>
  <si>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</si>
  <si>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</si>
  <si>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</si>
  <si>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</si>
  <si>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Metal (*)</t>
    </r>
  </si>
  <si>
    <r>
      <rPr>
        <sz val="11"/>
        <color indexed="8"/>
        <rFont val="Verdana"/>
        <family val="2"/>
      </rPr>
      <t>İzabe Tesisi Referans Listesi (*)</t>
    </r>
  </si>
  <si>
    <r>
      <rPr>
        <sz val="11"/>
        <color indexed="8"/>
        <rFont val="Verdana"/>
        <family val="2"/>
      </rPr>
      <t>İzabe Tesisi Adı (*)</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</si>
  <si>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</si>
  <si>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</si>
  <si>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</si>
  <si>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</si>
  <si>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</si>
  <si>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</si>
  <si>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</si>
  <si>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</si>
  <si>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</si>
  <si>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</si>
  <si>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</si>
  <si>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</si>
  <si>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</si>
  <si>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</si>
  <si>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</si>
  <si>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</si>
  <si>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Doldurun</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</si>
  <si>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</si>
  <si>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</si>
  <si>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</si>
  <si>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</si>
  <si>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e-posta adresini Beyan sekmesi hücre D16'da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</si>
  <si>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</si>
  <si>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</si>
  <si>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D20'ye yetkili şirket temsilcisi için bir e-posta adresi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</si>
  <si>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</si>
  <si>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</si>
  <si>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</si>
  <si>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</si>
  <si>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</si>
  <si>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</si>
  <si>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</si>
  <si>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</si>
  <si>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</si>
  <si>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</si>
  <si>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</si>
  <si>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</si>
  <si>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</si>
  <si>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</si>
  <si>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</si>
  <si>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</si>
  <si>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</si>
  <si>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</si>
  <si>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</si>
  <si>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</si>
  <si>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</si>
  <si>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</si>
  <si>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</si>
  <si>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</si>
  <si>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</si>
  <si>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</si>
  <si>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</si>
  <si>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</si>
  <si>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</si>
  <si>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</si>
  <si>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</si>
  <si>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</si>
  <si>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</si>
  <si>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</si>
  <si>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</si>
  <si>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</si>
  <si>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</si>
  <si>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</si>
  <si>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</si>
  <si>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</si>
  <si>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</si>
  <si>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</si>
  <si>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</si>
  <si>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</si>
  <si>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</si>
  <si>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</si>
  <si>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</si>
  <si>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</si>
  <si>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</si>
  <si>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</si>
  <si>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</si>
  <si>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t>
    </r>
    <r>
      <rPr>
        <sz val="11"/>
        <rFont val="Verdana"/>
        <family val="2"/>
      </rPr>
      <t xml:space="preserve">
</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</si>
  <si>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</si>
  <si>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</si>
  <si>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</si>
  <si>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</si>
  <si>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</si>
  <si>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</si>
  <si>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</si>
  <si>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</si>
  <si>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</si>
  <si>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</si>
  <si>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</si>
  <si>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</si>
  <si>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</si>
  <si>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</si>
  <si>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</si>
  <si>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</si>
  <si>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AURA-II</t>
  </si>
  <si>
    <t>CID002851</t>
  </si>
  <si>
    <t>Milwaukee</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</si>
  <si>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</si>
  <si>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</si>
  <si>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</si>
  <si>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</si>
  <si>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</si>
  <si>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</si>
  <si>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</si>
  <si>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</si>
  <si>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</si>
  <si>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</si>
  <si>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</si>
  <si>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</si>
  <si>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</si>
  <si>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</si>
  <si>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</si>
  <si>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Kyshtym Copper-Electrolytic Plant ZAO</t>
  </si>
  <si>
    <t>CID002865</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</si>
  <si>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</si>
  <si>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</si>
  <si>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</si>
  <si>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</si>
  <si>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</si>
  <si>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</si>
  <si>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</si>
  <si>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</si>
  <si>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</si>
  <si>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</si>
  <si>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</si>
  <si>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</si>
  <si>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</si>
  <si>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</si>
  <si>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</si>
  <si>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</si>
  <si>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</si>
  <si>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</si>
  <si>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</si>
  <si>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</si>
  <si>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</si>
  <si>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</si>
  <si>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</si>
  <si>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</si>
  <si>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</si>
  <si>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</si>
  <si>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</si>
  <si>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</si>
  <si>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</si>
  <si>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</si>
  <si>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</si>
  <si>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</si>
  <si>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</si>
  <si>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</si>
  <si>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</si>
  <si>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</si>
  <si>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Yifeng Town</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</si>
  <si>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</si>
  <si>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</si>
  <si>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</si>
  <si>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</si>
  <si>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</si>
  <si>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</si>
  <si>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</si>
  <si>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</si>
  <si>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</si>
  <si>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</si>
  <si>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</si>
  <si>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</si>
  <si>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</si>
  <si>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</si>
  <si>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</si>
  <si>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</si>
  <si>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</si>
  <si>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</si>
  <si>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</si>
  <si>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</si>
  <si>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</si>
  <si>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</si>
  <si>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Revision 4.10 April 29, 2016</t>
  </si>
  <si>
    <t>Revision 4.10
April 29, 2016</t>
  </si>
  <si>
    <t>Penglai</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</si>
  <si>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</si>
  <si>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accetable answer to this question.</t>
  </si>
  <si>
    <t>TANAKA Electronics (Malaysia) SDN. BHD.</t>
  </si>
  <si>
    <t>Bangalore</t>
  </si>
  <si>
    <t>Karnataka</t>
  </si>
  <si>
    <t>Chelyabinskaya Oblast</t>
  </si>
  <si>
    <t>Celjabinsk Celjabinskaja</t>
  </si>
  <si>
    <t>Kawasan Perindustrian Bukit Rambai</t>
  </si>
  <si>
    <t>Melaka</t>
  </si>
  <si>
    <t>Moerdijk</t>
  </si>
  <si>
    <t>North Brabant</t>
  </si>
  <si>
    <t>Lusaka Province</t>
  </si>
  <si>
    <t>Skopje</t>
  </si>
  <si>
    <t>The Skopje Statistical Region</t>
  </si>
  <si>
    <t>Bekasi</t>
  </si>
  <si>
    <t>Belitung</t>
  </si>
  <si>
    <t>Sumping Desa Batu Peyu</t>
  </si>
  <si>
    <t>All rows with "Smelter not listed" selected, have a name and country listed</t>
  </si>
  <si>
    <t>N/A</t>
  </si>
  <si>
    <t>Please complete columns D &amp; E on Smelter List for all rows "Smelter Not Listed" selected in column C</t>
  </si>
  <si>
    <t>© 2016 Conflict-Free Sourcing Initiative. All rights reserved.</t>
  </si>
  <si>
    <t>© 2016 İhtilafsız Kaynak Edinme Girişimi. Tüm hakları saklıdır.</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</si>
  <si>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</si>
  <si>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</si>
  <si>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</si>
  <si>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</si>
  <si>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</si>
  <si>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</si>
  <si>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</si>
  <si>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</si>
  <si>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</si>
  <si>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 这是两个问题中的第一个问题，其答复用来确定 3TG 是否在冲突矿产报告要求的范围内。此问题以 SEC 在关于确定 3TG 是否对于产品的“功能有必要”的最终规则中规定的准则为准。SEC 准则是以这样的假设为依据：如果 3TG 对于产品的广泛预期功能、用法或用途没有必要，则产品供应链中的公司不会有意增加该 3TG 到该产品或产品的任何子组件中。此问题的此答复用于排除任何痕量级杂质，如钢中的锡。
此问题询问是否有任何冲突矿物在贵公司生产或外包生产的产品中用作原材料、组件或添加物（包括原材料和组件）。原材料、组件、添加物、磨具和切削工具中的杂质不在此调查范围。
必须为每个 3TG 回答此问题。此问题的有效答复为“是”或“否”。此问题必须作答。
</t>
  </si>
  <si>
    <t xml:space="preserve">1. これは2つある質問の1つ目の質問であり、3TGが紛争鉱物報告要件の範囲内に当てはまるか否かを判定するために使用されます。この質問は、3TGが製品の「機能性にとって必要」か否かを判定する方法に関する最終規則においてSECが規定したガイダンスに基づくものです。SECガイダンスでは、その3TGが一般に予想される製品の機能、使用または目的に必要ではない場合には、製品のサプライチェーン内に存在する企業は3TGをその製品または製品の部品に意図的に付加しないという前提を、その根拠においています。この質問に対するこの回答は、鋼中のスズといった微量の汚染物質を排除する役割を果たします。
この質問では、貴社が製造するまたは委託して製造する製品（原材料および部品を含む）の原材料、部品、または添加物に紛争鉱物が使用されているのか否かをお伺いします。原材料、部品、添加物、研磨剤および切削工具からの不純物は本調査の範囲外です。
この質問には、3TGそれぞれについて回答するべきです。この質問には、「Yes（はい）」または「No（いいえ）」で回答してください。この質問への回答は必須です。
</t>
  </si>
  <si>
    <t xml:space="preserve">1. 이것은 3TG가 분쟁 광물 보고 요건 범위 내에 있는지 여부를 결정하기 위한 두 개의 질문 중 첫 번째 질문입니다. 이 질문은 3TG가 제품의 “기능에 필요”한지 여부를 결정하는 것과 관련된 SEC의 최종 규칙에서 제공하는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이 질문에 대한 이러한 답변은 강철 내의 주석과 같은 모든 미소량 오염 물질을 배제하기 위해 사용됩니다. 
이 질문은 귀사가 제조하거나 계약 제조한 제품(원료 및 구성요소 포함)에서 원료, 구성요소 또는 첨가제로서 어떤 분쟁 광물이 사용되는지를 묻습니다. 원료, 구성요소, 첨가제, 연마제, 절삭 공구에서 나온 불순물은 본 조사의 범위가 아닙니다. 
이 질문은 각 3TG에 대해 답해야 합니다. 이 질문에 대한 유효한 답변은 "Yes" 또는 "No"입니다. 이 질문은 필수 사항입니다. 
</t>
  </si>
  <si>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La réponse à cette question sert à exclure la contamination en quantité infime, notamment dans le cas de l’étain dans l’acier.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 
Vous devrez répondre à cette question pour chacun des 3TG. Les réponses valides à cette question sont « oui » ou « non ». Cette question est obligatoire.
</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</si>
  <si>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A resposta a essa pergunta serve para excluir quaisquer contaminantes de nível de rastreamento, tais como estanho em aço.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
</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</si>
  <si>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Die Antwort auf diese Frage soll alle Kontaminantenrückstände, wie Zinn in Stahl, ausschließen.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
</t>
  </si>
  <si>
    <t xml:space="preserve">1. Esta es la primera de dos preguntas cuya respuesta se usa para determinar si el 3TG se encuentra dentro del enfoque de los requerimientos del informe de minerales en conflicto. Esta pregunta depende de la guía suministrada por la SEC en las reglas finales para determinar si un 3TG es "necesario para la funcionalidad"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La respuesta a esta pregunta sirve para excluir cualquier contaminante a nivel de pista como el estaño en el acero. 
Este punto pregunta si se usa algún mineral en conflicto como materia prima, componente o aditivo en un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
</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</si>
  <si>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La risposta a questa domanda serve ad escludere eventuali contaminanti in tracce come la latta nell’acciaio.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
</t>
  </si>
  <si>
    <t xml:space="preserve">1. Bu, yanıtın 3TG'nin ihtilaf konusu maden raporlama gereksinimleri kapsamında olup olmadığını tespit etmek için kullanıldığı iki sorunun birincisidir. Bu soru, bir 3TG bir ürüne ait “işlevsellik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Bu soruya yönelik bu yanıt, çelikteki kalay gibi eser düzeydeki kirleticileri kapsam dışı bırakmaya yarar. 
Bu soru, herhangi bir ihtilaf konusu madenin hammadde, bileşen veya ürettiğiniz veya fason ürettirdiğiniz (hammadde ve bileşenler dâhil)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
</t>
  </si>
  <si>
    <t xml:space="preserve">2. 这是两个问题中的第二个问题，其答复用来确定 3TG 是否在 SEC 关于确定 3TG 是否对产品的“生产有必要”的最终规则中所述的冲突矿产报告要求的范围内。此问题与问题 1 的问题和答复分开且与其无关。此询问旨在确定在产品生产过程中有意使用的 3TG，以及一定数量的 3TG 保留在成品中何处。这些 3TG 可能并非要成为成品中的一部分，也可能并非对产品的“功能有必要”，而只是生产过程的残留物。在很多情况下，制造商可能已在生产过程中试图除去或促进消耗的 3TG，但还是有一定数量的 3TG 残留。如果在生产过程中使用的 3TG 在该过程中彻底除去，则此问题的答复是“否”。
必须为每个 3TG 回答此问题。此问题的有效答复为“是”或“否”。此问题必须作答。
</t>
  </si>
  <si>
    <t xml:space="preserve">2. これは2つある質問の2つ目の質問であり、3TGが製品の「生産にとって必要」か否かを判定する方法に関するSECの最終規則で規定されている紛争鉱物報告要件の範囲内に3TGが当てはまるか否かを判定するために使用されます。この質問は、質問1の質問や回答とは別個のものです。この質問は、製品の製造過程において意図的に使用された3TGを特定すること、および完成品のどこに、ある程度の3TGが残留するかを特定するためのものです。この3TGは本来完成品の一部を成すはずではなく、製品の「機能性にとって必要」な可能性は低いものの、製造過程の残留物として存在するに過ぎない可能性が高いと言えます。多くの場合、メーカーは製造過程中に3TGの削除または消耗を促進しようと努めますが、ある程度の3TGが残留します。製造過程中に使用される3TGがその過程中に完全に削除される場合、この質問に対する回答は「No（いいえ）」です。
一つ一つの3TGについて、この質問にお答えください。「Yes（はい）」または「No（いいえ）」で必ず回答してください。この質問への回答は必須です。
</t>
  </si>
  <si>
    <t xml:space="preserve">2. 이것은 3TG가 제품의 “생산에 필요”한지 여부를 결정하는 것과 관련해 SEC의 최종 규칙에 설명된 바와 같이 3TG가 분쟁 광물 보고 요건의 범위에 속하는지 여부를 결정하기 위한 두 개의 질문 중 두 번째 질문입니다. 이 질문은 별개의 내용으로, 질문 1에 대한 질의응답과 독립적인 내용입니다. 이것은 3TG가 회사 제품의 생산에 필요하고 회사가 제조하거나 계약제조된 최종 생산품에 포함되어 있는지 확인하기 위한 질문입니다. 이러한 3TG는 최종 제품의 일부가 되기 위한 것이 아니었을 수 있으며, 제품의 “기능에 필요”하지 않을 수도 있습니다. 다만, 제조 공정의 잔여물로만 남아있을 가능성이 큽니다. 많은 경우에 제조업체는 제조 공정 중에 사용된 3TG가 사라지게 하거나 촉매로 사용할 수도 있습니다. 그러나, 소량의 3TG가 남을 수 있습니다. 제조 공정 중에 사용되는 3TG가 제품 제조시 완전히 제거되는 경우, 이 질문에 대한 답변은 “No”입니다.
이 질문은 3TG 각각에 대해 대답해야 합니다. 이 질문에 대한 유효한 답변은 "Yes" 또는 "No"입니다. 이 질문은 필수 사항입니다. 
</t>
  </si>
  <si>
    <t xml:space="preserve">2. Il s’agit de la deuxième des deux questions pour lesquelles la réponse est utilisée pour déterminer si les 3TG sont concernés par l’obligation de déclaration des minerais de conflit, telle que décrite dans les règles définitives de la SEC pour déterminer si un des 3TG est « indispensable à la production » d’un produit. Cette question est séparée et indépendante de la question et de la réponse à la question 1. Cette question vise à identifier les 3TG qui sont utilisés volontairement dans le processus de fabrication d’un produit, et lorsqu’une certaine quantité de 3TG demeure dans le produit fini. Ces 3TG n’étaient probablement pas destinés à faire partie du produit final et n’étaient probablement pas « indispensables au fonctionnement » du produit. Ils étaient présents uniquement en tant que résidus du processus de fabrication. Dans de nombreux cas, le fabricant peut avoir tenté de supprimer ou faciliter la consommation de 3TG lors du processus de fabrication, mais une certaine quantité de 3TG demeure. Si les 3TG, qui sont utilisés pendant le processus de fabrication, venaient à être entièrement supprimés de ce processus, la réponse à cette question serait « non ».
Il convient de répondre à cette question pour chaque 3TG. Les réponses valides à cette question sont « oui » ou « non ». Cette question est obligatoire. 
</t>
  </si>
  <si>
    <t xml:space="preserve">2. Esta é a segunda de duas perguntas para as quais a resposta é utilizada para determinar se o mineral de conflito está dentro do âmbito dos requisitos de relatórios de minerais de conflito, conforme descrito nas regras finais da SEC relativas à determinação de se um mineral de conflito é “necessário para a produção” de um produto.  Essa pergunta é separada e independente da pergunta e da resposta à pergunta 1.  Esta pergunta destina-se a identificar minerais de conflitos que são intencionalmente utilizados no processo de fabricação de um produto e os casos em que certa quantidade do mineral de conflito permanece no produto acabado.  É provável que não se intencionava que tais minerais de conflito fizessem parte do produto final, nem que sejam “necessários para a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Caso o mineral de conflito utilizado durante o processo de fabricação seja completamente removido durante esse processo, a resposta a esta pergunta seria “Não”.
Esta pergunta deve ser respondida para cada mineral de conflito. Respostas válidas a esta pergunta são “Sim” ou “Não”. Esta pergunta é obrigatória. 
</t>
  </si>
  <si>
    <t xml:space="preserve">2. Dies ist die zweite von zwei Fragen, bei denen die Antwort zur Bestimmung verwendet wird, ob das 3TG-Mineral in den Umfang der Meldepflichten für Konfliktmineralien fällt, wie in den endgültigen Regeln der SEC hinsichtlich der Bestimmung, ob ein 3TG-Mineral „notwendig für die Produktion“ eines Produktes ist, beschrieben wird. Diese Frage ist getrennt und unabhängig von der Frage und der Antwort zu Frage 1. Diese Frage soll diejenigen 3TG-Mineralien identifizieren, die absichtlich im Herstellungsprozess eines Produkts verwendet werden, wobei eine bestimmte Menge von 3TG-Mineralien in dem Endprodukt zurückbleibt. Diese 3TG-Mineralien sollten wahrscheinlich nicht absichtlich Bestandteile des Endprodukts werden und waren wahrscheinlich auch nicht „notwendig für die Funktionalität des Produkts“, sondern sind nur als Rückstände des Herstellungsprozesses vorhanden. In vielen Fällen wird der Hersteller versucht haben, die 3TG-Mineralien zu entfernen oder den Verbrauch derselben während des Herstellungsprozesses zu ermöglichen, jedoch bleibt eine bestimmte Menge der 3TG-Mineralien zurück. Sollte das 3TG-Mineral, das im Herstellungsprozess verwendet wird, während dieses Prozesses vollständig eliminiert werden, müsste die Antwort auf diese Frage „Nein“ lauten. 
Diese Frage muss für jedes 3TG beantwortet werden. Gültige Antworten auf diese Frage sind entweder „Ja“ oder „Nein“. Diese Frage muss beantwortet werden. 
</t>
  </si>
  <si>
    <t xml:space="preserve">2. Esta es la segunda de dos preguntas cuya respuesta se usa para determinar si el 3TG se encuentra dentro del enfoque de los requerimientos del informe de minerales en conflicto como se describe en las reglas finales de la SEC para determinar si un 3TG es "necesario para la fabricación" de un producto.  Esta pregunta es separada e independiente de la pregunta y la respuesta de la pregunta 1.  Se pretende que este cuestionario identifique los 3TG que se utilizan intencionalmente en el proceso de fabricación de un producto y en donde cierta cantidad del 3TG permanece en el producto terminado.  Probablemente estos 3TG no fueron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utilizado durante el proceso de fabricación se elimina completamente durante ese proceso, la respuesta a esta pregunta sería "no".
 Se debe responder esta pregunta para cada 3TG.  Las respuestas válidas para esta pregunta son "sí" o "no". Esta pregunta es obligatoria. 
</t>
  </si>
  <si>
    <t xml:space="preserve">2.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produzione” di un prodotto. Questa domanda è separata e indipendente dalla domanda e dalla risposta alla domanda 1. Questo quesito ha lo scopo di individuare i metalli di conflitto che vengono deliberatamente utilizzati nel processo di fabbricazione di un prodotto e dove rimangono residui dei metalli di conflitto nel prodotto finito. Questi metalli di conflitto probabilmente non erano destinati a diventare parte del prodotto finale, né sono probabilmente “necessari alla funzionalità” del prodotto, ma sono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utilizzato durante il processo di fabbricazione venisse completamente eliminato durante tale processo, la risposta a questa domanda dovrebbe essere “no”.
La risposta a questa domanda deve essere fornita per ogni metallo di conflitto. Le risposte valide a questa domanda sono “sì” o “no”. Questa domanda è obbligatoria. 
</t>
  </si>
  <si>
    <t xml:space="preserve">2. Bu, bir ürünün “üretimi için bir 3TG'nin gerekli olup olmadığını” tespit edilmesine ilişkin SEC nihai kurallarında açıklanan şekilde, yanıtın 3TG'nin ihtilaf konusu maden raporlama gereksinimleri kapsamında olup olmadığını tespit etmek için kullanıldığı iki sorunun ikincisidir.  Bu soru, sorudan ve 1. soruya verilen yanıttan ayrı ve bağımsızdır.  Bu sorgu, bir ürünün üretim sürecinde bilerek kullanlan 3TG'leri ve bitmemiş üründe 3TG miktarının bulunduğunu belirlemeyi tasarlamaktadır.  Bu 3TG'lerin son ürünün bir parçası olması amaçlanmamakta ya da bunların “ürünün işlevselliği için gerekli” olduğu düşünülmemekte ancak bunlar imalat sürecinin kalıntıları olarak üründe mevcut bulunmaktadır.  Pek çok durumda, üretici üretim süreci esnasında 3TG'nin tüketimini sona erdirmeye veya kolaylaştırmaya çalışmış olabilir, ancak bir kısım 3TG kalır.  Üretim süreci esnasında kullanılan 3TG'nin söz konusu süreçte tamamen kaldırılması halinde, bu sorunun yanıtı “hayır” olmalıdır.
Bu soru, her bir 3TG için yanıtlanacaktır. Bu soruya yönelik geçerli yanıtlar “evet” veya “hayır”dır. Bu soru zorunludur.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</si>
  <si>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</si>
  <si>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鉱山名－この欄で企業は、精錬業者が使用している実際の鉱山を記載できます。判明している場合は実際の鉱山名を記入してください。精錬業者が原料の100%をリサイクル業者またはスクラップサプライヤーから調達している場合は、鉱山名の代わりに「Recycled（リサイクル業者）」または「Scrap（スクラップサプライヤー）」と記入し、P列に「Yes（はい）」と回答してください。
この質問では「RCOI confirmed as per CFSI（CFSIにより確認されたRCOI）」と回答することもできます。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</si>
  <si>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</si>
  <si>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</si>
  <si>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</si>
  <si>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</si>
  <si>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</si>
  <si>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</si>
  <si>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</si>
  <si>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</si>
  <si>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</si>
  <si>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</si>
  <si>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</si>
  <si>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</si>
  <si>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</si>
  <si>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</si>
  <si>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</si>
  <si>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</si>
  <si>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</si>
  <si>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3）御社サプライチェーン内の製錬業者のいずれかが、対象国を3TGの原産地としていますか？（SEC用語。定義タブを参照）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</si>
  <si>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</si>
  <si>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</si>
  <si>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</si>
  <si>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</si>
  <si>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</si>
  <si>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</si>
  <si>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</si>
  <si>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 xml:space="preserve">La seguente lista riporta i dati più recenti relativamente a nomi/alias di CFSI a partire dalla pubblicazione di questo modello. La presenza di una fonderia NON è garanzia del fatto che essa sia attualmente attiva o conforme ai sensi del Conflict-Free Smelter Program. 
Prego fare riferimento al sito CFSI (www.conflictfreesourcing.org) per la versione più aggiornata e accurata dei nomi delle fonderie standard attive o conformi. 
La colonna B è una lista di nomi usati comunemente per fonderie conosciute che sono idonee al programma di verifica del CFSP.
La colonna C è la lista dei nomi ufficiali delle fonderie standard, intesi come i nomi legali delle fonderie idonee. La maggioranza delle fonderie avrà la stessa immissione per entrambe le colonne, tuttavia se il nome comune varia rispetto al nome standard, la variazione è annotata nella colonna B. </t>
  </si>
  <si>
    <t>Smelter ListA4</t>
  </si>
  <si>
    <t>InstructionsA52</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</si>
  <si>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This response to this question serves to exclude any trace level contaminants such as tin in steel.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</si>
  <si>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5)御社は全ての関連サプライヤーから、各3TGに関するデータ／情報を受け取っていますか？</t>
  </si>
  <si>
    <t>Power Resources Ltd.</t>
  </si>
  <si>
    <t xml:space="preserve">2. This is the second of two questions for which the response is used to determine whether the 3TG is within the scope of conflict minerals reporting requirements as described in the SEC’s final rules regarding the determination if a 3TG is “necessary to the production” of a product.  This question is separate and independent from the question and response to question 1.  This query is intended to identify 3TGs which are intentionally used in the manufacturing process of a product and where some amount of the 3TG remains in the finished product.  These 3TGs likely were not intended to become part of the final product nor are they likely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used during the manufacturing process, be completely removed during that process, the response to this question would be “no."
This question shall be answered for each 3TG. Valid answers to this question are either "yes" or "no". This question is mandatory. </t>
  </si>
  <si>
    <t>CFSI website: (www.conflictfreesourcing.org)
Training and guidance, template, Conflict-Free Smelter Program compliant smelter list.</t>
  </si>
  <si>
    <t>C. Please answer “Yes” or “No”.  Provide any comments if necessary.  See Definitions worksheet for definition of "DRC conflict-free".</t>
  </si>
  <si>
    <t xml:space="preserve">Note:  Entries with (*) are mandatory fields. </t>
  </si>
  <si>
    <t>z</t>
  </si>
  <si>
    <t>Ōita</t>
  </si>
  <si>
    <t>Qiaokou</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</si>
  <si>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</si>
  <si>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</si>
  <si>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</si>
  <si>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</si>
  <si>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</si>
  <si>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</si>
  <si>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</si>
  <si>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</si>
  <si>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</si>
  <si>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</si>
  <si>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</si>
  <si>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</si>
  <si>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</si>
  <si>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</si>
  <si>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</si>
  <si>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</si>
  <si>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</si>
  <si>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</si>
  <si>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</si>
  <si>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</si>
  <si>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</si>
  <si>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</si>
  <si>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</si>
  <si>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</si>
  <si>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製錬業者名(*)　－　C列で「Smelter Not Listed（製錬業者が表に含まれていない）」を選択した場合、製錬業者名を記入してください。C列で製錬業者名を選択した場合には、この欄は自動入力されます。この欄は必須です。</t>
  </si>
  <si>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</si>
  <si>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</si>
  <si>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</si>
  <si>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</si>
  <si>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</si>
  <si>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</si>
  <si>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</si>
  <si>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</si>
  <si>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</si>
  <si>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</si>
  <si>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</si>
  <si>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</si>
  <si>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</si>
  <si>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</si>
  <si>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</si>
  <si>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</si>
  <si>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</si>
  <si>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</si>
  <si>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</si>
  <si>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</si>
  <si>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</si>
  <si>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</si>
  <si>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</si>
  <si>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</si>
  <si>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</si>
  <si>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</si>
  <si>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</si>
  <si>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</si>
  <si>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</si>
  <si>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</si>
  <si>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</si>
  <si>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</si>
  <si>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</si>
  <si>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</si>
  <si>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</si>
  <si>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</si>
  <si>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</si>
  <si>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</si>
  <si>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</si>
  <si>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</si>
  <si>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</si>
  <si>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</si>
  <si>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</si>
  <si>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</si>
  <si>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</si>
  <si>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</si>
  <si>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</si>
  <si>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</si>
  <si>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</si>
  <si>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</si>
  <si>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</si>
  <si>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</si>
  <si>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</si>
  <si>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</si>
  <si>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</si>
  <si>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</si>
  <si>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</si>
  <si>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</si>
  <si>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</si>
  <si>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</si>
  <si>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</si>
  <si>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</si>
  <si>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</si>
  <si>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</si>
  <si>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</si>
  <si>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</si>
  <si>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この情報を共有する許可を得た場合、御社が連絡をとっている製錬業者担当者名を記入してください。
</t>
  </si>
  <si>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</si>
  <si>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</si>
  <si>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</si>
  <si>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</si>
  <si>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</si>
  <si>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</si>
  <si>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</si>
  <si>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</si>
  <si>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</si>
  <si>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</si>
  <si>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Mandatory fields are noted with an asterisk (*).</t>
  </si>
  <si>
    <t>TO BEGIN:</t>
  </si>
  <si>
    <t>1. Smelter Identification Input Column - If you know the Smelter Identification Number, input the number in Column A (columns B, C, D, E, F, G, I, and J will auto-populate).  Column A does not autopopulate.</t>
  </si>
  <si>
    <t xml:space="preserve">
Option A: If you know the Smelter Identification Number, input the number in Column A (columns B, C, D, E, F, G, I, and J will auto-populate).
Option B:  If you have a Metal and Smelter Reference List name combination, complete the following steps:
Step 1. Select Metal in column B
Step 2. Select from dropdown in column C (wrong combination will trigger RED color)
Step 3. If dropdown selection is "Smelter Not Listed" complete columns D &amp; E
Step 4. Enter all available smelter information in columns H thru P
Mandatory fields are noted with an asterisk (*).
NOTE: A combination of Options A and B can be used to complete the Smelter List tab.  Do not alter autopopulated cells.  All errors in the Smelter Reference List should be reported to CFSI by contacting info@conflictfreesmelter.org.
</t>
  </si>
  <si>
    <t>Smelter Identification Number Input Column</t>
  </si>
  <si>
    <t>3. Smelter Reference List(*)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</si>
  <si>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1. 冶炼厂识别输入列－如果您知道冶炼厂识别号码，则在 A 列输入号码（B、C、D、E、F、G、I 和 J 列将自动填入）。A 列不会自动填入。</t>
  </si>
  <si>
    <t>3. 冶炼厂参考清单 (*)－在下拉菜单中选择。清单列出了所有直到发布此申报模板时已知的冶炼厂。如果冶炼厂不在清单中时请选择‘冶炼厂没列出’。出现这种情况时请将该冶炼厂的名称输入 D 列。如果你不知道冶炼厂的名称或地点，请选择‘冶炼厂尚未被识别’。对于这个选项，D 和 E 列将会自动填入‘未知’。此栏必须填写。</t>
  </si>
  <si>
    <t>必填字段以星号 (*) 表示。</t>
  </si>
  <si>
    <t>冶炼厂识别号码输入列</t>
  </si>
  <si>
    <t>首先：</t>
  </si>
  <si>
    <t xml:space="preserve">选项 A：如果您有冶炼厂识别号码，请在 A 列输入号码（B、C、D、E、F、G、I 和 J 列将自动填入）。
选项 B：如果您有金属和冶炼厂参考清单名称组合，则完成以下步骤：
步骤 1. 选择 B 列中的金属
步骤 2. 从 C 列的下拉菜单中选择（错误组合将触发红色）
步骤 3. 如果从下拉菜单中选择“未列出的冶炼厂”，则填写 D 列和 E 列
步骤 4. 在 H 列至 P 列输入所有可用的冶炼厂信息
必填字段以星号 (*) 表示。
注意：选项 A 和 B 的组合可被用于填写冶炼厂清单选项卡。请勿更改自动填写的单元格。应通过联系 info@conflictfreesmelter.org，向 CFSI 报告冶炼厂参考清单中的所有错误。
</t>
  </si>
  <si>
    <t>1. 製錬業者識別番号の入力列－製錬業者識別番号が分かる場合は、その番号をA列に入力してください（B列、C列、D列、E列、F列、G列、I列、およびJ列は自動入力されます）。A列は自動入力されません。</t>
  </si>
  <si>
    <t>3. 製錬業者参照表（*）－ドロップダウンメニューから選択。ここに、テンプレート発行日時点の既知の製錬業者名が列記されています。製錬業者がここにない場合、「Smelter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製錬業者が表に含まれていない）」を選択してください。これを選択すると、製錬業者名をＤ列に記入できるようになります。この欄は必須です。</t>
  </si>
  <si>
    <t>必須項目は（*）で表示。</t>
  </si>
  <si>
    <t>製錬業者識別番号の入力列</t>
  </si>
  <si>
    <r>
      <t>開始するには</t>
    </r>
    <r>
      <rPr>
        <b/>
        <sz val="11"/>
        <rFont val="Verdana"/>
        <family val="2"/>
      </rPr>
      <t xml:space="preserve">
</t>
    </r>
  </si>
  <si>
    <t xml:space="preserve">オプションA：製錬業者識別番号が分かる場合は、その番号をA列に入力してください（B列、C列、D列、E列、F列、G列、I列、およびJ列は自動入力されます）。
オプションB：金属と製錬業者参照表にある名前の組み合わせが分かる場合は、以下のステップを行ってください。
ステップ1. B列で金属を選択
ステップ2. C列のドロップダウンメニューで精錬業者名を選択（組み合わせが間違っている場合は赤色で表示）
ステップ3. ドロップダウンメニューで「Smelter Not Listed（製錬業者が表に含まれていない）」を選択した場合は、D列とE列に記入
ステップ4. 入手可能なすべての精錬業者情報をH列～P列に記入
必須項目は（*）で表示。
注：オプションAとオプションBの組み合わせを使用して、「Smelter List（製錬業者リスト）」のタブを入力できます。自動入力されたセルは変更しないでください。製錬業者参照表のすべてのエラーは、info@conflictfreesmelter.orgを使用してCFSIに報告してください。
</t>
  </si>
  <si>
    <t xml:space="preserve">1. 제련소 ID 입력 열 – 제련소 ID 번호를 아는 경우 A열에 번호를 입력합니다(B, C, D, E, F, G, I 및 J열은 자동으로 입력됨). A열은 자동으로 입력되지 않습니다. </t>
  </si>
  <si>
    <t xml:space="preserve">3. 제련소 참조 목록(Smelter Reference List)(*) – 드롭다운 메뉴에서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필드는 필수 사항입니다. </t>
  </si>
  <si>
    <r>
      <t>필수</t>
    </r>
    <r>
      <rPr>
        <sz val="11"/>
        <rFont val="Calibri"/>
        <family val="2"/>
      </rPr>
      <t xml:space="preserve"> </t>
    </r>
    <r>
      <rPr>
        <sz val="11"/>
        <rFont val="Batang"/>
        <family val="1"/>
      </rPr>
      <t>필드는</t>
    </r>
    <r>
      <rPr>
        <sz val="11"/>
        <rFont val="Calibri"/>
        <family val="2"/>
      </rPr>
      <t xml:space="preserve"> </t>
    </r>
    <r>
      <rPr>
        <sz val="11"/>
        <rFont val="Batang"/>
        <family val="1"/>
      </rPr>
      <t>별표</t>
    </r>
    <r>
      <rPr>
        <sz val="11"/>
        <rFont val="Calibri"/>
        <family val="2"/>
      </rPr>
      <t>(*)</t>
    </r>
    <r>
      <rPr>
        <sz val="11"/>
        <rFont val="Batang"/>
        <family val="1"/>
      </rPr>
      <t>로</t>
    </r>
    <r>
      <rPr>
        <sz val="11"/>
        <rFont val="Calibri"/>
        <family val="2"/>
      </rPr>
      <t xml:space="preserve"> </t>
    </r>
    <r>
      <rPr>
        <sz val="11"/>
        <rFont val="Batang"/>
        <family val="1"/>
      </rPr>
      <t>표시됩니다</t>
    </r>
    <r>
      <rPr>
        <sz val="11"/>
        <rFont val="Calibri"/>
        <family val="2"/>
      </rPr>
      <t xml:space="preserve">. </t>
    </r>
  </si>
  <si>
    <t>제련소 ID 번호 입력 열</t>
  </si>
  <si>
    <t xml:space="preserve">시작하려면:
</t>
  </si>
  <si>
    <t xml:space="preserve">옵션 A: 제련소 ID 번호가 있는 경우 A열에 번호를 입력합니다(B, C, D, E, F, G, I 및 J열은 자동으로 입력됨). 
옵션 B:  금속 및 제련소 참조 목록(Smelter Reference List) 이름 조합이 있는 경우 다음 단계를 완료합니다. 
단계 1. B열에서 금속을 선택합니다. 
단계 2. C열의 드롭다운 메뉴에서 선택합니다(조합이 바르지 않을 경우 적색이 나타남). 
단계 3. 드롭다운 메뉴에서 “제련소명 없음(Smelter Not Listed)”을 선택할 경우, D 및 E열을 작성합니다. 
단계 4. H ~ P열에 사용 가능한 모든 제련소 정보를 입력합니다. 
필수 필드는 별표(*)로 표시됩니다. 
참고: 옵션 A 및 B의 조합은 제련소 목록(Smelter List) 탭을 작성하는 데 사용할 수 있습니다. 자동으로 입력된 셀을 변경하지 마십시오. 제련소 참조 목록(Smelter Reference List)의 모든 오류는 info@conflictfreesmelter.org로 연락하여 CFSI에 보고해야 합니다. 
</t>
  </si>
  <si>
    <t>1. Colonne d’entrée de l’identification de la fonderie. Si vous connaissez le numéro d’identification de la fonderie, saisissez-le dans la colonne A (les colonnes B, C, D, E, F, G, I et J se rempliront automatiquement). La colonne A ne se remplit pas automatiquement.</t>
  </si>
  <si>
    <t>3. Liste de référence des fonderies (*) - Sélectionnez dans la liste déroulante.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</si>
  <si>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Les champs obligatoires sont indiqués par un astérisque (*).</t>
  </si>
  <si>
    <t>Colonne de saisie du numéro d’identification de la fonderie</t>
  </si>
  <si>
    <t>POUR COMMENCER :</t>
  </si>
  <si>
    <t xml:space="preserve">Option A : Si vous connaissez le numéro d’identification de la fonderie, saisissez-le dans la colonne A (les colonnes B, C, D, E, F, G, I et J se rempliront automatiquement).
Option B : Si vous connaissez une combinaison métal et fonderie figurant dans la liste de référence des fonderies, effectuez les étapes suivantes :
Étape 1. Sélectionnez le métal dans la colonne B 
Étape 2. Sélectionnez dans la liste déroulante de la colonne C (une mauvaise combinaison déclenche la couleur ROUGE)
Étape 3. Si la sélection de la liste déroulante est « La fonderie ne figure pas dans la liste », remplissez les colonnes D et E
Étape 4. Saisissez toutes les informations disponibles sur la fonderie dans les colonnes H à P
Les champs obligatoires sont indiqués par un astérisque (*).
REMARQUE : Une combinaison des options A et B peut être utilisée pour remplir l’onglet Liste des fonderies. Ne modifiez pas les cellules remplies automatiquement. Toutes les erreurs figurant dans la liste de référence des fonderies doivent être signalées à la CFSI en contactant info@conflictfreesmelter.org.
</t>
  </si>
  <si>
    <t>1. Coluna de entrada de identificação de fundição - se souber o número de identificação de fundição, coloque-o na coluna A (as colunas B, C, D, E, F, G, I e J são de preenchimento automático).  A coluna A não preenche automaticamente.</t>
  </si>
  <si>
    <t>3. Lista de referência de fundições(*) - selecione na lista suspensa.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</si>
  <si>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Campos obrigatórios estão marcados com um asterisco (*).</t>
  </si>
  <si>
    <t>Coluna de entrada do número de identificação da fundição</t>
  </si>
  <si>
    <t>PARA INICIAR:</t>
  </si>
  <si>
    <t xml:space="preserve">Opção A: Se tiver um número de identificação de fundição, coloque-o na coluna A (as colunas B, C, D, E, F, G, I e J são de preenchimento automático).
Opção B:  Se tiver uma combinação de nomes da Lista de referência de fundições e Metal, execute as seguintes etapas:
Etapa 1. Selecione Metal na coluna B
Etapa 2. Selecione da lista suspensa na coluna C (a combinação errada acionará a cor VERMELHA)
Etapa 3. Se a seleção da lista suspensa for "Fundição não listada", preencha as colunas D e E
Etapa 4. Digite todas as informações disponíveis da fundição nas colunas H até P
Campos obrigatórios estão marcados com um asterisco (*).
OBSERVAÇÃO: É possível usar uma combinação das Opções A e B para preencher a guia Lista de fundições.  Não altere as células de preenchimento automático.  Todos os erros na Lista de referência de fundições devem ser relatados à CFSI pelo e-mail info@conflictfreesmelter.org."
</t>
  </si>
  <si>
    <t>1. Eingabespalte Schmelzofenidentifizierung – Wenn Sie die Schmelzofenidentifizierungsnummer kennen, geben Sie die Nummer in Spalte A ein (Spalten B, C, D, E, F, G, I und J füllen sich automatisch aus).  Spalte A füllt sich nicht automatisch aus.</t>
  </si>
  <si>
    <t>3. Schmelzöfen-Referenzliste(*) – Aus dem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</si>
  <si>
    <t>Pflichtfelder sind mit einem Sternchen (*) gekennzeichnet.</t>
  </si>
  <si>
    <t xml:space="preserve">Eingabespalte Schmelzofenidentifizierungsnummer </t>
  </si>
  <si>
    <t>UM ZU BEGINNEN:</t>
  </si>
  <si>
    <t xml:space="preserve">Option A: Wenn Sie eine Schmelzofenidentifizierungsnummer haben, geben Sie die Nummer in Spalte A ein (Spalten B, C, D, E, F, G, I und J füllen sich automatisch aus).
Option B:  Falls Sie eine Metall- und Schmelzöfen-Referenzlistennamenskombination haben, führen Sie die folgenden Schritte aus:
Schritt 1. Wählen Sie das Metall in Spalte B aus.
Schritt 2. Wählen Sie aus dem Dropdown-Menü in Spalte C (die falsche Kombination löst die Farbe ROT aus)
Schritt 3. Wenn die Auswahl aus dem Dropdown-Menü „Schmelzofen nicht aufgeführt“ lautet, vervollständigen Sie Spalten D und E
Schritt 4. Geben Sie alle verfügbaren Schmelzofeninformationen in die Spalten H bis P ein
Pflichtfelder sind mit einem Sternchen (*) gekennzeichnet.
HINWEIS: Eine Kombination der Optionen A und B kann zur Vervollständigung des Schmelzöfenreiters verwendet werden.  Ändern Sie keine automatisch ausgefüllten Felder.  Alle Fehler in der Schmelzöfen-Referenzliste sollten über info@conflictfreesmelter.org an CSFI gemeldet werden.“
</t>
  </si>
  <si>
    <t>1. Columna para ingresar la identificación del fundidor: si conoce el número de identificación del fundidor, ingréselo en la columna A (las columnas B, C, D, E, F, G, I y J se completarán automáticamente). La columna A no se completa en forma automática.</t>
  </si>
  <si>
    <t xml:space="preserve">3. Lista de referencia del fundidor(*): seleccione una opción de la lista desplegable. Esta es la lista de fundidores conocidos a la fecha de publicación de la plantilla. Si el fundidor no aparece, seleccione la opción “Smelter Not Listed” (Fundidor no registrado). Esto le permitirá ingresar el nombre del fundidor en la columna D. Si no conoce el nombre ni la ubicación del fundidor, seleccione la opción "Smelter Not Yet Identified" (Fundidor aún no identificado). Si selecciona esta opción, las columnas D y E se completarán con la palabra “unknown” (desconocido). Este campo es obligatorio.
 </t>
  </si>
  <si>
    <t>Los campos obligatorios están marcados con un asterisco (*).</t>
  </si>
  <si>
    <t>Columna para ingresar el número de identificación del fundidor</t>
  </si>
  <si>
    <t>PARA COMENZAR:</t>
  </si>
  <si>
    <t xml:space="preserve">Opción A: Si conoce el número de identificación del fundidor, ingréselo en la columna A (las columnas B, C, D, E, F, G, I y J se completarán automáticamente).
Opción B: Si tiene un nombre combinado de la Lista de referencia de fundidores y metales, complete los siguientes pasos:
Paso 1. Seleccione Metal en la columna B.
Paso 2. Seleccione una opción de la lista desplegable de la columna C (una combinación errónea activará el color ROJO).
Paso 3. Si la selección de la lista desplegable es “Smelter Not Listed” (Fundidor no registrado), complete las columnas D y E.
Paso 4. Ingrese toda la información disponible sobre el fundidor en las columnas H a P.
Los campos obligatorios están marcados con un asterisco (*).
NOTA: Se puede usar una combinación de las Opciones A y B para completar la pestaña Smelter List (Lista de fudidores). No haga cambios en las celdas que se llenen automáticamente. Todos los errores de la Lista de referencia de fundidores deben informarse a la Iniciativa de Suministro Sin Conflicto (Conflict-Free Sourcing Initiative, CFSI) enviando un mensaje a info@conflictfreesmelter.org.
</t>
  </si>
  <si>
    <t>1. Colonna di immissione identificativo fonderia - Se si conosce il numero identificativo della fonderia, immetterlo nella colonna A (le colonne B, C, D, E, F, G, I e J verranno popolate automaticamente). La colonna A non viene popolata automaticamente.</t>
  </si>
  <si>
    <t>3. Lista dei riferimenti della fonderia(*)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</si>
  <si>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 campi obbligatori sono contrassegnati con un asterisco (*).</t>
  </si>
  <si>
    <t>Colonna di immissione numero di identificazione fonderia</t>
  </si>
  <si>
    <r>
      <t>PER INIZIARE:</t>
    </r>
    <r>
      <rPr>
        <b/>
        <sz val="11"/>
        <rFont val="Verdana"/>
        <family val="2"/>
      </rPr>
      <t xml:space="preserve">
</t>
    </r>
  </si>
  <si>
    <t xml:space="preserve">Opzione A: Se si dispone del numero di identificazione della fonderia, immetterlo nella colonna A (le colonne B, C, D, E, F, G, I e J verranno popolate automaticamente).
Opzione B:  Se si dispone della combinazione di nomi metallo e lista dei riferimenti della fonderia, procedere come indicato di seguito:
Fase 1. Selezionare il metallo nella colonna B
Fase 2. Selezionare dal menu a tendina nella colonna C (una combinazione errata verrà visualizzata con il colore ROSSO)
Fase 3. Se l’opzione selezionata nel menu a tendina è “Fonderia non presente” completare le colonne D ed E
Fase 4. Inserire tutti i dati disponibili sulla fonderia nelle colonne da H a P
I campi obbligatori sono contrassegnati con un asterisco (*).
NOTA: Per completare la scheda della lista delle fonderie è possibile utilizzare una combinazione delle Opzioni A e B. Non modificare le celle popolate automaticamente. Tutti gli errori presenti nella lista dei riferimenti della fonderia vanno segnalati al CFSI tramite l’indirizzo e-mail info@conflictfreesmelter.org”.
</t>
  </si>
  <si>
    <t>1. İzabe Tesisi Tanımlaması Giriş Sütunu - İzabe Tesisi Tanımlama Numarasını biliyorsanız A sütununa girin (B, C, D, E, F, G, I ve J sütunları otomatik olarak doldurulur).  A sütunu otomatik olarak doldurulmaz.</t>
  </si>
  <si>
    <t>3. İzabe Tesisi Referans Listesi(*) - Açılır menüden seçim yapın.  Bu, şablonun yayınlanma tarihi itibariyla bilinen izabe tesisi listesidir.  İzabe tesisi listelenmemişse, "İzabe Tesisi Listelenmemiş" ögesini seçin.  Bu, izabe tesisinin adını D sütununa girmeniz, sağlayacaktır. İzabe tesisinin adını veya konumunu bilmiyorsanız, "İzabe Tesisi Henüz Tanımlanmamış" ögesini seçin.  Bu seçenek için, D ve E sütunları otomatik olarak "bilinmiyor" şeklinde doldurulur.  Bu alanın doldurulması zorunludur.</t>
  </si>
  <si>
    <t>Doldurulması zorunlu alanlar yıldız imi (*) ile gösterilmiştir.</t>
  </si>
  <si>
    <t>İzabe Tesisi Tanımlama Numarası Giriş Sütunu</t>
  </si>
  <si>
    <t xml:space="preserve">BAŞLAMAK İÇİN:
</t>
  </si>
  <si>
    <t xml:space="preserve">A Seçeneği: İzabe Tesisi Tanımlama Numarasını biliyorsanız, A sütununa (B, C, D, E, F, G, I ve J sütunları otomatik olarak doldurulur) girin.
B Seçeneği:  Metal ve İzabe Tesisi Referans Listesi ad kombinasyonuna sahipseniz, aşağıdaki adımları tamamlayın:
1. Adım: B sütununda Metal ögesini seçin
2. Adım: C sütunundaki açılır menüden seçim yapın (yanlış kombinasyonlar KIRMIZI renkle gösterilecektir)
3. Adım: Açılır menüde "İzabe Tesisi Listelenmemiş" seçimi yapılmışsa, D ve E sütunlarını doldurun
4. Adım: Elinizdeki tüm izabe tesisi bilgilerini H ila P sütunlarına girin
Doldurulması zorunlu alanlar yıldız imi (*) ile gösterilmiştir.
NOT: İzabe Tesisi Listesi sekmesini doldurmak için, A ve B seçeneklerinin bir kombinasyonu kullanılabilir.  Otomatik doldurulan hücreleri değiştirmeyin.  İzabe Tesisi Referans Listesindeki tüm hatalar, info@conflictfreesmelter.org adresi yoluyla iletişim kurularak CFSI'ya bildirilmelidir.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</si>
  <si>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</si>
  <si>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MACEDONIA, REPUBLIC OF</t>
  </si>
  <si>
    <t>beltronic ipc AG</t>
  </si>
  <si>
    <t>David Ledergerber</t>
  </si>
  <si>
    <t>david.ledergerber@beltronic-ipc.com</t>
  </si>
  <si>
    <t>Benno Ledergerber</t>
  </si>
  <si>
    <t>CEO</t>
  </si>
  <si>
    <t>benno.ledergerber@beltronic-ipc.com</t>
  </si>
  <si>
    <t>UNITED STATES OF AMERICA</t>
  </si>
  <si>
    <t>KOREA (REPUBLIC OF)</t>
  </si>
  <si>
    <t>TAIWAN, PROVINCE OF CHINA</t>
  </si>
  <si>
    <t>Taki Chemical Co., Ltd.</t>
  </si>
  <si>
    <t>Zhuzhou Cemented Carbide Group Co., Ltd.</t>
  </si>
  <si>
    <t>Pemali</t>
  </si>
  <si>
    <t>BOLIVIA (PLURINATIONAL STATE OF)</t>
  </si>
  <si>
    <t>Gejiu</t>
  </si>
  <si>
    <t/>
  </si>
  <si>
    <t>Excludes Covered Countries</t>
  </si>
  <si>
    <t>Compliant</t>
  </si>
  <si>
    <t>Includes Covered Countries</t>
  </si>
  <si>
    <t>MACEDONIA (THE FORMER YUGOSLAV REPUBLIC OF)</t>
  </si>
  <si>
    <t>Recycled/Scrap Only</t>
  </si>
  <si>
    <t>Compliant or remove from supply-chain by Dec. 31, 2017</t>
  </si>
  <si>
    <t>Compliant by May 1, 2017</t>
  </si>
  <si>
    <t>Compliant by May 1, 2017.</t>
  </si>
  <si>
    <t>On CFSP Active List</t>
  </si>
  <si>
    <t>Smelter due diligence complete. Wholly owned subsidiary of COMPANHIA SIDERÚRGICA NACIONAL (CSN) who filed  a Form SD in 2015 - RCOI result is Brazil. 
Smelter's product(s) can reasonably considered DRC conflict free.</t>
  </si>
  <si>
    <t>Smelter due diligence completed in 2016. Smelter's product(s) can reasonably considered to be DRC conflict free.</t>
  </si>
  <si>
    <t>On CFSP Active List. Smelter due diligence completed in 2016. Smelter's product(s) can reasonably considered to be DRC conflict free.</t>
  </si>
  <si>
    <t>confidential</t>
  </si>
  <si>
    <t>HwaSeong CJ Co., Ltd.</t>
  </si>
  <si>
    <t>Compliant - LBMA Responsible Gold Guidance compliance audit conducted by PwC.  Report available at http://kghm.com/en/our-business/products/responsible-supply-chain.</t>
  </si>
  <si>
    <t>Samwon Metals Corp.</t>
  </si>
  <si>
    <t>6-15-13 Minami-cho, Fuchu-shi, Tokyo, 1830026 Japan</t>
  </si>
  <si>
    <t>Seigo Mukoyama</t>
  </si>
  <si>
    <t>jigane@aida-j.jp</t>
  </si>
  <si>
    <t>CFS smelter valid until March 04, 2016</t>
  </si>
  <si>
    <t>Recycled, Scrap</t>
  </si>
  <si>
    <t>L1, R/S</t>
  </si>
  <si>
    <t>CFSP Compliant Smelter</t>
    <phoneticPr fontId="29"/>
  </si>
  <si>
    <t>Kanzlerstrasse 17</t>
  </si>
  <si>
    <t>Margot Bohnenberger</t>
  </si>
  <si>
    <t>margot.bohnenberger@agosi.de</t>
  </si>
  <si>
    <t>CFS smelter valid until August 13, 2016, Audited by RJC</t>
  </si>
  <si>
    <t>Not disclosed by supplier</t>
  </si>
  <si>
    <t>Not disclosed per RJC</t>
  </si>
  <si>
    <t>53, ?mir Timur str., Almalyk city, Tashkent region, Republic of Uzbekistan, 100100</t>
  </si>
  <si>
    <t>not available</t>
  </si>
  <si>
    <t>CFS smelter valid until March 23, 2016, Audited by LBMA</t>
  </si>
  <si>
    <t>Not disclosed per LBMA</t>
  </si>
  <si>
    <t>Via Moree 14 CH-6850 Mendrisio</t>
  </si>
  <si>
    <t>Simone Frigerio</t>
  </si>
  <si>
    <t>simone.frigerio@argor.com</t>
  </si>
  <si>
    <t>Recycled</t>
  </si>
  <si>
    <t>1-6-3- Murotani Nishi-ku</t>
  </si>
  <si>
    <t>Not disclosed</t>
  </si>
  <si>
    <t>http://www.asahipretec.com/company/network/</t>
  </si>
  <si>
    <t>47 Aza Maseguchi, Kanaya Tamura-machi, Koriyama-shi, Fukushima, 963-0725, JAPAN</t>
  </si>
  <si>
    <t>Ito-San, Tomomi Okoshi</t>
  </si>
  <si>
    <t>gyito@asaka.co.jp, gtohko@asaka.co.jp</t>
  </si>
  <si>
    <t>CFS smelter valid until January 16, 2016</t>
  </si>
  <si>
    <t>Hovestrasse 50</t>
  </si>
  <si>
    <t>Mr. Lars Rodowitz</t>
  </si>
  <si>
    <t>l.radowitz@aurubis.com</t>
  </si>
  <si>
    <t>Certified</t>
  </si>
  <si>
    <t>Germany, recycled, scrap</t>
  </si>
  <si>
    <t>A. Mabini St. cor. P. Ocampo St., Malate Manila, Philippines 1004 BSP- Security Plant Complex, East Avenue, Quezon City, Philippines</t>
  </si>
  <si>
    <t>Ms. Nanette Ella</t>
  </si>
  <si>
    <t>bspmail@bsp.gov.ph, FiloteoJN@bsp.gov.ph, nella@bsp.gov.ph</t>
  </si>
  <si>
    <t>CFS smelter valid until December 19, 2015, Audited by LBMA</t>
  </si>
  <si>
    <t>Skelleftehamn, Skellefteå Municipality, Västerbotten County, Sweden</t>
  </si>
  <si>
    <t>CFS smelter valid until January 15, 2015, Audited by LBMA</t>
  </si>
  <si>
    <t>Bleichstrasse 13-17</t>
  </si>
  <si>
    <t>Torsten Schlindwein</t>
  </si>
  <si>
    <t>torsten.schlindwein@c-hafner.de</t>
  </si>
  <si>
    <t>CFS smelter valid until March 11, 2016, Audited by LBMA</t>
  </si>
  <si>
    <t>220 Avenue Du Rocher</t>
  </si>
  <si>
    <t>Paul Healey</t>
  </si>
  <si>
    <t>phealey@xstratacopper.ca</t>
  </si>
  <si>
    <t>CFS smelter valid until March 30, 2016, Audited by LBMA</t>
  </si>
  <si>
    <t>(include recycled)</t>
  </si>
  <si>
    <t>Via dei Laghi 31/33 52041 Badia al Pino (Arezzo) - Italy</t>
  </si>
  <si>
    <t>60-1 Otarube Kosakakouzan</t>
  </si>
  <si>
    <t>Mr. Koji Miyake</t>
  </si>
  <si>
    <t>"miyakek@dowa.co.jp Tel: +81-368471204 Tel: +81-368471200 http://www.dowa.co.jp"</t>
  </si>
  <si>
    <t>CFS smelter valid until October 22, 2016</t>
  </si>
  <si>
    <t>From Huckleberry and Recycled</t>
  </si>
  <si>
    <t>Jl. Ketapang Kawasan Industri, Pangkal Pinang 33100</t>
  </si>
  <si>
    <t>Ms. Rosalinda Dwijayanti</t>
  </si>
  <si>
    <t>imli_mrktg@indoprima-group.co.id</t>
  </si>
  <si>
    <t>CFS smelter valid until December 18, 2015, Re-audit in progress</t>
  </si>
  <si>
    <t>From Indonesia  ore</t>
  </si>
  <si>
    <t>Dennigstraße 16 – 75179, Pforzheim, Germany</t>
  </si>
  <si>
    <t>Monika Bakula</t>
  </si>
  <si>
    <t>bakula@heimerle-meule.com</t>
  </si>
  <si>
    <t>CFS smelter valid until January 31, 2015, Re-audit In Progress</t>
  </si>
  <si>
    <t>Heraeus Technology Center, 30 On Chuen Street, On Lok</t>
  </si>
  <si>
    <t>Mr. Jochen Schlessman</t>
  </si>
  <si>
    <t>jochen.schlessman@ heraeus.com</t>
  </si>
  <si>
    <t>Various mines + recycled + scrap</t>
  </si>
  <si>
    <t>Heareusstrasse,12-15 D-63450 Hanau, Germany</t>
  </si>
  <si>
    <t>Mr. Zumpfe Alexander</t>
  </si>
  <si>
    <t>alexander.zumpfe@heraeus.com</t>
  </si>
  <si>
    <t>From Various mines not disclosed by supplier, and Recycled or scrap</t>
  </si>
  <si>
    <t>No action</t>
  </si>
  <si>
    <t>3-20-7 Aoyanagi</t>
  </si>
  <si>
    <t>Nobutaka Okazaki</t>
  </si>
  <si>
    <t>n-okazaki@ifk.co.jp</t>
  </si>
  <si>
    <t>Kuyumcukent, Istanbul, Turkey</t>
  </si>
  <si>
    <t>confo@igrglobal.com, anna.dinzler@igrglobal.com</t>
  </si>
  <si>
    <t>CFS smelter valid until March 20, 2016, Audited by LBMA</t>
  </si>
  <si>
    <t>Yejin Avenue, Guixi City, Jiangxi 335424</t>
  </si>
  <si>
    <t>435 Devon Park Dr., Ste. 600 Wayne, PA 19087</t>
  </si>
  <si>
    <t>Jerry Gill</t>
  </si>
  <si>
    <t>Gilljt@jmusa.com</t>
  </si>
  <si>
    <t>CFS smelter valid until June 30, 2016, Audited by LBMA</t>
  </si>
  <si>
    <t>9-1173 Michener Road, Sarnia</t>
  </si>
  <si>
    <t>David Allchurch</t>
  </si>
  <si>
    <t>jmpr@matthey.com</t>
  </si>
  <si>
    <t>3382-3 Saganoseki</t>
  </si>
  <si>
    <t>(+81)3-5299-7000</t>
  </si>
  <si>
    <t>r_tawara@ppcu.co.jp</t>
  </si>
  <si>
    <t>Recycled and from Los Pelambres Mine, Collahuasi Mine, Escondida Mine, Cadia Hill and Ridgeway Mines</t>
  </si>
  <si>
    <t>4700 Daybreak Parkway South Jordan</t>
  </si>
  <si>
    <t>Bill Adams</t>
  </si>
  <si>
    <t>william.adams@riotinto.com</t>
  </si>
  <si>
    <t>CFS smelter valid until October 7, 2016, Audited by RJC</t>
  </si>
  <si>
    <t>337-26 Kashiwabara</t>
  </si>
  <si>
    <t>(+81)4-2953-9231</t>
  </si>
  <si>
    <t>CFS smelter valid until February 26, 2016</t>
  </si>
  <si>
    <t>Recycled and not disclosed by supplier</t>
  </si>
  <si>
    <t>R/S</t>
  </si>
  <si>
    <t>20F, ASEM Tower, 159, Samseong 1dong, Kangnam gu</t>
  </si>
  <si>
    <t>JinWon,Jung</t>
  </si>
  <si>
    <t>gogilra1@lsnikko.com</t>
  </si>
  <si>
    <t>CFS smelter valid until April 3, 2016, Audited by LBMA</t>
  </si>
  <si>
    <t>From Escondida, Andia, Cuquicamata, Vale.</t>
  </si>
  <si>
    <t>2978 Main Street</t>
  </si>
  <si>
    <t>Michael O'Neill</t>
  </si>
  <si>
    <t>Michael.ONeill@materion.com</t>
  </si>
  <si>
    <t>CFS smelter valid until February 6, 2014, Re-audit in progress</t>
  </si>
  <si>
    <t>Some are recycled or scrap sourced but not all.</t>
  </si>
  <si>
    <t>189-1 Matsubara Sayamagahara</t>
  </si>
  <si>
    <t>Isao Yazawa</t>
  </si>
  <si>
    <t>yazawa-i@matsuda-sangyo.co.jp</t>
  </si>
  <si>
    <t>CFS smelter valid until June 19, 2016, Audited by LBMA</t>
  </si>
  <si>
    <t>Suite 1705-9, The Metropolis Tower 10 Metropolis Drive</t>
  </si>
  <si>
    <t>Yeuk Fung Tsoi Frank Hsiao</t>
  </si>
  <si>
    <t>Yeuk_Fung_Tsoi@metalor.com frank.hsiao@metalor.com Tel: +852-25211431 Tel: +852-23650301 Tel: +852-28867776 http://www.metalor.com</t>
  </si>
  <si>
    <t>CFS smelter valid until April 20, 2018, Audited by RJC</t>
  </si>
  <si>
    <t>Rue des Perveuils 8, CH-2074 Marin, Switzerland</t>
  </si>
  <si>
    <t>frank hsiao</t>
  </si>
  <si>
    <t>frank.hsiao@metalor.com</t>
  </si>
  <si>
    <t>CFS smelter valid until April 1, 2018, Audited by RJC</t>
  </si>
  <si>
    <t>255 John L. Dietsch Blvd</t>
  </si>
  <si>
    <t>Larry Drummond</t>
  </si>
  <si>
    <t>larry.drummond@metalor.com</t>
  </si>
  <si>
    <t>CFS smelter valid until March 25, 2018, Audited by RJC</t>
  </si>
  <si>
    <t>Calzada Legaria No. 549 Torre 2 Colonia 10 de abril</t>
  </si>
  <si>
    <t>Rafael Rebollar</t>
  </si>
  <si>
    <t>rafael_rebollar@penoles.com.mx</t>
  </si>
  <si>
    <t>4049-1 Naoshima-cho</t>
  </si>
  <si>
    <t>Kudani Haruo</t>
  </si>
  <si>
    <t>kudani@mmc.co.jp Tel: +81-352525370 Tel: +81-352525206 http://www.mmc.co.jp</t>
  </si>
  <si>
    <t>CFS smelter valid until June 23, 2016, Audited by LBMA</t>
  </si>
  <si>
    <t>Recycled and from Huckleberry Mine, Copper Mountain Mine, Escondida Mine, Los Pelambres Mine, Batu Hijau Mine</t>
  </si>
  <si>
    <t>1-5-1 Shio-Machi</t>
  </si>
  <si>
    <t>(+81)3-5437-8000</t>
  </si>
  <si>
    <t>http://www.mitsui-kinzoku.co.jp/en/contact/index.html</t>
  </si>
  <si>
    <t>Recycled and from Los Pelambres Mine, Collahuasi Mine, Escondida Mine, Cadia Hill &amp; Ridgeway Mines</t>
  </si>
  <si>
    <t>Bahçelievler, Istanbul, Turkey</t>
  </si>
  <si>
    <t>Roberto</t>
  </si>
  <si>
    <t>info@nadirmetal.com.tr, info@nadirdoviz.com, dmcc@nadirgold.com, roberto@nadirgold.com</t>
  </si>
  <si>
    <t>CFS smelter valid until February 27, 2016</t>
  </si>
  <si>
    <t>19-2, Hayama</t>
  </si>
  <si>
    <t>Yasuyuki Yonenaga</t>
  </si>
  <si>
    <t>yonenaga@material.co.jp</t>
  </si>
  <si>
    <t>CFS smelter valid until May 27, 2016, Audited by LBMA</t>
  </si>
  <si>
    <t>16064 Beaver Pike</t>
  </si>
  <si>
    <t>Matt Eden</t>
  </si>
  <si>
    <t>meden@opm-llc.com</t>
  </si>
  <si>
    <t>284 Nishinokyo-cho Nara-shi Nara Japan</t>
  </si>
  <si>
    <t>Recycled and source not disclosed by supplier</t>
  </si>
  <si>
    <t>L1</t>
  </si>
  <si>
    <t>CH-6874 Castel San Pietro</t>
  </si>
  <si>
    <t>Mewewe</t>
  </si>
  <si>
    <t>info@pamp.com</t>
  </si>
  <si>
    <t>CFS smelter valid until March 13, 2016, Audited by LBMA</t>
  </si>
  <si>
    <t>Boulevard des Eplatures 42</t>
  </si>
  <si>
    <t>Lucien Reclaru</t>
  </si>
  <si>
    <t>lucien.reclaru@pxgroup.com</t>
  </si>
  <si>
    <t>CFS smelter valid until March 3, 2016, Audited by LBMA</t>
  </si>
  <si>
    <t>Refinery Road,Industries West,Germiston</t>
  </si>
  <si>
    <t>Carina Morgan</t>
  </si>
  <si>
    <t>carinam@gold.co.za</t>
  </si>
  <si>
    <t>CFS smelter valid until November 19, 2015, Audited by LBMA</t>
  </si>
  <si>
    <t>From Rand Refinery (Pty) Ltd</t>
  </si>
  <si>
    <t>320 Sussex Drive, Ottawa</t>
  </si>
  <si>
    <t>Robin Entwistle, Chris Carkner, Alex Reeves</t>
  </si>
  <si>
    <t>entwistle@mint.ca carkner@mint.ca reeves@mint.ca Tel: +613-6139542626 Tel: +613-6139495777 http://www.mint.ca</t>
  </si>
  <si>
    <t>From various mines, and Recycled or scrap</t>
  </si>
  <si>
    <t>Avda. De la Democracia 13</t>
  </si>
  <si>
    <t>Mr. Julian Sarda</t>
  </si>
  <si>
    <t>jsarda@sempsajp.com</t>
  </si>
  <si>
    <t>CFS smelter valid until June 24, 2016</t>
  </si>
  <si>
    <t>Recycled or scrap</t>
  </si>
  <si>
    <t>No. 289, Jinhui Road</t>
  </si>
  <si>
    <t>Xiaojun Yang</t>
  </si>
  <si>
    <t>ylb@zhaojin.cn</t>
  </si>
  <si>
    <t>CFS smelter valid until October 31, 2015, Audited by LBMA</t>
  </si>
  <si>
    <t>From Shandong Zhaojin Group Co., Ltd.</t>
  </si>
  <si>
    <t>No.1, Gongye 3rd Rd., Annan Dis., Tainan City, Taiwan.</t>
  </si>
  <si>
    <t>Allen.Wu</t>
  </si>
  <si>
    <t>allen.wu@solartech.com.tw</t>
  </si>
  <si>
    <t>CFS smelter valid until August 20, 2015, Re-audit in progress</t>
  </si>
  <si>
    <t>145-1 Funaya-Aza-Shinchi-Out</t>
  </si>
  <si>
    <t>Mikito Suzuki</t>
  </si>
  <si>
    <t>mikito.suzuki@sumitomocorp.com</t>
  </si>
  <si>
    <t>CFS smelter valid until July 26, 2016, Audited by LBMA</t>
  </si>
  <si>
    <t>Recycled and from Pogo Mine, Morenci Mine, Candelaria Mine, Cerro Verde Mine, Ojos del Salado Copper Mine, Batu Hijau Mine, Northparkes Mine, Hishikari Mine</t>
  </si>
  <si>
    <t>2-14 Nagatoro Hiratsuka Kanagawa Japan</t>
  </si>
  <si>
    <t>Akihiko Okuda</t>
  </si>
  <si>
    <t>okuda@ml.tanaka.co.jp</t>
  </si>
  <si>
    <t>Recycled, Scrap but not all</t>
  </si>
  <si>
    <t>Sansandao Street, Jin Cheng Zhen</t>
  </si>
  <si>
    <t>Sun Sukun</t>
  </si>
  <si>
    <t>sunsk@sd-gold.com</t>
  </si>
  <si>
    <t>CFS smelter valid until October 28, 2015</t>
  </si>
  <si>
    <t>From Shandong Gold Mining Co., Ltd.</t>
  </si>
  <si>
    <t>2-Syouwamura Shoubumachi</t>
  </si>
  <si>
    <t>(+81)3-3252-0171</t>
  </si>
  <si>
    <t>http://www.tokuriki-kanda.co.jp</t>
  </si>
  <si>
    <t>CFS smelter valid until March 31, 2016, Audited by LBMA</t>
  </si>
  <si>
    <t>ssy0919@torecom.co.kr, bhyang@torecom.co.kr</t>
  </si>
  <si>
    <t>Anthony Arricale</t>
  </si>
  <si>
    <t>aarricale@unitedpmr.com</t>
  </si>
  <si>
    <t>Ursula Giofre</t>
  </si>
  <si>
    <t>info@valcambi.com</t>
  </si>
  <si>
    <t>CFS smelter valid until July 3, 2017, Audited by RJC</t>
  </si>
  <si>
    <t>David Woodford</t>
  </si>
  <si>
    <t>david.woodford@perthmint.com.au</t>
  </si>
  <si>
    <t>CFS smelter valid until September 1, 2016, Audited by LBMA</t>
  </si>
  <si>
    <t>From The Bronzewing Gold Mine</t>
  </si>
  <si>
    <t>Kengo Inoue</t>
  </si>
  <si>
    <t>inoue@yamakin-gold.co.jp</t>
  </si>
  <si>
    <t>CFS smelter valid until January 22, 2016</t>
  </si>
  <si>
    <t>Kentaro Higa</t>
  </si>
  <si>
    <t>ken_fmv@mail.yk-metal.co.jp</t>
  </si>
  <si>
    <t>Wensheng Ren</t>
  </si>
  <si>
    <t>zjzyqhb@163.com</t>
  </si>
  <si>
    <t>CFS smelter valid until March 24, 2016, Audited by LBMA</t>
  </si>
  <si>
    <t>12900 NW 38th Avenue</t>
  </si>
  <si>
    <t>Drew Bloomberg</t>
  </si>
  <si>
    <t>dbloomberg@republicmetalscorp.com</t>
  </si>
  <si>
    <t>Changsha South Tantalum Niobium Co., Ltd. Dagualing Village, Huangxing Town, Changsha Hunan 410129, China</t>
  </si>
  <si>
    <t>Ivy Du</t>
  </si>
  <si>
    <t>ivydu@csnftn.cn</t>
  </si>
  <si>
    <t>CFS smelter valid until November 19, 2016</t>
  </si>
  <si>
    <t>L1, L2, R/S</t>
  </si>
  <si>
    <t>Chicao, Shen'gang, Taiping Town</t>
  </si>
  <si>
    <t>CFS smelter valid until September 22, 2016</t>
  </si>
  <si>
    <t>L1, L2, L3, DRC</t>
  </si>
  <si>
    <t>South of Sihui Avenue</t>
  </si>
  <si>
    <t>dlsnsy@aliyun.com or  dls_purchase@163.com</t>
  </si>
  <si>
    <t>L1, L3, R/S</t>
  </si>
  <si>
    <t>1851 Blount Road</t>
  </si>
  <si>
    <t>David Gussack</t>
  </si>
  <si>
    <t>david@exotech.com</t>
  </si>
  <si>
    <t>Xinhui, Jiangmen, Guangdong, China</t>
  </si>
  <si>
    <t>Xiang Jun</t>
  </si>
  <si>
    <t>xyz@uil.com.hk</t>
  </si>
  <si>
    <t>CFS smelter valid until March 3, 2016</t>
  </si>
  <si>
    <t>L1, L3, DRC, R/S</t>
  </si>
  <si>
    <t>Re-audit in progress</t>
  </si>
  <si>
    <t>L1, L2, L3, DRC, R/S</t>
  </si>
  <si>
    <t>L1, L3</t>
  </si>
  <si>
    <t>332014  P.O. Box 19</t>
  </si>
  <si>
    <t>Li Hui</t>
  </si>
  <si>
    <t>export@jjtanbre.com.cn</t>
  </si>
  <si>
    <t>CFS smelter valid until November 17, 2016</t>
  </si>
  <si>
    <t>Recycled and Scrap, and source not disclosed by supplier</t>
  </si>
  <si>
    <t>L1, L2, L3, R/S</t>
  </si>
  <si>
    <t>Lug. Vila Pitinga S/N - 69735-000 Presidente Figueiredo, Amazonas, Brazil</t>
  </si>
  <si>
    <t>2081 Tousen</t>
  </si>
  <si>
    <t>Mr. Sugimura</t>
  </si>
  <si>
    <t>j_sugimura@mitsui-kinzoku.co.jp</t>
  </si>
  <si>
    <t>No.119 Yejin Road,Shizuishan City,</t>
  </si>
  <si>
    <t>Miss Guo Hong</t>
  </si>
  <si>
    <t>guoh_nniec@otic.com.cn</t>
  </si>
  <si>
    <t>CFS smelter valid until September 8, 2016</t>
  </si>
  <si>
    <t>Recycled or scrap and from CIF, Kenticha, Nanping, Yichun, Scrap</t>
  </si>
  <si>
    <t>9 Pravda Str, Solikamsk Perm Region 618541, Russia</t>
  </si>
  <si>
    <t>Andrei Kudlai</t>
  </si>
  <si>
    <t>akudlai@smw.ru</t>
  </si>
  <si>
    <t>CFS smelter valid until September 29, 2016</t>
  </si>
  <si>
    <t>From Lovozerskiy Mining &amp; Concentration Works</t>
  </si>
  <si>
    <t>346 Miyanishi Harima</t>
  </si>
  <si>
    <t>Mr. Yukihiko Yoshimi</t>
  </si>
  <si>
    <t>yoshimi@takichem.co.jp</t>
  </si>
  <si>
    <t>CFS smelter valid until July 29, 2016, Re-audit In Progress</t>
  </si>
  <si>
    <t>Andrey Kapustin</t>
  </si>
  <si>
    <t>Marketing_Ta@ulba.kz</t>
  </si>
  <si>
    <t>None, Conflict-Free Tantalum Smelters</t>
  </si>
  <si>
    <t>Not named</t>
  </si>
  <si>
    <t>DRC, katanga/ Rwanda</t>
  </si>
  <si>
    <t>Zhuzhou Cemented Carbide Import &amp; Export Co. Tech Development Zone Zhuzhou, Hunan, China</t>
  </si>
  <si>
    <t>Yang Hanlin</t>
  </si>
  <si>
    <t>yanghl@chinacarbide.com</t>
  </si>
  <si>
    <t>CFS smelter valid until November 18, 2016</t>
  </si>
  <si>
    <t>L1, L3, DRC</t>
  </si>
  <si>
    <t>5, I-3A Road, Map Ta Phut Industrial Estate, Rayong 21150, Thailand</t>
  </si>
  <si>
    <t>Frank Habig</t>
  </si>
  <si>
    <t>frank.habig@hcstark.com</t>
  </si>
  <si>
    <t>CFS smelter valid until December 15, 2016</t>
  </si>
  <si>
    <t>From Mibra, Kenticha</t>
  </si>
  <si>
    <t>Plant Goslar, Im Schleeke 78-91, 38642 Goslar</t>
  </si>
  <si>
    <t>Ulrike Reich</t>
  </si>
  <si>
    <t>ulrike.reich@hcstarck.com</t>
  </si>
  <si>
    <t>CFS smelter valid until November 20, 2016</t>
  </si>
  <si>
    <t>Robert-Friese-Straße 4</t>
  </si>
  <si>
    <t>CFS smelter valid until November 16, 2016</t>
  </si>
  <si>
    <t>L1,R/S</t>
  </si>
  <si>
    <t>45 Industrial Place, Newton, MA 02461-1951</t>
  </si>
  <si>
    <t>John Roberts</t>
  </si>
  <si>
    <t>john.roberts@hcstarck.com</t>
  </si>
  <si>
    <t>CFS smelter valid until November 10, 2016</t>
  </si>
  <si>
    <t>From Mibra, GAM</t>
  </si>
  <si>
    <t>No. 9 Industrial Park, Hitachi Ohmiya-city, Ibaraki Pref., Japan</t>
  </si>
  <si>
    <t>CFS smelter valid until December 9, 2016</t>
  </si>
  <si>
    <t>Plant Rhina, Ferroweg 1, 79725 Laufenburg (Baden)</t>
  </si>
  <si>
    <t>CFS smelter valid until November 23, 2015, Re-audit in progress</t>
  </si>
  <si>
    <t>Some are recycled, scrap but not all.</t>
  </si>
  <si>
    <t>L1, DRC, R/S</t>
  </si>
  <si>
    <t>2 Seaport Lane Suite 1300</t>
  </si>
  <si>
    <t>Andrew O'Donovan</t>
  </si>
  <si>
    <t>andrew_odonovan@cabot-corp.com</t>
  </si>
  <si>
    <t>From Talison, Noventa, Tanco</t>
  </si>
  <si>
    <t>Tongcheng West Avenue, Gao’an City Industrial Park, Yichun, Jiangxi, China</t>
  </si>
  <si>
    <t>Minna Shu</t>
  </si>
  <si>
    <t>Sales@china-raremetal.com; http://en.w.jx.cn/</t>
  </si>
  <si>
    <t>4100 6th Avenue</t>
  </si>
  <si>
    <t>Steef Nuijens</t>
  </si>
  <si>
    <t>snuijens@alent.com</t>
  </si>
  <si>
    <t>CFS smelter valid until November 3, 2016</t>
  </si>
  <si>
    <t>Scrap or recycled</t>
  </si>
  <si>
    <t>Line G-75, KM 42 Garimpo Born Futuro</t>
  </si>
  <si>
    <t>Ronaldo Barbacena (General Manager)</t>
  </si>
  <si>
    <t>gerencia.adm@coopermetalro.com.br</t>
  </si>
  <si>
    <t>Jl. Halmahera Dusun Sigambir, Desa Air Ruai,Kecamatan Pemali, Kabupaten Bangka, Kepulauan Bangka Belitung</t>
  </si>
  <si>
    <t>Mario</t>
  </si>
  <si>
    <t>mariortaslim@gmail.com</t>
  </si>
  <si>
    <t>CFS smelter valid until February 13, 2016</t>
  </si>
  <si>
    <t>J.L. Polwon No. 20, RT 16 RW 06, KEL, DUL, KEC. Pangkalan Baru, Kab. Bangka Tengah, Prov. Bangka Belitung 306414</t>
  </si>
  <si>
    <t>david_moeis@yahoo.co.id; serumpunsebalai.trading@gmail.com</t>
  </si>
  <si>
    <t>CFSP smelter valid until September 29, 2016</t>
  </si>
  <si>
    <t>Mr. Johanes Iriving Tedy MSc</t>
  </si>
  <si>
    <t>utdsmelt@yahoo.com</t>
  </si>
  <si>
    <t>None, Conflict-Free Tin Refiners</t>
  </si>
  <si>
    <t>Not disclosure, Indonesia</t>
  </si>
  <si>
    <t>Indonesia</t>
  </si>
  <si>
    <t>60-1 Otarube, Kosaka-machi, Kazuno-gun, Akita 017-0202 Japan</t>
  </si>
  <si>
    <t>Yoshihito Koga</t>
  </si>
  <si>
    <t>kogay1@dowa.co.jp</t>
  </si>
  <si>
    <t>Km 7 Carretera Vinto Oruro, Bolivia</t>
  </si>
  <si>
    <t>Mr. Garcia Fernandez</t>
  </si>
  <si>
    <t>ruth.garcia@vinto.gob.bo</t>
  </si>
  <si>
    <t>CFS smelter valid until November 26, 2015, Re-audit In Progress</t>
  </si>
  <si>
    <t>From Bolivia  State owned &amp; Private Mines</t>
  </si>
  <si>
    <t>ul. Zakładowa 50</t>
  </si>
  <si>
    <t>Mr. Collin Hibbs</t>
  </si>
  <si>
    <t>c.hibbs@fenixmetals.com</t>
  </si>
  <si>
    <t>Jijie Town, Gejiu, Honghezizhizhou, Yunnan, China</t>
  </si>
  <si>
    <t>Wu Yin</t>
  </si>
  <si>
    <t>wuytt@yahoo.com.cn</t>
  </si>
  <si>
    <t>From Gejiu &amp; Yunnan China</t>
  </si>
  <si>
    <t>Gao Youming</t>
  </si>
  <si>
    <t>gao@hopeson-tech888.com</t>
  </si>
  <si>
    <t>Currently listed as Progressing Toward CFSP Validation</t>
  </si>
  <si>
    <t>Guangxi Dachang Mine</t>
  </si>
  <si>
    <t>Mr.Chua Cheong Yong</t>
  </si>
  <si>
    <t>Chua.cy@msmelt.com</t>
  </si>
  <si>
    <t>Not disclosure, Malaysia</t>
  </si>
  <si>
    <t>Butterworth, Penang, Malaysia</t>
  </si>
  <si>
    <t>Ms.Luciana Miranda Pagnoncelli</t>
  </si>
  <si>
    <t>lpagnoncelli@mtaboca.com.br</t>
  </si>
  <si>
    <t>Pitinga</t>
  </si>
  <si>
    <t>Brazil</t>
  </si>
  <si>
    <t>Ms. Rosa Reategui</t>
  </si>
  <si>
    <t>rosa.reategui@minsur.com</t>
  </si>
  <si>
    <t>Paracas, Ica, Perú</t>
  </si>
  <si>
    <t>12-6 Technopark Sanda Hyogo 669-1322, Japan</t>
  </si>
  <si>
    <t>Yasko Hasegawa</t>
  </si>
  <si>
    <t>yhasegaw@mmc.co.jp</t>
  </si>
  <si>
    <t>CFS smelter valid until March 6, 2016</t>
  </si>
  <si>
    <t>Pinthong Industrial Estate, 789/101 Moo 1, Nongkoh-Laemchabang Road, Nongkham, Sriracha, Chonburi 20230, Thailand</t>
  </si>
  <si>
    <t>Mr.Mariano Pero Taborga</t>
  </si>
  <si>
    <t>mpero@omsabo.com</t>
  </si>
  <si>
    <t>Oruro, Oruro, Bolivia</t>
  </si>
  <si>
    <t>Jl.TPA Lingkungan Kenanga Permai, Sungaililiat, Bangka, Indonesia</t>
  </si>
  <si>
    <t>Isa Suhardiman</t>
  </si>
  <si>
    <t>isa.suhardiman@gmail.com</t>
  </si>
  <si>
    <t>CFS smelter valid until January 29, 2016</t>
  </si>
  <si>
    <t>Tengah Dusun Lintang Street, Simpang Renggiang, East Belitung, Indonesia</t>
  </si>
  <si>
    <t>Mrs. Rosalinda</t>
  </si>
  <si>
    <t>CFS smelter valid until Novembre 26, 2016</t>
  </si>
  <si>
    <t>Jelitik Industrial Estate, Sungailiat – 33211</t>
  </si>
  <si>
    <t>Mr Ramot Sihombing</t>
  </si>
  <si>
    <t>rs@bangkatinind.com</t>
  </si>
  <si>
    <t>CFS smelter valid until October 31, 2016</t>
  </si>
  <si>
    <t>From Bangaka Tin</t>
  </si>
  <si>
    <t>Graha Kirana Building,  10th Floor, Suite 1005, Jl. Yos Sudarso No. 88, Sunter, Jakarta, Indonesia 14350</t>
  </si>
  <si>
    <t>Sutta Darma Karnadjaja and Rosalina</t>
  </si>
  <si>
    <t>suttadarma@yahoo.co.id;rosalina@ptbisbelitung</t>
  </si>
  <si>
    <t>CFS smelter valid until February 24, 2016</t>
  </si>
  <si>
    <t>From Tin ore</t>
  </si>
  <si>
    <t>Mr.Welly Jusuf</t>
  </si>
  <si>
    <t>wellyjs@gmail.com</t>
  </si>
  <si>
    <t xml:space="preserve">PT. Bukit Timah </t>
  </si>
  <si>
    <t xml:space="preserve">Bangka and Belitung Island </t>
  </si>
  <si>
    <t>Jl. Ketapang Kawasan Industri,</t>
  </si>
  <si>
    <t>Mr. Hardi Salim</t>
  </si>
  <si>
    <t>aheuwnee@gmail.com</t>
  </si>
  <si>
    <t>CFS smelter valid until Novembre 27, 2016</t>
  </si>
  <si>
    <t>From Bangka Belitung Province, Indonesia</t>
  </si>
  <si>
    <t>Jl. Jenderal Sudirman Kav 25</t>
  </si>
  <si>
    <t>Elin Ling</t>
  </si>
  <si>
    <t>&lt;elinling.49@gmail.com&gt;</t>
  </si>
  <si>
    <t>CFS smelter valid until December 17, 2015, Re-audit In Progress</t>
  </si>
  <si>
    <t>From Kepulauan Riau, Riau Islands</t>
  </si>
  <si>
    <t>Kawasan Industri dan Pelabuhan Air Kantung Jelitik</t>
  </si>
  <si>
    <t>Santosa Prasetija</t>
  </si>
  <si>
    <t> sanpras1205@gmail.com</t>
  </si>
  <si>
    <t>N.A. (CFS apporved Smelter)</t>
  </si>
  <si>
    <t>Blok Mapur-Cit, Blok Bemban Utara, Blok Kepuh Utara</t>
  </si>
  <si>
    <t>Kab. Bangka, Indonesia/ Kab. Bangka Tengah, Indonesia</t>
  </si>
  <si>
    <t>Jl. Raya Jelitik No. 1-A Sungailiat Provinsi Bangka Belitung</t>
  </si>
  <si>
    <t>Ly Yen, Siaw Sui Thin</t>
  </si>
  <si>
    <t>pmp@fongsgroup.com</t>
  </si>
  <si>
    <t>Jl. Ketapang Kawasan Industri, Air Itam, Bukit Intan, Propinsi Kepulauan Bangka Belitung, Indonesia</t>
  </si>
  <si>
    <t>Santi</t>
  </si>
  <si>
    <t>primatimah@yahoo.com</t>
  </si>
  <si>
    <t>CFS smelter valid until January 14, 2016</t>
  </si>
  <si>
    <t>Lingkungan Jelitik Sungaliat, Kawasan Industri</t>
  </si>
  <si>
    <t>Ms. Meily Tanoto</t>
  </si>
  <si>
    <t>meily.tanoto@gmail.com</t>
  </si>
  <si>
    <t>CFS smelter valid until July 31, 2016</t>
  </si>
  <si>
    <t>Jalan Depati Hamzah, Bukit Intan, Kota Pangkal Pinang, Kepulauan Bangka Belitung 33684, Indonesia</t>
  </si>
  <si>
    <t>Mila Wardani</t>
  </si>
  <si>
    <t>admsbs@yahoo.com</t>
  </si>
  <si>
    <t>CFS smelter valid until December 5, 2015, Re-audit In Progress</t>
  </si>
  <si>
    <t>TIN ORE from mining concession in Bangka Belitung Province</t>
  </si>
  <si>
    <t>Mr.Hardi Salim</t>
  </si>
  <si>
    <t>Aheuw@dsja-tin.com</t>
  </si>
  <si>
    <t>Bangka - Belitung, 
Indonesia</t>
  </si>
  <si>
    <t xml:space="preserve">
Indonesia</t>
  </si>
  <si>
    <t>Abrun</t>
  </si>
  <si>
    <t>abrun@pttimah.co.id</t>
  </si>
  <si>
    <t>From the Island of BANGKA(inland mining) with its surround sea(off shore mining).</t>
  </si>
  <si>
    <t>Mr. Wachid Usman</t>
  </si>
  <si>
    <t>corsec@pttimah.co.id</t>
  </si>
  <si>
    <t>JI. A. Yani No 46 Kelurahan Batin Tikal</t>
  </si>
  <si>
    <t>Rosalina</t>
  </si>
  <si>
    <t>rosa@tinindo.com</t>
  </si>
  <si>
    <t>CFS smelter valid until Decembre 17, 2016</t>
  </si>
  <si>
    <t>From PT. Tinindo Inter Nusa,  Own concession</t>
  </si>
  <si>
    <t>No. 1-1, Lane 139, Gong 5th Rd., Lin 39, Wulin Village,  Longtan Shiang Taoyuang, Taiwan</t>
  </si>
  <si>
    <t>Jeffrey Chang</t>
  </si>
  <si>
    <t>rdh_49@rdh.com.tw; rdh_11@rdh.com.tw</t>
  </si>
  <si>
    <t>Av. Joao Ferreira Penna, 281 Distrito industrial III,  CEP 14707-202 Bebedouro, Sao Paulo, Brazil</t>
  </si>
  <si>
    <t>Paulo Toledo de Abreau Jr.</t>
  </si>
  <si>
    <t>paulotoledo@softmetais.com.br</t>
  </si>
  <si>
    <t>CFS smelter valid until March 18, 2016</t>
  </si>
  <si>
    <t>Mr.Panya Torchareon</t>
  </si>
  <si>
    <t>sales@thaisarco.com</t>
  </si>
  <si>
    <t>Rodovia 421, km1,1 no917 CEP 76877-073/Cx Postal: 433</t>
  </si>
  <si>
    <t>Mr. Marcelo Camargo</t>
  </si>
  <si>
    <t>comex@whitesolder.com.br</t>
  </si>
  <si>
    <t>From Ariquemes, Rodovia</t>
  </si>
  <si>
    <t>No.121, Jinhu East Road</t>
  </si>
  <si>
    <t>Li Huiwen</t>
  </si>
  <si>
    <t>026626@ytc.cn</t>
  </si>
  <si>
    <t>CFS smelter valid until June 16, 2016</t>
  </si>
  <si>
    <t>From Yunnan Gejiu</t>
  </si>
  <si>
    <t>Rua Antônio Pedro da Trindade,São João Del Rei 36305-076</t>
  </si>
  <si>
    <t>Fernando Magno</t>
  </si>
  <si>
    <t>fermagno@bol.com.br</t>
  </si>
  <si>
    <t>CFS smelter valid until April 7, 2016</t>
  </si>
  <si>
    <t>Some are recycled, scrap sourced but not all.</t>
  </si>
  <si>
    <t>Topang Island, Riau Province, Indonesia</t>
  </si>
  <si>
    <t>Mr. Modestus Buntar Gunawan</t>
  </si>
  <si>
    <t>mbgunawan2007@yahoo.co.id</t>
  </si>
  <si>
    <t>CFS smelter valid until December 23, 2016</t>
  </si>
  <si>
    <t>Jalan Kawasan Industri dan, Pelabuhan umum Gelitik, Sungai, Liat, Bangka Belitung, Indonesia</t>
  </si>
  <si>
    <t>Sam Chandra</t>
  </si>
  <si>
    <t>sam@atdmmj.com</t>
  </si>
  <si>
    <t>CFS smelter valid until December 1, 2016</t>
  </si>
  <si>
    <t>Phase 3 Block 15-A Lot 1, Cavite Economic Zone, 4106 Rosario Cavite, Philippines</t>
  </si>
  <si>
    <t>Vangie Punongbayan</t>
  </si>
  <si>
    <t>eb.punongbayan@omp.com.ph</t>
  </si>
  <si>
    <t>CFS smelter valid until April 14, 2016</t>
  </si>
  <si>
    <t>Recyled, Scrap</t>
  </si>
  <si>
    <t>Wisma Nugra Santana Lt 15 Jl</t>
  </si>
  <si>
    <t>Dewi A Alam</t>
  </si>
  <si>
    <t>sigit.dani@intistaniaprima.com</t>
  </si>
  <si>
    <t>Nieuwe Dreef 33, 2340 Beerse, Belgium</t>
  </si>
  <si>
    <t>Inge Hofkens</t>
  </si>
  <si>
    <t>inge.hofkens@metallo.com</t>
  </si>
  <si>
    <t>CFS smelter valid until December 3, 2015, Re-audit In Progress</t>
  </si>
  <si>
    <t>Barrio Arene, 20 - 48640 Berango Vizcaya, Spain</t>
  </si>
  <si>
    <t>Inge.Hofkens@metallo.com</t>
  </si>
  <si>
    <t>1-11-11 Shiba Minato-Ku, Tokyo 105-0014, Japan</t>
  </si>
  <si>
    <t>Nobuyoshi Uetake</t>
  </si>
  <si>
    <t>nobuyoshi-uetake@allied-material.co.jp</t>
  </si>
  <si>
    <t>CFS smelter valid until May 14, 2018</t>
  </si>
  <si>
    <t>7300 Highway 20 West</t>
  </si>
  <si>
    <t>Rod Parvin</t>
  </si>
  <si>
    <t>rodney.parvin@atimetals.com</t>
  </si>
  <si>
    <t>Scrap or Recycled</t>
  </si>
  <si>
    <t>Guantang Ind. Zone Chaozhou Guangdong China    PC: 515633</t>
  </si>
  <si>
    <t>Ryan Ding</t>
  </si>
  <si>
    <t>dsj@xl-tungsten.com</t>
  </si>
  <si>
    <t>CFS smelter valid until October 14, 2017</t>
  </si>
  <si>
    <t>Chongyi</t>
  </si>
  <si>
    <t>Mr. Weng Xiang Cai</t>
  </si>
  <si>
    <t>export@zy-tungsten.com</t>
  </si>
  <si>
    <t>CFS smelter valid until April 8, 2018</t>
  </si>
  <si>
    <t>From Taoxikeng Tungsten Industry Mine</t>
  </si>
  <si>
    <t>industry garden</t>
  </si>
  <si>
    <t>1 Hawes St, Towanda, PA 18848, USA 2. Bldg. #2 22 E 7th St, Watsontown, PA, USA</t>
  </si>
  <si>
    <t>Karin Laursen</t>
  </si>
  <si>
    <t>karin.laursen@globaltungsten.com</t>
  </si>
  <si>
    <t>CFSP smelter valid until January 16, 2018</t>
  </si>
  <si>
    <t>148 xiaoxia road,xintang town,hengdong county,hunan,p.r.c.</t>
  </si>
  <si>
    <t>Mr.Shan Wenzhi</t>
  </si>
  <si>
    <t>ccxyswz@sina.com</t>
  </si>
  <si>
    <t>CFSP smelter valid until July 8, 2015, Re-audit in progress</t>
  </si>
  <si>
    <t>From Jiangxi Minmetals Nonferrous Pioneer Metals Corporation and  Hunan Chunchang Nonferrous Metals Co.,Ltd</t>
  </si>
  <si>
    <t>Barajima</t>
  </si>
  <si>
    <t>Mr. Kawaguchi</t>
  </si>
  <si>
    <t>akawaguc@jnm.co.jp</t>
  </si>
  <si>
    <t>CFS smelter valid until October 23, 2017</t>
  </si>
  <si>
    <t>Scrap</t>
  </si>
  <si>
    <t>No.58 Mafangxia,Shuixi Village, Ganzhou, Guizhou, 341000 China</t>
  </si>
  <si>
    <t>Mr. Chang Yu Zhoug</t>
  </si>
  <si>
    <t>dept1@cniecjx.com</t>
  </si>
  <si>
    <t>CFSP smelter valid until January 17, 2017</t>
  </si>
  <si>
    <t>From Jiangxi Dajichan Tungsten Industry Ltd, Ganzhou, Jiangxi</t>
  </si>
  <si>
    <t>1600 Technology Way, Latrobe, PA 15650</t>
  </si>
  <si>
    <t>Cailan Industrial Zone, Halong City, Quang Ninh, Vietnam</t>
  </si>
  <si>
    <t>Emily@tejingtungsten.com; hoang.nguyen &lt;hoang.nguyen@tejingtungsten.com&gt;</t>
  </si>
  <si>
    <t>CFSP smelter valid until August 7, 2018</t>
  </si>
  <si>
    <t>Wolfram Bergbau und Hütten AG, Bergia 33, A-8543, St. Martin i-S, Styria, Austria</t>
  </si>
  <si>
    <t>Martin Svensson</t>
  </si>
  <si>
    <t>m.svensson@wolfram.at</t>
  </si>
  <si>
    <t>CFS smelter valid until March 25, 2016</t>
  </si>
  <si>
    <t>Some are recycled, scrap or cover countries sourced but not all.</t>
  </si>
  <si>
    <t>Block 10, Xiamen Export Processing Zone,  Xiamen, Fujian 361026, CHINA</t>
  </si>
  <si>
    <t>Liu Ren Feng</t>
  </si>
  <si>
    <t>Liu.renfeng@cxtc.com</t>
  </si>
  <si>
    <t>CFSP smelter valid until April 22, 2017</t>
  </si>
  <si>
    <t>From NingHua Xingluokeng Tungsten Mining Co. Ltd., Luoyang Yulu Mining Co., Ltd.,Xinzhou Mining Co., Ltd., Zijin Mining Group Co., Ltd.;</t>
  </si>
  <si>
    <t>Domestic mine. Not recycle.</t>
  </si>
  <si>
    <t>None, CFSP Compliant Tungsten Smelters</t>
  </si>
  <si>
    <t>A&amp;IR MINING</t>
  </si>
  <si>
    <t>Russia</t>
  </si>
  <si>
    <t>45th Dongyangshan Rd.</t>
  </si>
  <si>
    <t>Nancy Zhang</t>
  </si>
  <si>
    <t>nancy@sinda-tungsten.com</t>
  </si>
  <si>
    <t>CFSP smelter valid until June 26, 2017</t>
  </si>
  <si>
    <t>From Dapengshan, Ganzhou Grand Sea Metals Minerals Industry  W&amp;Mo Co,.Ltd.</t>
  </si>
  <si>
    <t>Diamond Road, Hetang District</t>
  </si>
  <si>
    <t>Xiao Wen Qian</t>
  </si>
  <si>
    <t>xiaowq@chinacarbide.com</t>
  </si>
  <si>
    <t>Shizhuyuan Mine</t>
  </si>
  <si>
    <t>Hamlet 11, Ha Thuong commune, Dai Tu Dist., Thai Nguyen, Vietnam</t>
  </si>
  <si>
    <t>PT Timah (Persero), Tbk</t>
  </si>
  <si>
    <t>Enter smelter details</t>
  </si>
  <si>
    <t>JI. Gardu Induk PLN</t>
  </si>
  <si>
    <t>Surabaya</t>
  </si>
  <si>
    <t>Jawa Timur</t>
  </si>
  <si>
    <t>Agung Nugroho</t>
  </si>
  <si>
    <t>timah@pt.timah.co.id　</t>
  </si>
  <si>
    <t>Via Moree</t>
  </si>
  <si>
    <t>Service</t>
  </si>
  <si>
    <t>hemn.customerservice@heraeus.com</t>
  </si>
  <si>
    <t>A.L.M.T. Corp.</t>
  </si>
  <si>
    <t>Shiba</t>
  </si>
  <si>
    <t>Minatoku</t>
  </si>
  <si>
    <t>Ming Wang</t>
  </si>
  <si>
    <t>ming-wang@allied-material.co.jp</t>
  </si>
  <si>
    <t>Argor-Heraeus SA</t>
  </si>
  <si>
    <t>CH-6850 Mendrisio , Switzerland</t>
  </si>
  <si>
    <t>Sales Manager</t>
  </si>
  <si>
    <t>contact@argor.com</t>
  </si>
  <si>
    <t>Monitoring CFSI certifications.</t>
  </si>
  <si>
    <t>Switzerland</t>
  </si>
  <si>
    <t>Asahi Pretec Corporation</t>
  </si>
  <si>
    <t>Nissei Sannomiya Bldg.,  4-4-17 Kano-cho, Chuo-ku</t>
  </si>
  <si>
    <t>4-14-1 Sotokanda</t>
  </si>
  <si>
    <t>Chiyoda-ku</t>
  </si>
  <si>
    <t>metalmine@dowa.co.jp</t>
  </si>
  <si>
    <t>Heraeus Technology Centre, 30, On Chuen Street, On Chuen Street, On Lok Tsuen, Fanling, N.T. Hong Kong, P.R. China.</t>
  </si>
  <si>
    <t>On Lok Tsuen</t>
  </si>
  <si>
    <t>Fanling, N.T</t>
  </si>
  <si>
    <t>hlh@heraeus.com</t>
  </si>
  <si>
    <t>Heraeusstrasse 12-14</t>
  </si>
  <si>
    <t>63450 Hanau</t>
  </si>
  <si>
    <t>Thomas Trin</t>
  </si>
  <si>
    <t>thomas.trin@heraeus.com</t>
  </si>
  <si>
    <t>Johnson Matthey Inc</t>
  </si>
  <si>
    <t xml:space="preserve">4601 West 2100 South  </t>
  </si>
  <si>
    <t>Johnson Matthey Ltd</t>
  </si>
  <si>
    <t>130 Glidden Road</t>
  </si>
  <si>
    <t>Ray Gaudet</t>
  </si>
  <si>
    <t xml:space="preserve">gaudetrg@matthey.com </t>
  </si>
  <si>
    <t>6-3, Otemachi 2-chome</t>
  </si>
  <si>
    <t>Ryosuke Tawara</t>
  </si>
  <si>
    <t>NY</t>
  </si>
  <si>
    <t>brian Murphy</t>
  </si>
  <si>
    <t>Brian.murphy@materion.com</t>
  </si>
  <si>
    <t>Recycled and scrap</t>
  </si>
  <si>
    <t>Shinjuku Nomura Building 6th Fl., 1-26-2 Nishishinjuku</t>
  </si>
  <si>
    <t>Shinjuku-ku</t>
  </si>
  <si>
    <t>Tetsuya Miyatake</t>
  </si>
  <si>
    <t>conflict-free@matsuda-sangyo.co.jp</t>
  </si>
  <si>
    <t>massachusetts, 02763</t>
  </si>
  <si>
    <t>3-2, Otemachi 1-chome</t>
  </si>
  <si>
    <t>Tokyo , Japan</t>
  </si>
  <si>
    <t>Yasunobu suzuki</t>
  </si>
  <si>
    <t>www-adm@mmc.co.jp</t>
  </si>
  <si>
    <t>Osaki</t>
  </si>
  <si>
    <t>Shinagawa-ku,</t>
  </si>
  <si>
    <t>320 Sussex Dr</t>
  </si>
  <si>
    <t>Ontario K1A0G8</t>
  </si>
  <si>
    <t>Alex Reeves</t>
  </si>
  <si>
    <t>reeves@mint.ca</t>
  </si>
  <si>
    <t>Shandong Zhaojin Gold &amp; Silver Refinery Co. Ltd</t>
  </si>
  <si>
    <t>Zhaoyuan City,Shandong Province,China</t>
  </si>
  <si>
    <t>Fu Jianbin</t>
  </si>
  <si>
    <t>jianbin.fu@heraeus.com</t>
  </si>
  <si>
    <t>China</t>
  </si>
  <si>
    <t>145-1, Funaya-Aza-Shinchi-Otu, Saijyo</t>
  </si>
  <si>
    <t>Saijyo</t>
  </si>
  <si>
    <t>Ehime 793-005</t>
  </si>
  <si>
    <t>Tokyo Building 22F, 7-3,  Marunouchi 2-Chome, Chiyoda Ku, Tokyo 100-6422 Japan</t>
  </si>
  <si>
    <t>Mr Osamu Ikeda</t>
  </si>
  <si>
    <t>IKEDA@ml. tanaka.co.jp</t>
  </si>
  <si>
    <t>CCR Refinery – Glencore Canada Corporation</t>
  </si>
  <si>
    <t>100 King Street West, Suite 7200</t>
  </si>
  <si>
    <t>Toronto</t>
  </si>
  <si>
    <t>Phealey@xstratacopper.com</t>
  </si>
  <si>
    <t xml:space="preserve">Recylced </t>
  </si>
  <si>
    <t>Various regions around the globe not including the DRC and its 9 adjacent countries</t>
  </si>
  <si>
    <t>No.289 Jinhui Road, Zhaoyuan Gold industrial park, China</t>
  </si>
  <si>
    <t>Manager Xing</t>
  </si>
  <si>
    <t xml:space="preserve"> scb@zhaojin.cn </t>
  </si>
  <si>
    <t>Pangkalpinang,</t>
  </si>
  <si>
    <t>JL. TPI</t>
  </si>
  <si>
    <t>PANGKALPINANG</t>
  </si>
  <si>
    <t>Mr Irving</t>
  </si>
  <si>
    <t>United Smelting &lt;utdsmelt@yahoo.com&gt;</t>
  </si>
  <si>
    <t>Pangkal Pinang, Bangka Island Indonesia</t>
  </si>
  <si>
    <t>KM 7 CARRETERA A POTOSI</t>
  </si>
  <si>
    <t>ORURO</t>
  </si>
  <si>
    <t>Ramiro Villavicencio Nino de Guzman or Ms Miriam Veliz</t>
  </si>
  <si>
    <t>ravinigu@hotmail.com, miriam.veliz@vinto.gob.bo; marcelo.cespedes@vinto.gob.bo</t>
  </si>
  <si>
    <t>Bolivia  State owned &amp; Private Mines</t>
  </si>
  <si>
    <t>Bolivia</t>
  </si>
  <si>
    <t>Metallo Chimique</t>
  </si>
  <si>
    <t>NIEUWE DREEF 33, 2340 BEERSE</t>
  </si>
  <si>
    <t>BEERSE</t>
  </si>
  <si>
    <t>Ms Inga Hoffkins</t>
  </si>
  <si>
    <t>Recycled scrap material Copper Tin waste and by product from other European sources of this scrap</t>
  </si>
  <si>
    <t>Recycled scrap material</t>
  </si>
  <si>
    <t>Estrada Romeiros 21500 km 49</t>
  </si>
  <si>
    <t xml:space="preserve">Sao Paulo </t>
  </si>
  <si>
    <t>Piraporã do Bom Jesus - SP, Brazil</t>
  </si>
  <si>
    <t>Mr. Carlos Alberto Kaiser</t>
  </si>
  <si>
    <t>ckaiser@mtaboca.com.br</t>
  </si>
  <si>
    <t>Minercoa Tabboca</t>
  </si>
  <si>
    <t xml:space="preserve">Sao Paulo Brazil </t>
  </si>
  <si>
    <t>Las Begonias 441 Of.338 San Isidro Lima 27 Peru</t>
  </si>
  <si>
    <t>LIMA</t>
  </si>
  <si>
    <t>Mr. Anthony Turner</t>
  </si>
  <si>
    <t>lailazt@globalnet.co.uk</t>
  </si>
  <si>
    <t>Paracas , Ica</t>
  </si>
  <si>
    <t>Peru</t>
  </si>
  <si>
    <t>AVENIDA CASANELLO S/N, ZONA FRANCA COLONIA</t>
  </si>
  <si>
    <t>Mariano Pero</t>
  </si>
  <si>
    <t>mpero@boliviantin.com</t>
  </si>
  <si>
    <t>PT Bangka Putra Karya</t>
  </si>
  <si>
    <t>JL. TPI-KETAPANG</t>
  </si>
  <si>
    <t>BANGKA BELITUNG</t>
  </si>
  <si>
    <t>Hilal Mochtar</t>
  </si>
  <si>
    <t>hilal_mochtar@yahoo.com</t>
  </si>
  <si>
    <t>JALAN KETAPANG KAWASAN INDUSTRI / PANKAL PINANG / BANKA / INDONESIA</t>
  </si>
  <si>
    <t>PANGKAL PINANG</t>
  </si>
  <si>
    <t>BANKA &amp; BELITUNG ISLAND</t>
  </si>
  <si>
    <t>MS.LINDA</t>
  </si>
  <si>
    <t>Divisi Pemasaran PT Timah (Persero) Tbk  Jl. Medan Merdeka Timur No. 15 Jakarta, Indonesia, 10110</t>
  </si>
  <si>
    <t>madan</t>
  </si>
  <si>
    <t>Jakarta Utara</t>
  </si>
  <si>
    <t>ABRUN ABUBAKAR  Head of Corporate Secretary</t>
  </si>
  <si>
    <t>80 Moo 8 Sakdidej Road,</t>
  </si>
  <si>
    <t>T. Vichit,</t>
  </si>
  <si>
    <t>A. Muang,  Phuket 83000</t>
  </si>
  <si>
    <t>Mr. Panya Torchareon</t>
  </si>
  <si>
    <t>panyator@thaisarco.com</t>
  </si>
  <si>
    <t>Yunnan Chengfeng Non-ferrous Metals Co.,Ltd.</t>
  </si>
  <si>
    <t>131 Baita Road</t>
  </si>
  <si>
    <t>Kunming, Yunnan</t>
  </si>
  <si>
    <t>Yunnan province</t>
  </si>
  <si>
    <t>HONGWU,DU</t>
  </si>
  <si>
    <t>yhdhw@163.com</t>
  </si>
  <si>
    <t>Gejiu, Yunnan</t>
  </si>
  <si>
    <t>No.121 East Jinhu Road</t>
  </si>
  <si>
    <t>Mr. Yun Zheng</t>
  </si>
  <si>
    <t>yuntinic@sbcglobal.net</t>
  </si>
  <si>
    <t>Germany</t>
  </si>
  <si>
    <t>AngloGold Ashanti Córrego do Sítio Minerção</t>
  </si>
  <si>
    <t>Ohura Precious Metal Industry Co., Ltd</t>
  </si>
  <si>
    <t>284 Nishinokyomachi</t>
  </si>
  <si>
    <t>Yamamoto</t>
  </si>
  <si>
    <t>oura@skyblue.ocn.ne.jp</t>
  </si>
  <si>
    <t>Italy</t>
  </si>
  <si>
    <t>Japan</t>
  </si>
  <si>
    <t>Aida Chemical Industries Co. Ltd.</t>
  </si>
  <si>
    <t>Fucyu</t>
  </si>
  <si>
    <t>Pangkalpinang</t>
  </si>
  <si>
    <t>20F, ASEM Tower, 159,  Samseong 1dong, Kangnam gu</t>
  </si>
  <si>
    <t>Vale</t>
  </si>
  <si>
    <t>Metalor Technologies (Hong Kong) Ltd</t>
  </si>
  <si>
    <t xml:space="preserve">Suite 1705-9, The Metropolis Tower 10 Metropolis Drive, Hung Hom </t>
  </si>
  <si>
    <t>YF Tsoi</t>
  </si>
  <si>
    <t>Yeuk_Fung_Tsoi@metalor.com</t>
  </si>
  <si>
    <t>Metalor purchase gold metal with ONLY good delivery brand , which Responsible Jewellery Council (RJC) approved as from our supplier</t>
  </si>
  <si>
    <t>Metalor Technologies SA</t>
  </si>
  <si>
    <t>Avenue du Vignoble, CH-2009</t>
  </si>
  <si>
    <t>Jackson Ohio 45640</t>
  </si>
  <si>
    <t>Rand Refinery (Pty) Ltd</t>
  </si>
  <si>
    <t xml:space="preserve">Refinery Road, Industries West, Germiston </t>
  </si>
  <si>
    <t>South Africa</t>
  </si>
  <si>
    <t>The Refinery of Shandong Gold Mining Co. Ltd</t>
  </si>
  <si>
    <t>Sansandao Street</t>
  </si>
  <si>
    <t>Shandong Gold Mining Co., Ltd.</t>
  </si>
  <si>
    <t>No.1, Gongye 3rd Rd., Annan Dis.</t>
  </si>
  <si>
    <t>Tainan</t>
  </si>
  <si>
    <t>Jimmy Gan</t>
  </si>
  <si>
    <t>jimmy@solartech.com.tw</t>
  </si>
  <si>
    <t>Recycled &amp; Scrap</t>
  </si>
  <si>
    <t>Recycled, Taiwan, HK.</t>
  </si>
  <si>
    <t>Umicore SA Business Unit Precious Metals Refining</t>
  </si>
  <si>
    <t>Greinerstraat 14,  Hoboken, Belgium</t>
  </si>
  <si>
    <t>Belgium</t>
  </si>
  <si>
    <t>Chantal de Bruyn</t>
  </si>
  <si>
    <t>2781 Townline Road</t>
  </si>
  <si>
    <t>Alden, NY 14004</t>
  </si>
  <si>
    <t>Recyled scrap material</t>
  </si>
  <si>
    <t>Valcambi SA</t>
  </si>
  <si>
    <t>Recycled/Scrap;Japan</t>
  </si>
  <si>
    <t>131 Horrie Miller Drive, Perth Airport, Western Australia</t>
  </si>
  <si>
    <t>Australia</t>
  </si>
  <si>
    <t>Horrie Miller Drive, Perth Airport</t>
  </si>
  <si>
    <t>Jerry Hicks</t>
  </si>
  <si>
    <t>pmds@perthmint.com.au</t>
  </si>
  <si>
    <t xml:space="preserve">Western Australian Mint trading as the Perth Mint </t>
  </si>
  <si>
    <t>Podkarpackie</t>
  </si>
  <si>
    <t>Poland</t>
  </si>
  <si>
    <t>Gejiu Non-Ferrous Metal Processing Co. Ltd.</t>
  </si>
  <si>
    <t>Sales - Operations</t>
  </si>
  <si>
    <t>Gejiu &amp; Yunnan China</t>
  </si>
  <si>
    <t>PT REFINED BANGKA TIN</t>
  </si>
  <si>
    <t>Jl. Kawasan Industri Jelitik</t>
  </si>
  <si>
    <t>Sungailiat 33125</t>
  </si>
  <si>
    <t>Meily Tanoto</t>
  </si>
  <si>
    <t>Meily Tanoto &lt;meily.tanoto@gmail.com&gt;</t>
  </si>
  <si>
    <t>Sungailiat, Bangka, Belitung</t>
  </si>
  <si>
    <t>Jl. Jenderal Sudirman 51 Pangkal Pinang</t>
  </si>
  <si>
    <t xml:space="preserve"> 33121, Bangka</t>
  </si>
  <si>
    <t>Pangkal Pinang, Bangka</t>
  </si>
  <si>
    <t>corsec@pttimah.co.id; timah@pt.timah.co.id</t>
  </si>
  <si>
    <t xml:space="preserve">Kundur, Riau Islands, Indonesia </t>
  </si>
  <si>
    <t xml:space="preserve">Indonesia </t>
  </si>
  <si>
    <t xml:space="preserve">Rodovia 421, Km 1,1 nº 917 </t>
  </si>
  <si>
    <t xml:space="preserve">Rodovia </t>
  </si>
  <si>
    <t>Ariquemes Rodovia , CEP 76877-073 | Cx Postal: 433</t>
  </si>
  <si>
    <t>Mr. Vagner Torrente - President</t>
  </si>
  <si>
    <t>See Web Site &amp; Conflcit freehttp://www.whitesolder.com.br/index.php/en</t>
  </si>
  <si>
    <t>Ji. A Yani No. 46 Kelurahan Batin Tikal</t>
  </si>
  <si>
    <t xml:space="preserve">Pangkalpinang, Bangka </t>
  </si>
  <si>
    <t>Bangka Belitung</t>
  </si>
  <si>
    <t>Frans Latupapua</t>
  </si>
  <si>
    <t>JI. JENDERAL SUDIRMAN KAV.25</t>
  </si>
  <si>
    <t>JAKARTA</t>
  </si>
  <si>
    <t>Kepulauan Riau, Riau Islands</t>
  </si>
  <si>
    <t>No. 45 Dongyanghsan Road</t>
  </si>
  <si>
    <t>Ganzhou, Jiangxi Province</t>
  </si>
  <si>
    <t>86-797-8268716</t>
  </si>
  <si>
    <t>busines@sinda-tungsten.com</t>
  </si>
  <si>
    <t>Jiangxi Mine</t>
  </si>
  <si>
    <t>Jiangxi, China</t>
  </si>
  <si>
    <t>Hawes Street</t>
  </si>
  <si>
    <t>PA / 18848</t>
  </si>
  <si>
    <t>Cindy Robinson</t>
  </si>
  <si>
    <t>Cindy.Robinson@globaltungsten.com</t>
  </si>
  <si>
    <t>Canada, Peru, Spain, Portugal &amp; Boliva|Pennsylvia, USA</t>
  </si>
  <si>
    <t>Wolfram Company CJSC</t>
  </si>
  <si>
    <t>No data</t>
  </si>
  <si>
    <t>Haicang District</t>
  </si>
  <si>
    <t>XIAMEN</t>
  </si>
  <si>
    <t>FUJIAN</t>
  </si>
  <si>
    <t>A&amp;IR MINING JSC</t>
  </si>
  <si>
    <t>Jianxi</t>
  </si>
  <si>
    <t>Domestic mine. Not, recycle.</t>
  </si>
  <si>
    <t>Xintang</t>
  </si>
  <si>
    <t>Jiangxi Minmetals non-ferrous Pioneer Metals Corporation Chun-chang Non-ferrous Smelting &amp; concentrating Co.,Ltd.</t>
  </si>
  <si>
    <t>Maxiafang</t>
  </si>
  <si>
    <t>NO.:619 HUBIN SOUTH ROAD</t>
  </si>
  <si>
    <t>XIAMEN CITY</t>
  </si>
  <si>
    <t>CHEN JINSUI</t>
  </si>
  <si>
    <t>chen.jinsui@cxtc.com</t>
  </si>
  <si>
    <t>NINGHUA XINGLUOKENG TUNGSTEN MINING CO., LTD</t>
  </si>
  <si>
    <t>Rodney Parvin</t>
  </si>
  <si>
    <t>rparvin@ATIEP.com</t>
  </si>
  <si>
    <t>Not Currently Known</t>
  </si>
  <si>
    <t>Domestic mine . Not recycle.</t>
  </si>
  <si>
    <t>27,Jalan Pantai</t>
  </si>
  <si>
    <t xml:space="preserve">Butterworth </t>
  </si>
  <si>
    <t>Roslim Noor</t>
  </si>
  <si>
    <t>roslim@msmelt.com</t>
  </si>
  <si>
    <t>Malaysia Smelting Coporation Berhad</t>
  </si>
  <si>
    <t>Penang,Malaysia</t>
  </si>
  <si>
    <t>10-1, Toranomon 2-Chome, Minato ko, Tokyo, Japan, 105 0001</t>
  </si>
  <si>
    <t>NA</t>
  </si>
  <si>
    <t>East Road 121</t>
  </si>
  <si>
    <t>jinhu city</t>
  </si>
  <si>
    <t>MR. Zhang</t>
  </si>
  <si>
    <t xml:space="preserve">faster4873@sina.com.cn </t>
  </si>
  <si>
    <t>Recovery</t>
  </si>
  <si>
    <t>www.yd.com.cn</t>
  </si>
  <si>
    <t>Xinzhuang industrial zone ShenFu Road number 800</t>
  </si>
  <si>
    <t>Mr.Dong</t>
  </si>
  <si>
    <t>Tony.Dong@metalor.com</t>
  </si>
  <si>
    <t>www.zjky.cn</t>
  </si>
  <si>
    <t>上海黄金交易所</t>
  </si>
  <si>
    <t>闸北区恒丰北路100号515室</t>
  </si>
  <si>
    <t>上海市</t>
  </si>
  <si>
    <t>张晓</t>
  </si>
  <si>
    <t>guomaozhangxiao@163.com</t>
  </si>
  <si>
    <t>Nieuwe Dreef 33, 2340 Beerse</t>
  </si>
  <si>
    <t>Mr.Mark Van Loon</t>
  </si>
  <si>
    <t>mark.vanloon@metallo.com</t>
  </si>
  <si>
    <t>CFS Program Certified (compliant)</t>
  </si>
  <si>
    <t>Kawasan Industri Ketapang Pangkalpinang, 
Bangka &amp; Belitung</t>
  </si>
  <si>
    <t xml:space="preserve">Mr.Johnny Sisviandi </t>
  </si>
  <si>
    <t>jsisviandi@yahoo.com</t>
  </si>
  <si>
    <t xml:space="preserve"> PT Bangka Pytra Karya  is on the CFSI active smelter list to become become CFSI Certified within 2014</t>
  </si>
  <si>
    <t xml:space="preserve"> PT Bangka Putra Karya Will be dropped from the approved supply chain ,of tin to Indium Corp,  if Certified CFSI status is not achieved</t>
  </si>
  <si>
    <t xml:space="preserve">Kawasan Industri Ketapang Pangkalpinang, 
Bangka &amp; Belitung, </t>
  </si>
  <si>
    <t xml:space="preserve">Nieuwe Dreef 33, 2340 </t>
  </si>
  <si>
    <t>Mrs. Inge Hofkens</t>
  </si>
  <si>
    <t>Conflict Free Smelter</t>
  </si>
  <si>
    <t>Active Smelter</t>
  </si>
  <si>
    <t>Liebiglaan 124 2900 Schoten Belgium</t>
  </si>
  <si>
    <t>Schoten</t>
  </si>
  <si>
    <t>CFSP Active Tin Smelters</t>
  </si>
  <si>
    <t>Minsur (San Rafael)</t>
  </si>
  <si>
    <t>Puno, Peru</t>
  </si>
  <si>
    <t>Plating</t>
  </si>
  <si>
    <t>Nieuwe Dreef 33 Belgium</t>
  </si>
  <si>
    <t>Botterdam</t>
  </si>
  <si>
    <t>Mr wang</t>
  </si>
  <si>
    <t>YUNNAN CHENGFENG NON-FERROUS METALS CO.,LTD</t>
  </si>
  <si>
    <t>KunMing city,YunNan province,China</t>
  </si>
  <si>
    <t>Jl.Bunga Raya No.22 Baloi Centre Batam, 29432, Indonesia</t>
  </si>
  <si>
    <t>Batam</t>
  </si>
  <si>
    <t>Nieuwe Dreef 33</t>
  </si>
  <si>
    <t>We requested this smelter to join CFS program.</t>
  </si>
  <si>
    <t>Kawasan Industri Ketapang Pangkalpinang</t>
  </si>
  <si>
    <t>Bangka &amp; Belitung</t>
  </si>
  <si>
    <t>This smelter is listed in CFSI active smelter list.</t>
  </si>
  <si>
    <t>This column would be traced/certified by CFS program.</t>
  </si>
  <si>
    <t>Kiyomine Metal Industry Co., Ltd.</t>
  </si>
  <si>
    <t>茂數清峰</t>
  </si>
  <si>
    <t>www.kiyomine.co.jp</t>
  </si>
  <si>
    <t>Fujii Mfg. Co., Ltd.</t>
  </si>
  <si>
    <t>Makoto Sakurazawa</t>
  </si>
  <si>
    <t>fuji@fuji-mfg.jp</t>
  </si>
  <si>
    <t>Tai Zhou Changshanjiao Technology Inc</t>
  </si>
  <si>
    <t>huangxiaojie@</t>
  </si>
  <si>
    <t>dgdwjd@126.com</t>
  </si>
  <si>
    <t>Tongding Metal Material Co., Ltd.</t>
  </si>
  <si>
    <t>張志</t>
  </si>
  <si>
    <t>txd@tongding.com.cn</t>
  </si>
  <si>
    <t>PT HP Metals Indonesia</t>
  </si>
  <si>
    <t>PT Koba Tin</t>
  </si>
  <si>
    <t xml:space="preserve">Beerse </t>
  </si>
  <si>
    <t xml:space="preserve">Inge Hofkens </t>
  </si>
  <si>
    <t>Active Tin smelter in the CFSI program (June, 30, 2014)</t>
  </si>
  <si>
    <t>Listed on the CFSP Compliant Smelter list</t>
  </si>
  <si>
    <t>Novosibirsk Integrated Tin Works</t>
  </si>
  <si>
    <t>--</t>
  </si>
  <si>
    <t>Listed on the CFSI Standard Smelter List</t>
  </si>
  <si>
    <t>JI Tpi Ketapang, Air Itam</t>
  </si>
  <si>
    <t>Daisy Childe</t>
  </si>
  <si>
    <t xml:space="preserve">daisy.childe@amcgroup.com, </t>
  </si>
  <si>
    <t>CFS smelter valid until December 2, 2015</t>
  </si>
  <si>
    <t>From Bangka - Belitung Isaland</t>
  </si>
  <si>
    <t>From Indonesia</t>
  </si>
  <si>
    <t>Jl. Anggrek No. 142, Komplek PT. Koba Tin, Bangka Tengah 33181, Prop. Kepulauan Bangka Belitung, Indonesia</t>
  </si>
  <si>
    <t>Mr.Yap Kean Pang</t>
  </si>
  <si>
    <t>yap.kp@msmelt.com</t>
  </si>
  <si>
    <t>A material supplier's reply of a mine name and the name of a country is nondisclosure.  Therefore, disclosure of those information is impossible.  Moreover, the following has been obtained as a comment.  "The tin materials originating in the production ore of the Democratic Republic of the Congo and its neighboring countries  are not used."</t>
  </si>
  <si>
    <t xml:space="preserve">Slavyankaya Sq. 2/5/4 bldg.3 </t>
  </si>
  <si>
    <t>Alania</t>
  </si>
  <si>
    <t>Mr. Igor V. Morozov</t>
  </si>
  <si>
    <t>purchasing@wolframcompany.ru</t>
  </si>
  <si>
    <t>TI-CMC Members progressing Toward CFSP validation (16APR2014), CFSP Active smelter Tungsten (16APR2014)</t>
  </si>
  <si>
    <t>From Domestic mine. Not recycle.</t>
  </si>
  <si>
    <t>From Russia, South America</t>
  </si>
  <si>
    <t>Listed on the CFSI Standard Smelter List (currently progressing toward CFSP validation)</t>
  </si>
  <si>
    <t>Zhuzhou Cemented Carbide Group Co Ltd</t>
  </si>
  <si>
    <t xml:space="preserve"> Xintangpo, Middle Hongqi Road, Hetang District</t>
  </si>
  <si>
    <t>Confidential</t>
  </si>
  <si>
    <t>Working with Supplier/Smelter for additional information</t>
  </si>
  <si>
    <t>Heraeus(Zhaoyuan) Precious metal materials co., LTD</t>
  </si>
  <si>
    <t xml:space="preserve">Lin long </t>
  </si>
  <si>
    <t>zhaoyuan</t>
  </si>
  <si>
    <t>ShanDong</t>
  </si>
  <si>
    <t>-</t>
  </si>
  <si>
    <t>supplier refuses to provide the rest  information</t>
  </si>
  <si>
    <t>Kawasan Industri Ketapang Pangkalpinang, 
Bangka &amp; Belitung, 
Indonesia</t>
  </si>
  <si>
    <t xml:space="preserve">PT Bangka Timah Utama Sejahtera </t>
  </si>
  <si>
    <t xml:space="preserve">PT BilliTin Makmur Lestari </t>
  </si>
  <si>
    <t xml:space="preserve">PT Koba Tin </t>
  </si>
  <si>
    <t>Jl. Anggrek No. 142,
Komplek PT. Koba Tin,
Bangka Tengah 33181,
Prop. Kepulauan Bangka Belitung, Indonesia</t>
  </si>
  <si>
    <t>CFS validated</t>
  </si>
  <si>
    <t>Diamond Road Hetang District</t>
  </si>
  <si>
    <t>Zhuzhou Huanan</t>
  </si>
  <si>
    <t>Global Advanced Metals</t>
  </si>
  <si>
    <t>Boston</t>
  </si>
  <si>
    <t>MA, USA</t>
  </si>
  <si>
    <t>Exotech(dealer)</t>
  </si>
  <si>
    <t>Russia/Kazahstan</t>
  </si>
  <si>
    <t>Liebiglaan 124</t>
  </si>
  <si>
    <t>2900 Schoten</t>
  </si>
  <si>
    <t>Els Laureys</t>
  </si>
  <si>
    <t>els.laureys@antwerp-metals.be</t>
  </si>
  <si>
    <t>619 HUBIN SOUTH ROAD</t>
  </si>
  <si>
    <t>YANG JINHONG / CHEN JINSUI</t>
  </si>
  <si>
    <t>INFO@CXTC.COM / +86-592-3357714</t>
  </si>
  <si>
    <t>Ganzhou Grand Metals Minerals Industry Co.,Ltd</t>
  </si>
  <si>
    <t>88 Beijingxi Road</t>
  </si>
  <si>
    <t>Nanchang</t>
  </si>
  <si>
    <t>Mr. Chang Yu Zhong</t>
  </si>
  <si>
    <t>dept1@cniecjx.com.cn</t>
  </si>
  <si>
    <t>No W CFS list published yet. Once W CFS list is published check for smelter names on the list</t>
  </si>
  <si>
    <t xml:space="preserve">W sputter targets used in wafer fab </t>
  </si>
  <si>
    <t xml:space="preserve">Diamond road, Hetang District, </t>
  </si>
  <si>
    <t>Huanan</t>
  </si>
  <si>
    <t>Nanchang Cemented Carbide Limited Liability Company</t>
  </si>
  <si>
    <t>No.1173, Shuang Gang East Road Economy &amp; Technology Development Zone</t>
  </si>
  <si>
    <t>Curtis Lee</t>
  </si>
  <si>
    <t>nccp603@21cn.com</t>
  </si>
  <si>
    <t>Luokeng Mine</t>
  </si>
  <si>
    <t>China Minmetals  Corp.</t>
  </si>
  <si>
    <t>Sanlihe Road, Haidian District</t>
  </si>
  <si>
    <t>Beijing</t>
  </si>
  <si>
    <t>Mr. Fang Ji Yun</t>
  </si>
  <si>
    <t>fangjy@minmetals.com</t>
  </si>
  <si>
    <t>Dayu Weiliang Tungsten CO.,LTD</t>
  </si>
  <si>
    <t>No. 35 Suikousi Rd</t>
  </si>
  <si>
    <t>Nan'an Town</t>
  </si>
  <si>
    <t>Dayu, Ganzhou, Jiangxi</t>
  </si>
  <si>
    <t>Zhong Weiliang</t>
  </si>
  <si>
    <t>86-797-8728328</t>
    <phoneticPr fontId="29"/>
  </si>
  <si>
    <t>OM MANUFACTURING PHILIPPINES,INC</t>
  </si>
  <si>
    <t>Cative Economic Zone</t>
  </si>
  <si>
    <t>CAVITE</t>
  </si>
  <si>
    <t>MELANIE A.MATIAS</t>
  </si>
  <si>
    <t>ommpi@info.com.ph</t>
  </si>
  <si>
    <t>985-1 Ikuno</t>
  </si>
  <si>
    <t>Asago City</t>
  </si>
  <si>
    <t>Hyougo</t>
  </si>
  <si>
    <t>This smelter is equivalent to CFS from the following. (pg.56)
http://www.mmc.co.jp/corporate/en/csr/pdf/CSR2012_AllPages.pdf</t>
  </si>
  <si>
    <t>80 Moo 8 Sakdidej Road</t>
  </si>
  <si>
    <t>Tambon Vichit</t>
  </si>
  <si>
    <t>Amphur Muang Phuket</t>
  </si>
  <si>
    <t>This smelter is CFS.
http://www.conflictfreesmelter.org/CompliantTinSmelterList.htm</t>
  </si>
  <si>
    <t>YANTAI ZHAOJIN LAI FUK PRECIOUS METALS,LTD</t>
  </si>
  <si>
    <t>UNKNOWN</t>
  </si>
  <si>
    <t>YANTAI</t>
  </si>
  <si>
    <t>SHANDONG</t>
  </si>
  <si>
    <t>MR LIU</t>
  </si>
  <si>
    <t>sales@kanfort.com</t>
  </si>
  <si>
    <t>CID002724</t>
  </si>
  <si>
    <t>CID002030</t>
    <phoneticPr fontId="29"/>
  </si>
  <si>
    <t>CID001980</t>
    <phoneticPr fontId="29"/>
  </si>
  <si>
    <t>CID000924</t>
    <phoneticPr fontId="29"/>
  </si>
  <si>
    <t>CID001534</t>
    <phoneticPr fontId="29"/>
  </si>
  <si>
    <t>CID000185</t>
    <phoneticPr fontId="29"/>
  </si>
  <si>
    <t>CID000077</t>
    <phoneticPr fontId="29"/>
  </si>
  <si>
    <t>CID001153</t>
    <phoneticPr fontId="29"/>
  </si>
  <si>
    <t>CID002003</t>
    <phoneticPr fontId="29"/>
  </si>
  <si>
    <t>CID000801</t>
    <phoneticPr fontId="29"/>
  </si>
  <si>
    <t>CID000855</t>
    <phoneticPr fontId="29"/>
  </si>
  <si>
    <t>CID001916</t>
    <phoneticPr fontId="29"/>
  </si>
  <si>
    <t>CID001622</t>
    <phoneticPr fontId="29"/>
  </si>
  <si>
    <t>CID001909</t>
    <phoneticPr fontId="29"/>
  </si>
  <si>
    <t>CID002224</t>
    <phoneticPr fontId="29"/>
  </si>
  <si>
    <t>CID002243</t>
    <phoneticPr fontId="29"/>
  </si>
  <si>
    <t>CID000035</t>
    <phoneticPr fontId="29"/>
  </si>
  <si>
    <t>CID000694</t>
    <phoneticPr fontId="29"/>
  </si>
  <si>
    <t>CID000711</t>
    <phoneticPr fontId="29"/>
  </si>
  <si>
    <t>CID001585</t>
    <phoneticPr fontId="29"/>
  </si>
  <si>
    <t>CID000707</t>
    <phoneticPr fontId="29"/>
  </si>
  <si>
    <t>CID001149</t>
    <phoneticPr fontId="29"/>
  </si>
  <si>
    <t>CID000082</t>
    <phoneticPr fontId="29"/>
  </si>
  <si>
    <t>CID000401</t>
    <phoneticPr fontId="29"/>
  </si>
  <si>
    <t>CID000807</t>
    <phoneticPr fontId="29"/>
  </si>
  <si>
    <t>CID000823</t>
    <phoneticPr fontId="29"/>
  </si>
  <si>
    <t>CID001119</t>
    <phoneticPr fontId="29"/>
  </si>
  <si>
    <t>CID000937</t>
    <phoneticPr fontId="29"/>
  </si>
  <si>
    <t>CID001188</t>
    <phoneticPr fontId="29"/>
  </si>
  <si>
    <t>CID001193</t>
    <phoneticPr fontId="29"/>
  </si>
  <si>
    <t>CID001798</t>
    <phoneticPr fontId="29"/>
  </si>
  <si>
    <t>CID001947</t>
    <phoneticPr fontId="29"/>
  </si>
  <si>
    <t>CID001152</t>
    <phoneticPr fontId="29"/>
  </si>
  <si>
    <t>CID000180</t>
    <phoneticPr fontId="29"/>
  </si>
  <si>
    <t>CID000425</t>
    <phoneticPr fontId="29"/>
  </si>
  <si>
    <t>CID001512</t>
    <phoneticPr fontId="29"/>
  </si>
  <si>
    <t>CID001236</t>
    <phoneticPr fontId="29"/>
  </si>
  <si>
    <t>CID001993</t>
    <phoneticPr fontId="29"/>
  </si>
  <si>
    <t>CID001546</t>
    <phoneticPr fontId="29"/>
  </si>
  <si>
    <t>CID001322</t>
    <phoneticPr fontId="29"/>
  </si>
  <si>
    <t>CID001875</t>
    <phoneticPr fontId="29"/>
  </si>
  <si>
    <t>CID001938</t>
    <phoneticPr fontId="29"/>
  </si>
  <si>
    <t>CID001259</t>
    <phoneticPr fontId="29"/>
  </si>
  <si>
    <t>CID000019</t>
    <phoneticPr fontId="29"/>
  </si>
  <si>
    <t>CID000981</t>
    <phoneticPr fontId="29"/>
  </si>
  <si>
    <t>CID002129</t>
    <phoneticPr fontId="29"/>
  </si>
  <si>
    <t>CID000264</t>
    <phoneticPr fontId="29"/>
  </si>
  <si>
    <t>CID001078</t>
    <phoneticPr fontId="29"/>
  </si>
  <si>
    <t>CID001955</t>
    <phoneticPr fontId="29"/>
  </si>
  <si>
    <t>CID000328</t>
    <phoneticPr fontId="29"/>
  </si>
  <si>
    <t>CID000359</t>
    <phoneticPr fontId="29"/>
  </si>
  <si>
    <t>CID000778</t>
    <phoneticPr fontId="29"/>
  </si>
  <si>
    <t>CID001562</t>
    <phoneticPr fontId="29"/>
  </si>
  <si>
    <t>CID000920</t>
    <phoneticPr fontId="29"/>
  </si>
  <si>
    <t>CID001113</t>
    <phoneticPr fontId="29"/>
  </si>
  <si>
    <t>CID001157</t>
    <phoneticPr fontId="29"/>
  </si>
  <si>
    <t>CID000493</t>
    <phoneticPr fontId="29"/>
  </si>
  <si>
    <t>CID001761</t>
    <phoneticPr fontId="29"/>
  </si>
  <si>
    <t>CID000766</t>
    <phoneticPr fontId="29"/>
  </si>
  <si>
    <t>CID000499</t>
    <phoneticPr fontId="29"/>
  </si>
  <si>
    <t>CID000004</t>
    <phoneticPr fontId="29"/>
  </si>
  <si>
    <t>CID002044</t>
    <phoneticPr fontId="29"/>
  </si>
  <si>
    <t>CID000218</t>
    <phoneticPr fontId="29"/>
  </si>
  <si>
    <t>CID000258</t>
    <phoneticPr fontId="29"/>
  </si>
  <si>
    <t>CID000875</t>
    <phoneticPr fontId="29"/>
  </si>
  <si>
    <t>CID002082</t>
    <phoneticPr fontId="29"/>
  </si>
  <si>
    <t>CID000769</t>
    <phoneticPr fontId="29"/>
  </si>
  <si>
    <t>CID000825</t>
    <phoneticPr fontId="29"/>
  </si>
  <si>
    <t>CID000105</t>
    <phoneticPr fontId="29"/>
  </si>
  <si>
    <t>CID000568</t>
    <phoneticPr fontId="29"/>
  </si>
  <si>
    <t>CID000966</t>
    <phoneticPr fontId="29"/>
  </si>
  <si>
    <t>CID001889</t>
    <phoneticPr fontId="29"/>
  </si>
  <si>
    <t>CID000760</t>
    <phoneticPr fontId="29"/>
  </si>
  <si>
    <t>CID001428</t>
    <phoneticPr fontId="29"/>
  </si>
  <si>
    <t>CID001191</t>
    <phoneticPr fontId="29"/>
  </si>
  <si>
    <t>CID001105</t>
    <phoneticPr fontId="29"/>
  </si>
  <si>
    <t>CID001453</t>
    <phoneticPr fontId="29"/>
  </si>
  <si>
    <t>CID001463</t>
    <phoneticPr fontId="29"/>
  </si>
  <si>
    <t>CID001482</t>
    <phoneticPr fontId="29"/>
  </si>
  <si>
    <t>CID001490</t>
    <phoneticPr fontId="29"/>
  </si>
  <si>
    <t>CID001477</t>
    <phoneticPr fontId="29"/>
  </si>
  <si>
    <t>CID000292</t>
    <phoneticPr fontId="29"/>
  </si>
  <si>
    <t>CID000468</t>
    <phoneticPr fontId="29"/>
  </si>
  <si>
    <t>CID001182</t>
    <phoneticPr fontId="29"/>
  </si>
  <si>
    <t>CID001898</t>
    <phoneticPr fontId="29"/>
  </si>
  <si>
    <t>CID000555</t>
    <phoneticPr fontId="29"/>
  </si>
  <si>
    <t>CID000538</t>
    <phoneticPr fontId="29"/>
  </si>
  <si>
    <t>CID000438</t>
    <phoneticPr fontId="29"/>
  </si>
  <si>
    <t>CID001337</t>
    <phoneticPr fontId="29"/>
  </si>
  <si>
    <t>CID001173</t>
    <phoneticPr fontId="29"/>
  </si>
  <si>
    <t>CID000295</t>
    <phoneticPr fontId="29"/>
  </si>
  <si>
    <t>CID002036</t>
    <phoneticPr fontId="29"/>
  </si>
  <si>
    <t>CID001458</t>
    <phoneticPr fontId="29"/>
  </si>
  <si>
    <t>CID000313</t>
    <phoneticPr fontId="29"/>
  </si>
  <si>
    <t>CID000315</t>
    <phoneticPr fontId="29"/>
  </si>
  <si>
    <t>CID001399</t>
    <phoneticPr fontId="29"/>
  </si>
  <si>
    <t>CID001421</t>
    <phoneticPr fontId="29"/>
  </si>
  <si>
    <t>CID001231</t>
    <phoneticPr fontId="29"/>
  </si>
  <si>
    <t>CID001070</t>
    <phoneticPr fontId="29"/>
  </si>
  <si>
    <t>CID000278</t>
    <phoneticPr fontId="29"/>
  </si>
  <si>
    <t>CID000460</t>
    <phoneticPr fontId="29"/>
  </si>
  <si>
    <t>CID001277</t>
    <phoneticPr fontId="29"/>
  </si>
  <si>
    <t>CID002232</t>
    <phoneticPr fontId="29"/>
  </si>
  <si>
    <t>CID001522</t>
    <phoneticPr fontId="29"/>
  </si>
  <si>
    <t>CID000914</t>
    <phoneticPr fontId="29"/>
  </si>
  <si>
    <t>CID000291</t>
    <phoneticPr fontId="29"/>
  </si>
  <si>
    <t>CID001192</t>
    <phoneticPr fontId="29"/>
  </si>
  <si>
    <t>CID001969</t>
    <phoneticPr fontId="29"/>
  </si>
  <si>
    <t>CID001769</t>
    <phoneticPr fontId="29"/>
  </si>
  <si>
    <t>CID000456</t>
    <phoneticPr fontId="29"/>
  </si>
  <si>
    <t>CID002557</t>
    <phoneticPr fontId="29"/>
  </si>
  <si>
    <t>CID002568</t>
    <phoneticPr fontId="29"/>
  </si>
  <si>
    <t>CID001891</t>
    <phoneticPr fontId="29"/>
  </si>
  <si>
    <t>Will be done soon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</si>
</sst>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09]mmmm\ d\,\ yyyy;@"/>
    <numFmt numFmtId="165" formatCode="[$-409]d\-mmm\-yyyy;@"/>
    <numFmt numFmtId="166" formatCode="0.0"/>
  </numFmts>
  <fonts count="9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sz val="12"/>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font>
    <font>
      <b/>
      <sz val="11"/>
      <name val="Calibri"/>
      <family val="2"/>
    </font>
    <font>
      <sz val="11"/>
      <name val="PMingLiU"/>
      <family val="1"/>
    </font>
    <font>
      <sz val="11"/>
      <name val="ＭＳ Ｐゴシック"/>
    </font>
    <font>
      <b/>
      <sz val="8"/>
      <name val="Verdana"/>
      <family val="2"/>
    </font>
    <font>
      <sz val="10"/>
      <name val="宋体"/>
      <charset val="134"/>
    </font>
    <font>
      <sz val="10"/>
      <name val="BatangChe"/>
      <family val="3"/>
      <charset val="129"/>
    </font>
    <font>
      <sz val="10"/>
      <name val="Calibri"/>
      <family val="2"/>
    </font>
    <font>
      <sz val="10"/>
      <name val="Arial Unicode MS"/>
      <family val="2"/>
    </font>
    <font>
      <sz val="10"/>
      <color indexed="8"/>
      <name val="Verdana"/>
      <family val="2"/>
    </font>
    <font>
      <sz val="11"/>
      <color indexed="8"/>
      <name val="Verdana"/>
      <family val="2"/>
    </font>
    <font>
      <b/>
      <sz val="11"/>
      <color indexed="8"/>
      <name val="Verdana"/>
      <family val="2"/>
    </font>
    <font>
      <b/>
      <sz val="10"/>
      <color indexed="8"/>
      <name val="Verdana"/>
      <family val="2"/>
    </font>
    <font>
      <sz val="10"/>
      <color indexed="81"/>
      <name val="Tahoma"/>
      <family val="2"/>
    </font>
    <font>
      <sz val="11"/>
      <name val="Batang"/>
      <family val="1"/>
    </font>
    <font>
      <sz val="11"/>
      <color rgb="FF9C0006"/>
      <name val="ＭＳ Ｐゴシック"/>
      <family val="3"/>
      <charset val="128"/>
    </font>
    <font>
      <u/>
      <sz val="10"/>
      <color theme="10"/>
      <name val="Arial"/>
      <family val="2"/>
    </font>
    <font>
      <u/>
      <sz val="11"/>
      <color theme="10"/>
      <name val="Calibri"/>
      <family val="2"/>
      <scheme val="minor"/>
    </font>
    <font>
      <u/>
      <sz val="12"/>
      <color theme="10"/>
      <name val="Calibri"/>
      <family val="2"/>
      <scheme val="minor"/>
    </font>
    <font>
      <sz val="10"/>
      <color theme="1"/>
      <name val="Arial"/>
      <family val="2"/>
    </font>
    <font>
      <sz val="11"/>
      <color theme="1"/>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sz val="10"/>
      <name val="Calibri"/>
      <family val="3"/>
      <charset val="128"/>
      <scheme val="minor"/>
    </font>
    <font>
      <sz val="10"/>
      <color theme="1"/>
      <name val="Verdana"/>
      <family val="2"/>
    </font>
    <font>
      <sz val="10"/>
      <color rgb="FFFF0000"/>
      <name val="Verdana"/>
      <family val="2"/>
    </font>
    <font>
      <sz val="10"/>
      <color theme="0" tint="-0.34998626667073579"/>
      <name val="Verdana"/>
      <family val="2"/>
    </font>
    <font>
      <sz val="11"/>
      <color rgb="FF000000"/>
      <name val="Verdana"/>
      <family val="2"/>
    </font>
    <font>
      <sz val="12"/>
      <name val="Cambria"/>
      <family val="1"/>
      <scheme val="major"/>
    </font>
    <font>
      <u/>
      <sz val="12"/>
      <color indexed="12"/>
      <name val="Cambria"/>
      <family val="1"/>
      <scheme val="major"/>
    </font>
    <font>
      <u/>
      <sz val="10"/>
      <color indexed="12"/>
      <name val="Cambria"/>
      <family val="1"/>
      <scheme val="major"/>
    </font>
    <font>
      <sz val="10"/>
      <name val="Cambria"/>
      <family val="1"/>
      <scheme val="major"/>
    </font>
    <font>
      <sz val="12"/>
      <color theme="1"/>
      <name val="Calibri"/>
      <family val="2"/>
    </font>
    <font>
      <sz val="11"/>
      <color indexed="8"/>
      <name val="微軟正黑體"/>
      <family val="2"/>
      <charset val="136"/>
    </font>
    <font>
      <sz val="11"/>
      <color indexed="8"/>
      <name val="ＭＳ Ｐゴシック"/>
      <family val="3"/>
      <charset val="128"/>
    </font>
  </fonts>
  <fills count="10">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rgb="FFFFC7CE"/>
      </patternFill>
    </fill>
    <fill>
      <patternFill patternType="solid">
        <fgColor theme="0"/>
        <bgColor indexed="64"/>
      </patternFill>
    </fill>
    <fill>
      <patternFill patternType="solid">
        <fgColor theme="7" tint="0.59999389629810485"/>
        <bgColor indexed="64"/>
      </patternFill>
    </fill>
    <fill>
      <patternFill patternType="solid">
        <fgColor rgb="FFFF0000"/>
        <bgColor indexed="64"/>
      </patternFill>
    </fill>
    <fill>
      <patternFill patternType="solid">
        <fgColor indexed="9"/>
        <bgColor indexed="64"/>
      </patternFill>
    </fill>
  </fills>
  <borders count="59">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right style="thin">
        <color indexed="56"/>
      </right>
      <top style="thin">
        <color indexed="56"/>
      </top>
      <bottom/>
      <diagonal/>
    </border>
    <border>
      <left/>
      <right style="thin">
        <color indexed="56"/>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thin">
        <color indexed="64"/>
      </top>
      <bottom/>
      <diagonal/>
    </border>
    <border>
      <left/>
      <right style="thick">
        <color indexed="64"/>
      </right>
      <top/>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64"/>
      </left>
      <right style="thick">
        <color indexed="64"/>
      </right>
      <top style="thin">
        <color indexed="64"/>
      </top>
      <bottom style="thin">
        <color indexed="64"/>
      </bottom>
      <diagonal/>
    </border>
    <border>
      <left style="thin">
        <color indexed="56"/>
      </left>
      <right style="thick">
        <color indexed="64"/>
      </right>
      <top style="thin">
        <color indexed="56"/>
      </top>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56"/>
      </left>
      <right/>
      <top style="thin">
        <color indexed="56"/>
      </top>
      <bottom style="thin">
        <color indexed="5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6"/>
      </left>
      <right/>
      <top style="thin">
        <color indexed="56"/>
      </top>
      <bottom/>
      <diagonal/>
    </border>
    <border>
      <left/>
      <right/>
      <top style="thin">
        <color indexed="56"/>
      </top>
      <bottom style="thick">
        <color indexed="56"/>
      </bottom>
      <diagonal/>
    </border>
  </borders>
  <cellStyleXfs count="99">
    <xf numFmtId="0" fontId="0" fillId="0" borderId="0"/>
    <xf numFmtId="0" fontId="73" fillId="5" borderId="0" applyNumberFormat="0" applyBorder="0" applyAlignment="0" applyProtection="0"/>
    <xf numFmtId="164" fontId="6" fillId="0" borderId="0"/>
    <xf numFmtId="0" fontId="7" fillId="0" borderId="0" applyNumberFormat="0" applyFill="0" applyBorder="0" applyAlignment="0" applyProtection="0">
      <alignment vertical="top"/>
      <protection locked="0"/>
    </xf>
    <xf numFmtId="164" fontId="74" fillId="0" borderId="0" applyNumberFormat="0" applyFill="0" applyBorder="0" applyAlignment="0" applyProtection="0"/>
    <xf numFmtId="0" fontId="75" fillId="0" borderId="0" applyNumberFormat="0" applyFill="0" applyBorder="0" applyAlignment="0" applyProtection="0"/>
    <xf numFmtId="164" fontId="74" fillId="0" borderId="0" applyNumberFormat="0" applyFill="0" applyBorder="0" applyAlignment="0" applyProtection="0">
      <alignment vertical="top"/>
      <protection locked="0"/>
    </xf>
    <xf numFmtId="164" fontId="74" fillId="0" borderId="0" applyNumberFormat="0" applyFill="0" applyBorder="0" applyAlignment="0" applyProtection="0">
      <alignment vertical="top"/>
      <protection locked="0"/>
    </xf>
    <xf numFmtId="0" fontId="76" fillId="0" borderId="0" applyNumberFormat="0" applyFill="0" applyBorder="0" applyAlignment="0" applyProtection="0"/>
    <xf numFmtId="0" fontId="7" fillId="0" borderId="0" applyNumberFormat="0" applyFill="0" applyBorder="0" applyAlignment="0" applyProtection="0">
      <alignment vertical="top"/>
      <protection locked="0"/>
    </xf>
    <xf numFmtId="164" fontId="74" fillId="0" borderId="0" applyNumberFormat="0" applyFill="0" applyBorder="0" applyAlignment="0" applyProtection="0">
      <alignment vertical="top"/>
      <protection locked="0"/>
    </xf>
    <xf numFmtId="164" fontId="77" fillId="0" borderId="0"/>
    <xf numFmtId="0" fontId="6" fillId="0" borderId="0"/>
    <xf numFmtId="0" fontId="6" fillId="0" borderId="0"/>
    <xf numFmtId="164" fontId="7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7" fillId="0" borderId="0"/>
    <xf numFmtId="0" fontId="77" fillId="0" borderId="0"/>
    <xf numFmtId="0" fontId="77" fillId="0" borderId="0"/>
    <xf numFmtId="164" fontId="77" fillId="0" borderId="0"/>
    <xf numFmtId="0" fontId="5" fillId="0" borderId="0"/>
    <xf numFmtId="164" fontId="6" fillId="0" borderId="0"/>
    <xf numFmtId="0" fontId="78" fillId="0" borderId="0"/>
    <xf numFmtId="0" fontId="78" fillId="0" borderId="0"/>
    <xf numFmtId="164" fontId="5" fillId="0" borderId="0"/>
    <xf numFmtId="0" fontId="78" fillId="0" borderId="0"/>
    <xf numFmtId="0" fontId="5" fillId="0" borderId="0"/>
    <xf numFmtId="0" fontId="78" fillId="0" borderId="0"/>
    <xf numFmtId="0" fontId="79" fillId="0" borderId="0">
      <alignment vertical="center"/>
    </xf>
    <xf numFmtId="164" fontId="77" fillId="0" borderId="0"/>
    <xf numFmtId="0" fontId="80" fillId="0" borderId="0"/>
    <xf numFmtId="0" fontId="78" fillId="0" borderId="0"/>
    <xf numFmtId="0" fontId="6" fillId="0" borderId="0"/>
    <xf numFmtId="0" fontId="80" fillId="0" borderId="0"/>
    <xf numFmtId="0" fontId="78" fillId="0" borderId="0"/>
    <xf numFmtId="0" fontId="78" fillId="0" borderId="0"/>
    <xf numFmtId="0" fontId="78" fillId="0" borderId="0"/>
    <xf numFmtId="0" fontId="78" fillId="0" borderId="0"/>
    <xf numFmtId="0" fontId="78" fillId="0" borderId="0"/>
    <xf numFmtId="0" fontId="6" fillId="0" borderId="0"/>
    <xf numFmtId="0" fontId="78" fillId="0" borderId="0"/>
    <xf numFmtId="0" fontId="6" fillId="0" borderId="0"/>
    <xf numFmtId="0" fontId="7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0" borderId="0"/>
    <xf numFmtId="0" fontId="80" fillId="0" borderId="0"/>
    <xf numFmtId="0" fontId="7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8" fillId="0" borderId="0"/>
    <xf numFmtId="0" fontId="78" fillId="0" borderId="0"/>
    <xf numFmtId="164" fontId="77" fillId="0" borderId="0"/>
    <xf numFmtId="164" fontId="77" fillId="0" borderId="0"/>
    <xf numFmtId="0" fontId="81" fillId="0" borderId="0"/>
    <xf numFmtId="0" fontId="10"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7" fillId="0" borderId="0"/>
    <xf numFmtId="164" fontId="10" fillId="0" borderId="0"/>
    <xf numFmtId="0" fontId="6" fillId="0" borderId="0"/>
    <xf numFmtId="0" fontId="6" fillId="0" borderId="0"/>
    <xf numFmtId="0" fontId="6" fillId="0" borderId="0"/>
    <xf numFmtId="164" fontId="6" fillId="0" borderId="0"/>
    <xf numFmtId="0" fontId="10" fillId="0" borderId="0"/>
    <xf numFmtId="0" fontId="6" fillId="0" borderId="0">
      <alignment vertical="center"/>
    </xf>
    <xf numFmtId="0" fontId="6" fillId="0" borderId="0">
      <alignment vertical="center"/>
    </xf>
    <xf numFmtId="0" fontId="93" fillId="0" borderId="0">
      <alignment vertical="center"/>
    </xf>
  </cellStyleXfs>
  <cellXfs count="427">
    <xf numFmtId="0" fontId="0" fillId="0" borderId="0" xfId="0"/>
    <xf numFmtId="0" fontId="15" fillId="2" borderId="1" xfId="0" applyFont="1" applyFill="1" applyBorder="1" applyAlignment="1" applyProtection="1">
      <alignment horizontal="center" vertical="center"/>
    </xf>
    <xf numFmtId="0" fontId="26" fillId="2" borderId="2" xfId="79"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79" applyFont="1" applyFill="1" applyBorder="1" applyAlignment="1">
      <alignment vertical="top" wrapText="1"/>
    </xf>
    <xf numFmtId="0" fontId="9" fillId="2" borderId="0" xfId="0" applyFont="1" applyFill="1" applyBorder="1" applyAlignment="1"/>
    <xf numFmtId="164" fontId="26" fillId="2" borderId="9" xfId="79"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9" fillId="2" borderId="10" xfId="79" applyFont="1" applyFill="1" applyBorder="1" applyAlignment="1">
      <alignment horizontal="center" vertical="center" wrapText="1"/>
    </xf>
    <xf numFmtId="0" fontId="39" fillId="2" borderId="11" xfId="79" applyFont="1" applyFill="1" applyBorder="1" applyAlignment="1">
      <alignment horizontal="center" vertical="center" wrapText="1"/>
    </xf>
    <xf numFmtId="0" fontId="28" fillId="2" borderId="11" xfId="79" applyFont="1" applyFill="1" applyBorder="1" applyAlignment="1">
      <alignment horizontal="center" vertical="center" wrapText="1"/>
    </xf>
    <xf numFmtId="0" fontId="0" fillId="2" borderId="10" xfId="0" applyFill="1" applyBorder="1" applyProtection="1"/>
    <xf numFmtId="0" fontId="4" fillId="0" borderId="0" xfId="0" applyFont="1" applyFill="1"/>
    <xf numFmtId="0" fontId="4" fillId="0" borderId="0" xfId="0" applyFont="1" applyFill="1" applyAlignment="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5" fillId="2" borderId="1" xfId="0" applyFont="1" applyFill="1" applyBorder="1" applyAlignment="1" applyProtection="1">
      <alignment vertical="center"/>
      <protection hidden="1"/>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92" applyFont="1" applyFill="1" applyAlignment="1" applyProtection="1"/>
    <xf numFmtId="0" fontId="6" fillId="0" borderId="0" xfId="92"/>
    <xf numFmtId="0" fontId="6" fillId="0" borderId="0" xfId="92" applyFill="1" applyAlignment="1" applyProtection="1"/>
    <xf numFmtId="0" fontId="23" fillId="0" borderId="0" xfId="3" applyFont="1" applyFill="1" applyAlignment="1" applyProtection="1">
      <alignment horizontal="center"/>
      <protection hidden="1"/>
    </xf>
    <xf numFmtId="0" fontId="23" fillId="0" borderId="0" xfId="3" applyFont="1" applyFill="1" applyAlignment="1" applyProtection="1">
      <alignment horizontal="center" wrapText="1"/>
      <protection hidden="1"/>
    </xf>
    <xf numFmtId="0" fontId="2" fillId="0" borderId="0" xfId="0" applyFont="1" applyAlignment="1" applyProtection="1">
      <alignment horizontal="center"/>
      <protection hidden="1"/>
    </xf>
    <xf numFmtId="0" fontId="27"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0" fontId="11" fillId="2" borderId="19" xfId="0" applyFont="1" applyFill="1" applyBorder="1" applyAlignment="1" applyProtection="1">
      <alignment vertical="center"/>
      <protection hidden="1"/>
    </xf>
    <xf numFmtId="0" fontId="11" fillId="2" borderId="26" xfId="0" applyFont="1" applyFill="1" applyBorder="1" applyAlignment="1" applyProtection="1">
      <alignment vertical="center"/>
      <protection hidden="1"/>
    </xf>
    <xf numFmtId="0" fontId="11" fillId="2" borderId="18" xfId="0" applyFont="1" applyFill="1" applyBorder="1" applyAlignment="1" applyProtection="1">
      <alignment vertical="center"/>
      <protection hidden="1"/>
    </xf>
    <xf numFmtId="0" fontId="11" fillId="2" borderId="27" xfId="0" applyFont="1" applyFill="1" applyBorder="1" applyAlignment="1" applyProtection="1">
      <alignment vertical="center"/>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3"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3" applyFill="1" applyBorder="1" applyAlignment="1" applyProtection="1">
      <alignment vertical="center" wrapText="1"/>
      <protection hidden="1"/>
    </xf>
    <xf numFmtId="0" fontId="7" fillId="0" borderId="10" xfId="3"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8" xfId="0" applyNumberFormat="1" applyFont="1" applyFill="1" applyBorder="1" applyAlignment="1" applyProtection="1">
      <alignment vertical="center" wrapText="1"/>
      <protection hidden="1"/>
    </xf>
    <xf numFmtId="0" fontId="23" fillId="0" borderId="28" xfId="3" applyFont="1" applyBorder="1" applyAlignment="1" applyProtection="1">
      <alignment horizontal="center"/>
      <protection hidden="1"/>
    </xf>
    <xf numFmtId="0" fontId="2" fillId="0" borderId="29" xfId="0" applyNumberFormat="1" applyFont="1" applyFill="1" applyBorder="1" applyAlignment="1" applyProtection="1">
      <alignment vertical="center" wrapText="1"/>
      <protection hidden="1"/>
    </xf>
    <xf numFmtId="0" fontId="35" fillId="0" borderId="28" xfId="0" applyNumberFormat="1" applyFont="1" applyFill="1" applyBorder="1" applyAlignment="1" applyProtection="1">
      <alignment vertical="center" wrapText="1"/>
      <protection hidden="1"/>
    </xf>
    <xf numFmtId="0" fontId="3" fillId="4" borderId="28" xfId="0" applyFont="1" applyFill="1" applyBorder="1" applyAlignment="1" applyProtection="1">
      <alignment wrapText="1"/>
      <protection hidden="1"/>
    </xf>
    <xf numFmtId="0" fontId="3" fillId="4" borderId="28"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0" fillId="3" borderId="10" xfId="0" applyFont="1" applyFill="1" applyBorder="1"/>
    <xf numFmtId="0" fontId="0" fillId="0" borderId="30" xfId="0" applyBorder="1" applyAlignment="1" applyProtection="1">
      <alignment horizontal="left" vertical="center"/>
      <protection locked="0" hidden="1"/>
    </xf>
    <xf numFmtId="0" fontId="11" fillId="2" borderId="31" xfId="0" applyFont="1" applyFill="1" applyBorder="1" applyAlignment="1" applyProtection="1">
      <alignment vertical="center"/>
      <protection hidden="1"/>
    </xf>
    <xf numFmtId="0" fontId="0" fillId="0" borderId="0" xfId="0" applyBorder="1" applyProtection="1">
      <protection hidden="1"/>
    </xf>
    <xf numFmtId="0" fontId="42"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32"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3" applyFill="1" applyAlignment="1" applyProtection="1">
      <alignment horizontal="center"/>
      <protection hidden="1"/>
    </xf>
    <xf numFmtId="0" fontId="43" fillId="2" borderId="24" xfId="3" applyFont="1" applyFill="1" applyBorder="1" applyAlignment="1" applyProtection="1">
      <alignment horizontal="left" vertical="center"/>
      <protection hidden="1"/>
    </xf>
    <xf numFmtId="0" fontId="44" fillId="2" borderId="0" xfId="3" applyFont="1" applyFill="1" applyAlignment="1" applyProtection="1">
      <alignment vertical="center"/>
    </xf>
    <xf numFmtId="0" fontId="44" fillId="2" borderId="0" xfId="3" applyFont="1" applyFill="1" applyBorder="1" applyAlignment="1" applyProtection="1">
      <alignment horizontal="center" vertical="center"/>
      <protection hidden="1"/>
    </xf>
    <xf numFmtId="0" fontId="45" fillId="0" borderId="18" xfId="3" applyFont="1" applyFill="1" applyBorder="1" applyAlignment="1" applyProtection="1">
      <alignment horizontal="center"/>
      <protection hidden="1"/>
    </xf>
    <xf numFmtId="0" fontId="46" fillId="2" borderId="0" xfId="3" applyFont="1" applyFill="1" applyBorder="1" applyAlignment="1" applyProtection="1">
      <alignment horizontal="center" vertical="center"/>
      <protection hidden="1"/>
    </xf>
    <xf numFmtId="0" fontId="47" fillId="2" borderId="33"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48" fillId="2" borderId="0" xfId="0" applyFont="1" applyFill="1" applyBorder="1" applyAlignment="1" applyProtection="1">
      <alignment horizontal="center" vertical="center"/>
      <protection hidden="1"/>
    </xf>
    <xf numFmtId="0" fontId="11" fillId="2" borderId="34" xfId="0" applyFont="1" applyFill="1" applyBorder="1" applyAlignment="1" applyProtection="1">
      <alignment vertical="center" wrapText="1"/>
      <protection locked="0"/>
    </xf>
    <xf numFmtId="0" fontId="11" fillId="2" borderId="35"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1" fillId="2" borderId="18" xfId="0" applyFont="1" applyFill="1" applyBorder="1" applyAlignment="1" applyProtection="1">
      <protection hidden="1"/>
    </xf>
    <xf numFmtId="0" fontId="14" fillId="2" borderId="36" xfId="0" applyFont="1" applyFill="1" applyBorder="1" applyAlignment="1" applyProtection="1">
      <alignment horizontal="center" wrapText="1"/>
      <protection hidden="1"/>
    </xf>
    <xf numFmtId="0" fontId="11" fillId="2" borderId="33" xfId="0" applyFont="1" applyFill="1" applyBorder="1" applyAlignment="1" applyProtection="1">
      <alignment vertical="center"/>
      <protection hidden="1"/>
    </xf>
    <xf numFmtId="0" fontId="14" fillId="2" borderId="33" xfId="0" applyFont="1" applyFill="1" applyBorder="1" applyAlignment="1" applyProtection="1">
      <alignment wrapText="1"/>
    </xf>
    <xf numFmtId="0" fontId="44" fillId="2" borderId="0" xfId="3" applyFont="1" applyFill="1" applyBorder="1" applyAlignment="1" applyProtection="1">
      <alignment vertical="center"/>
    </xf>
    <xf numFmtId="0" fontId="56"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7"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5" fillId="0" borderId="0" xfId="0" applyFont="1" applyFill="1" applyBorder="1" applyAlignment="1" applyProtection="1">
      <alignment horizontal="right" wrapText="1"/>
      <protection hidden="1"/>
    </xf>
    <xf numFmtId="0" fontId="2" fillId="0" borderId="38" xfId="0" applyFont="1" applyFill="1" applyBorder="1" applyAlignment="1" applyProtection="1">
      <alignment horizontal="center"/>
      <protection hidden="1"/>
    </xf>
    <xf numFmtId="0" fontId="14" fillId="2" borderId="31" xfId="0" applyFont="1" applyFill="1" applyBorder="1" applyAlignment="1" applyProtection="1">
      <alignment horizontal="center" vertical="center"/>
      <protection hidden="1"/>
    </xf>
    <xf numFmtId="0" fontId="0" fillId="0" borderId="10" xfId="0" applyBorder="1" applyAlignment="1" applyProtection="1">
      <alignment horizontal="right" vertical="center" wrapText="1"/>
      <protection hidden="1"/>
    </xf>
    <xf numFmtId="0" fontId="40" fillId="0" borderId="0" xfId="0" applyFont="1" applyProtection="1">
      <protection hidden="1"/>
    </xf>
    <xf numFmtId="2" fontId="26" fillId="2" borderId="2" xfId="79" applyNumberFormat="1" applyFont="1" applyFill="1" applyBorder="1" applyAlignment="1">
      <alignment horizontal="center" vertical="top" wrapText="1"/>
    </xf>
    <xf numFmtId="0" fontId="26" fillId="2" borderId="9" xfId="79" applyFont="1" applyFill="1" applyBorder="1" applyAlignment="1">
      <alignment horizontal="center" vertical="top" wrapText="1"/>
    </xf>
    <xf numFmtId="0" fontId="57" fillId="0" borderId="0" xfId="0" applyFont="1" applyFill="1" applyAlignment="1">
      <alignment vertical="top" wrapText="1"/>
    </xf>
    <xf numFmtId="0" fontId="0" fillId="0" borderId="0" xfId="0" applyFont="1" applyFill="1" applyAlignment="1">
      <alignment vertical="top" wrapText="1"/>
    </xf>
    <xf numFmtId="0" fontId="52" fillId="0" borderId="0" xfId="0" applyFont="1" applyFill="1" applyAlignment="1">
      <alignment vertical="top" wrapText="1"/>
    </xf>
    <xf numFmtId="0" fontId="52" fillId="0" borderId="0" xfId="3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6" xfId="0" applyFont="1" applyFill="1" applyBorder="1" applyAlignment="1" applyProtection="1">
      <alignment horizontal="center" vertical="center" wrapText="1"/>
      <protection hidden="1"/>
    </xf>
    <xf numFmtId="0" fontId="14" fillId="2" borderId="39" xfId="0" applyFont="1" applyFill="1" applyBorder="1" applyAlignment="1" applyProtection="1">
      <alignment horizontal="center" vertical="center" wrapText="1"/>
      <protection hidden="1"/>
    </xf>
    <xf numFmtId="0" fontId="4" fillId="0" borderId="0" xfId="0" applyFont="1" applyFill="1" applyAlignment="1">
      <alignment horizontal="center"/>
    </xf>
    <xf numFmtId="0" fontId="2" fillId="0" borderId="28" xfId="0" applyNumberFormat="1" applyFont="1" applyFill="1" applyBorder="1" applyAlignment="1" applyProtection="1">
      <alignment vertical="top" wrapText="1"/>
      <protection hidden="1"/>
    </xf>
    <xf numFmtId="0" fontId="0" fillId="0" borderId="0" xfId="0" applyFill="1" applyAlignment="1" applyProtection="1">
      <alignment wrapText="1"/>
    </xf>
    <xf numFmtId="0" fontId="0" fillId="0" borderId="0" xfId="0" applyProtection="1"/>
    <xf numFmtId="0" fontId="4" fillId="2" borderId="40" xfId="0" applyFont="1" applyFill="1" applyBorder="1" applyAlignment="1" applyProtection="1">
      <alignment horizontal="center" wrapText="1"/>
    </xf>
    <xf numFmtId="0" fontId="11" fillId="2" borderId="41" xfId="0" applyFont="1" applyFill="1" applyBorder="1" applyAlignment="1" applyProtection="1">
      <alignment vertical="center"/>
    </xf>
    <xf numFmtId="0" fontId="62" fillId="0" borderId="0" xfId="0" applyFont="1" applyFill="1" applyAlignment="1" applyProtection="1">
      <alignment horizontal="center" vertical="center" wrapText="1"/>
      <protection hidden="1"/>
    </xf>
    <xf numFmtId="0" fontId="82" fillId="0" borderId="0" xfId="0" applyFont="1" applyFill="1" applyAlignment="1">
      <alignment vertical="top" wrapText="1"/>
    </xf>
    <xf numFmtId="0" fontId="0" fillId="0" borderId="0" xfId="0" applyAlignment="1" applyProtection="1">
      <protection hidden="1"/>
    </xf>
    <xf numFmtId="0" fontId="51" fillId="0" borderId="0" xfId="0" applyFont="1" applyAlignment="1"/>
    <xf numFmtId="0" fontId="0" fillId="6" borderId="0" xfId="0" applyFill="1" applyProtection="1">
      <protection hidden="1"/>
    </xf>
    <xf numFmtId="0" fontId="26" fillId="0" borderId="10" xfId="0" applyFont="1" applyBorder="1" applyAlignment="1">
      <alignment vertical="top" wrapText="1"/>
    </xf>
    <xf numFmtId="166" fontId="26" fillId="2" borderId="2" xfId="79"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42" xfId="0" applyFill="1" applyBorder="1"/>
    <xf numFmtId="0" fontId="83" fillId="7" borderId="0" xfId="0" applyFont="1" applyFill="1" applyProtection="1">
      <protection hidden="1"/>
    </xf>
    <xf numFmtId="0" fontId="0" fillId="8" borderId="10" xfId="0" applyFill="1" applyBorder="1" applyAlignment="1" applyProtection="1">
      <alignment horizontal="left" vertical="center"/>
      <protection hidden="1"/>
    </xf>
    <xf numFmtId="0" fontId="0" fillId="8" borderId="10" xfId="0" applyFill="1" applyBorder="1" applyAlignment="1" applyProtection="1">
      <alignment horizontal="left" vertical="center" wrapText="1"/>
      <protection hidden="1"/>
    </xf>
    <xf numFmtId="0" fontId="0" fillId="0" borderId="0" xfId="0" applyFont="1" applyFill="1" applyAlignment="1">
      <alignment vertical="top"/>
    </xf>
    <xf numFmtId="0" fontId="57" fillId="0" borderId="0" xfId="0" applyFont="1" applyFill="1" applyBorder="1" applyAlignment="1">
      <alignment vertical="top" wrapText="1"/>
    </xf>
    <xf numFmtId="0" fontId="2" fillId="6" borderId="28" xfId="0" applyNumberFormat="1" applyFont="1" applyFill="1" applyBorder="1" applyAlignment="1" applyProtection="1">
      <alignment vertical="center" wrapText="1"/>
      <protection hidden="1"/>
    </xf>
    <xf numFmtId="0" fontId="0" fillId="0" borderId="0" xfId="0" applyProtection="1">
      <protection locked="0"/>
    </xf>
    <xf numFmtId="0" fontId="11" fillId="2" borderId="43" xfId="0" applyFont="1" applyFill="1" applyBorder="1" applyAlignment="1" applyProtection="1">
      <alignment horizontal="center" vertical="center" wrapText="1"/>
      <protection hidden="1"/>
    </xf>
    <xf numFmtId="0" fontId="11" fillId="2" borderId="44" xfId="0" applyFont="1" applyFill="1" applyBorder="1" applyAlignment="1" applyProtection="1">
      <alignment horizontal="center" vertical="center" wrapText="1"/>
      <protection hidden="1"/>
    </xf>
    <xf numFmtId="0" fontId="4" fillId="0" borderId="0" xfId="0" applyFont="1" applyFill="1" applyAlignment="1">
      <alignment wrapText="1"/>
    </xf>
    <xf numFmtId="0" fontId="0" fillId="0" borderId="30" xfId="0" applyBorder="1" applyAlignment="1" applyProtection="1">
      <alignment horizontal="left" vertical="center"/>
      <protection locked="0"/>
    </xf>
    <xf numFmtId="0" fontId="30" fillId="0" borderId="0" xfId="0" applyFont="1" applyFill="1" applyBorder="1" applyAlignment="1" applyProtection="1">
      <alignment vertical="center"/>
      <protection locked="0"/>
    </xf>
    <xf numFmtId="0" fontId="0" fillId="3" borderId="0" xfId="0" applyFill="1" applyProtection="1">
      <protection locked="0"/>
    </xf>
    <xf numFmtId="0" fontId="0" fillId="0" borderId="0" xfId="0" applyFill="1" applyProtection="1">
      <protection locked="0"/>
    </xf>
    <xf numFmtId="0" fontId="0" fillId="2" borderId="45"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6" fillId="0" borderId="0" xfId="0" applyFont="1" applyFill="1" applyAlignment="1" applyProtection="1">
      <protection hidden="1"/>
    </xf>
    <xf numFmtId="0" fontId="0" fillId="3" borderId="0" xfId="0" applyFill="1" applyAlignment="1" applyProtection="1">
      <alignment wrapText="1"/>
      <protection hidden="1"/>
    </xf>
    <xf numFmtId="0" fontId="11" fillId="0" borderId="0" xfId="0" applyFont="1" applyFill="1" applyBorder="1" applyAlignment="1" applyProtection="1">
      <alignment horizontal="center" vertical="center"/>
      <protection hidden="1"/>
    </xf>
    <xf numFmtId="0" fontId="6" fillId="0" borderId="0" xfId="0" applyFont="1"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2" borderId="46" xfId="0" applyFill="1" applyBorder="1" applyAlignment="1" applyProtection="1">
      <alignment wrapText="1"/>
    </xf>
    <xf numFmtId="0" fontId="0" fillId="0" borderId="10" xfId="0" applyFont="1" applyBorder="1" applyProtection="1">
      <protection locked="0"/>
    </xf>
    <xf numFmtId="0" fontId="0" fillId="0" borderId="47" xfId="0" applyFont="1" applyBorder="1" applyProtection="1">
      <protection locked="0"/>
    </xf>
    <xf numFmtId="0" fontId="0" fillId="2" borderId="26" xfId="0" applyFont="1" applyFill="1" applyBorder="1" applyAlignment="1" applyProtection="1">
      <alignment horizontal="left" vertical="center"/>
      <protection locked="0" hidden="1"/>
    </xf>
    <xf numFmtId="0" fontId="0" fillId="2" borderId="37" xfId="0" applyFont="1" applyFill="1" applyBorder="1" applyAlignment="1" applyProtection="1">
      <alignment horizontal="left" vertical="center"/>
      <protection locked="0" hidden="1"/>
    </xf>
    <xf numFmtId="0" fontId="0" fillId="2" borderId="37" xfId="0" applyFont="1" applyFill="1" applyBorder="1" applyAlignment="1" applyProtection="1">
      <alignment horizontal="left" vertical="center"/>
      <protection locked="0"/>
    </xf>
    <xf numFmtId="0" fontId="0" fillId="2" borderId="48" xfId="0" applyFont="1" applyFill="1" applyBorder="1" applyAlignment="1" applyProtection="1">
      <alignment horizontal="left" vertical="center" wrapText="1"/>
      <protection locked="0"/>
    </xf>
    <xf numFmtId="0" fontId="4" fillId="0" borderId="0" xfId="0" applyFont="1" applyFill="1" applyProtection="1">
      <protection hidden="1"/>
    </xf>
    <xf numFmtId="0" fontId="4" fillId="0" borderId="0" xfId="0" applyFont="1" applyFill="1" applyAlignment="1" applyProtection="1">
      <alignment wrapText="1"/>
      <protection hidden="1"/>
    </xf>
    <xf numFmtId="2" fontId="26" fillId="2" borderId="10" xfId="79" applyNumberFormat="1" applyFont="1" applyFill="1" applyBorder="1" applyAlignment="1">
      <alignment horizontal="center" vertical="top" wrapText="1"/>
    </xf>
    <xf numFmtId="164" fontId="26" fillId="2" borderId="10" xfId="79" applyNumberFormat="1" applyFont="1" applyFill="1" applyBorder="1" applyAlignment="1">
      <alignment horizontal="center" vertical="top" wrapText="1"/>
    </xf>
    <xf numFmtId="49" fontId="4" fillId="0" borderId="0" xfId="0" applyNumberFormat="1" applyFont="1" applyFill="1" applyBorder="1" applyAlignment="1" applyProtection="1"/>
    <xf numFmtId="49" fontId="4" fillId="0" borderId="0" xfId="0" applyNumberFormat="1" applyFont="1" applyFill="1" applyBorder="1" applyAlignment="1" applyProtection="1">
      <alignment wrapText="1"/>
    </xf>
    <xf numFmtId="0" fontId="0" fillId="2" borderId="10" xfId="0" applyFill="1" applyBorder="1" applyAlignment="1" applyProtection="1">
      <alignment horizontal="left" vertical="center"/>
      <protection locked="0"/>
    </xf>
    <xf numFmtId="0" fontId="84" fillId="0" borderId="0" xfId="0" applyFont="1" applyProtection="1">
      <protection locked="0"/>
    </xf>
    <xf numFmtId="0" fontId="85" fillId="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7" fillId="0" borderId="0" xfId="0" applyFont="1" applyFill="1" applyAlignment="1">
      <alignment vertical="top" wrapText="1"/>
    </xf>
    <xf numFmtId="0" fontId="68" fillId="0" borderId="0" xfId="0" applyFont="1" applyFill="1" applyAlignment="1">
      <alignment vertical="top" wrapText="1"/>
    </xf>
    <xf numFmtId="0" fontId="3" fillId="0" borderId="28" xfId="0" applyNumberFormat="1" applyFont="1" applyFill="1" applyBorder="1" applyAlignment="1" applyProtection="1">
      <alignment vertical="center" wrapText="1"/>
      <protection hidden="1"/>
    </xf>
    <xf numFmtId="0" fontId="26" fillId="2" borderId="9" xfId="79" applyFont="1" applyFill="1" applyBorder="1" applyAlignment="1">
      <alignment vertical="center" wrapText="1"/>
    </xf>
    <xf numFmtId="0" fontId="26" fillId="2" borderId="30" xfId="79" applyFont="1" applyFill="1" applyBorder="1" applyAlignment="1">
      <alignment vertical="top" wrapText="1"/>
    </xf>
    <xf numFmtId="0" fontId="26" fillId="2" borderId="49" xfId="79" applyFont="1" applyFill="1" applyBorder="1" applyAlignment="1">
      <alignment vertical="top" wrapText="1"/>
    </xf>
    <xf numFmtId="0" fontId="4" fillId="0" borderId="2" xfId="0" applyFont="1" applyFill="1" applyBorder="1" applyAlignment="1" applyProtection="1">
      <alignment wrapText="1"/>
    </xf>
    <xf numFmtId="0" fontId="26" fillId="2" borderId="9" xfId="79" applyFont="1" applyFill="1" applyBorder="1" applyAlignment="1">
      <alignment horizontal="left" vertical="top" wrapText="1"/>
    </xf>
    <xf numFmtId="0" fontId="4" fillId="0" borderId="9" xfId="0" applyFont="1" applyFill="1" applyBorder="1" applyAlignment="1" applyProtection="1">
      <alignment vertical="top" wrapText="1"/>
    </xf>
    <xf numFmtId="0" fontId="26" fillId="2" borderId="10" xfId="79" applyFont="1" applyFill="1" applyBorder="1" applyAlignment="1">
      <alignment vertical="top" wrapText="1"/>
    </xf>
    <xf numFmtId="0" fontId="14" fillId="0" borderId="50" xfId="0" applyFont="1" applyBorder="1" applyAlignment="1" applyProtection="1">
      <alignment vertical="center" wrapText="1"/>
      <protection hidden="1"/>
    </xf>
    <xf numFmtId="0" fontId="49" fillId="2" borderId="51" xfId="0" applyFont="1" applyFill="1" applyBorder="1" applyAlignment="1" applyProtection="1">
      <alignment horizontal="center" vertical="center" wrapText="1"/>
      <protection hidden="1"/>
    </xf>
    <xf numFmtId="0" fontId="49" fillId="0" borderId="52" xfId="0" applyFont="1" applyBorder="1" applyAlignment="1" applyProtection="1">
      <alignment horizontal="center" vertical="center" wrapText="1"/>
      <protection hidden="1"/>
    </xf>
    <xf numFmtId="0" fontId="37" fillId="0" borderId="50" xfId="0" applyFont="1" applyBorder="1" applyAlignment="1" applyProtection="1">
      <alignment vertical="center" wrapText="1"/>
      <protection hidden="1"/>
    </xf>
    <xf numFmtId="0" fontId="57" fillId="0" borderId="0" xfId="0" applyFont="1" applyFill="1" applyAlignment="1">
      <alignment horizontal="left" vertical="top" wrapText="1"/>
    </xf>
    <xf numFmtId="0" fontId="52" fillId="0" borderId="0" xfId="37" applyNumberFormat="1" applyFont="1" applyFill="1" applyBorder="1" applyAlignment="1" applyProtection="1">
      <alignment vertical="top" wrapText="1"/>
      <protection hidden="1"/>
    </xf>
    <xf numFmtId="0" fontId="52" fillId="0" borderId="0" xfId="37" applyFont="1" applyFill="1" applyBorder="1" applyAlignment="1">
      <alignment vertical="top" wrapText="1"/>
    </xf>
    <xf numFmtId="0" fontId="86" fillId="0" borderId="0" xfId="0" applyFont="1" applyFill="1" applyAlignment="1">
      <alignment vertical="top" wrapText="1"/>
    </xf>
    <xf numFmtId="0" fontId="51" fillId="0" borderId="0" xfId="37" applyFont="1" applyFill="1" applyBorder="1" applyAlignment="1">
      <alignment vertical="top" wrapText="1"/>
    </xf>
    <xf numFmtId="0" fontId="52" fillId="0" borderId="0" xfId="1" applyNumberFormat="1" applyFont="1" applyFill="1" applyBorder="1" applyAlignment="1" applyProtection="1">
      <alignment vertical="top" wrapText="1"/>
      <protection hidden="1"/>
    </xf>
    <xf numFmtId="0" fontId="54" fillId="0" borderId="0" xfId="37" applyNumberFormat="1" applyFont="1" applyFill="1" applyBorder="1" applyAlignment="1" applyProtection="1">
      <alignment vertical="top" wrapText="1"/>
      <protection hidden="1"/>
    </xf>
    <xf numFmtId="0" fontId="57" fillId="0" borderId="0" xfId="0" applyFont="1" applyFill="1" applyAlignment="1">
      <alignment wrapText="1"/>
    </xf>
    <xf numFmtId="0" fontId="52" fillId="0" borderId="0" xfId="37" applyFont="1" applyFill="1" applyAlignment="1">
      <alignment horizontal="left" vertical="top" wrapText="1"/>
    </xf>
    <xf numFmtId="0" fontId="51" fillId="0" borderId="0" xfId="0" applyFont="1" applyFill="1" applyAlignment="1">
      <alignment vertical="top" wrapText="1"/>
    </xf>
    <xf numFmtId="0" fontId="52" fillId="0" borderId="0" xfId="0" applyFont="1" applyFill="1" applyAlignment="1">
      <alignment wrapText="1"/>
    </xf>
    <xf numFmtId="0" fontId="52" fillId="0" borderId="0" xfId="0" applyNumberFormat="1" applyFont="1" applyFill="1" applyAlignment="1">
      <alignment vertical="top" wrapText="1"/>
    </xf>
    <xf numFmtId="0" fontId="60" fillId="0" borderId="0" xfId="0" applyFont="1" applyFill="1" applyAlignment="1">
      <alignment vertical="top" wrapText="1"/>
    </xf>
    <xf numFmtId="0" fontId="61" fillId="0" borderId="0" xfId="0" applyFont="1" applyFill="1" applyAlignment="1">
      <alignment vertical="top" wrapText="1"/>
    </xf>
    <xf numFmtId="0" fontId="0" fillId="0" borderId="0" xfId="0" applyFill="1" applyAlignment="1">
      <alignment wrapText="1"/>
    </xf>
    <xf numFmtId="0" fontId="57" fillId="0" borderId="0" xfId="0" applyFont="1" applyFill="1" applyAlignment="1" applyProtection="1">
      <alignment horizontal="left" vertical="top" wrapText="1"/>
    </xf>
    <xf numFmtId="0" fontId="81" fillId="0" borderId="0" xfId="15" applyFont="1" applyFill="1" applyAlignment="1">
      <alignment vertical="center" wrapText="1"/>
    </xf>
    <xf numFmtId="0" fontId="57" fillId="0" borderId="0" xfId="0" applyFont="1" applyFill="1" applyAlignment="1">
      <alignment horizontal="left" wrapText="1"/>
    </xf>
    <xf numFmtId="0" fontId="66" fillId="0" borderId="0" xfId="0" applyFont="1" applyFill="1" applyAlignment="1">
      <alignment horizontal="left" vertical="center" wrapText="1"/>
    </xf>
    <xf numFmtId="0" fontId="57" fillId="0" borderId="0" xfId="0" applyFont="1" applyFill="1" applyAlignment="1" applyProtection="1">
      <alignment wrapText="1"/>
      <protection hidden="1"/>
    </xf>
    <xf numFmtId="0" fontId="54" fillId="0" borderId="0" xfId="0" applyFont="1" applyFill="1" applyAlignment="1">
      <alignment vertical="center" wrapText="1"/>
    </xf>
    <xf numFmtId="0" fontId="57" fillId="0" borderId="0" xfId="0" applyFont="1" applyFill="1" applyAlignment="1" applyProtection="1">
      <alignment horizontal="left" wrapText="1"/>
      <protection hidden="1"/>
    </xf>
    <xf numFmtId="0" fontId="0" fillId="0" borderId="10" xfId="0" applyFont="1" applyBorder="1" applyAlignment="1" applyProtection="1">
      <alignment vertical="center"/>
      <protection locked="0"/>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42" xfId="0" applyFont="1" applyFill="1" applyBorder="1" applyAlignment="1">
      <alignment horizontal="center"/>
    </xf>
    <xf numFmtId="0" fontId="9"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3" xfId="0" applyFont="1" applyFill="1" applyBorder="1" applyAlignment="1">
      <alignment horizontal="center" vertical="center" wrapText="1"/>
    </xf>
    <xf numFmtId="0" fontId="26" fillId="2" borderId="30" xfId="79" applyFont="1" applyFill="1" applyBorder="1" applyAlignment="1">
      <alignment horizontal="center" vertical="top" wrapText="1"/>
    </xf>
    <xf numFmtId="0" fontId="26" fillId="2" borderId="49" xfId="79" applyFont="1" applyFill="1" applyBorder="1" applyAlignment="1">
      <alignment horizontal="center" vertical="top" wrapText="1"/>
    </xf>
    <xf numFmtId="0" fontId="26" fillId="2" borderId="2" xfId="79" applyFont="1" applyFill="1" applyBorder="1" applyAlignment="1">
      <alignment horizontal="center" vertical="top" wrapText="1"/>
    </xf>
    <xf numFmtId="0" fontId="26" fillId="2" borderId="30" xfId="79" applyFont="1" applyFill="1" applyBorder="1" applyAlignment="1">
      <alignment horizontal="left" vertical="top" wrapText="1"/>
    </xf>
    <xf numFmtId="0" fontId="26" fillId="2" borderId="49" xfId="79" applyFont="1" applyFill="1" applyBorder="1" applyAlignment="1">
      <alignment horizontal="left" vertical="top" wrapText="1"/>
    </xf>
    <xf numFmtId="0" fontId="26" fillId="2" borderId="2" xfId="79" applyFont="1" applyFill="1" applyBorder="1" applyAlignment="1">
      <alignment horizontal="left" vertical="top" wrapText="1"/>
    </xf>
    <xf numFmtId="164" fontId="26" fillId="2" borderId="30" xfId="79" applyNumberFormat="1" applyFont="1" applyFill="1" applyBorder="1" applyAlignment="1">
      <alignment horizontal="center" vertical="top" wrapText="1"/>
    </xf>
    <xf numFmtId="164" fontId="26" fillId="2" borderId="49" xfId="79" applyNumberFormat="1" applyFont="1" applyFill="1" applyBorder="1" applyAlignment="1">
      <alignment horizontal="center" vertical="top" wrapText="1"/>
    </xf>
    <xf numFmtId="164" fontId="26" fillId="2" borderId="2" xfId="79" applyNumberFormat="1" applyFont="1" applyFill="1" applyBorder="1" applyAlignment="1">
      <alignment horizontal="center" vertical="top" wrapText="1"/>
    </xf>
    <xf numFmtId="2" fontId="26" fillId="2" borderId="30" xfId="79" applyNumberFormat="1" applyFont="1" applyFill="1" applyBorder="1" applyAlignment="1">
      <alignment horizontal="center" vertical="top" wrapText="1"/>
    </xf>
    <xf numFmtId="2" fontId="26" fillId="2" borderId="49" xfId="79" applyNumberFormat="1" applyFont="1" applyFill="1" applyBorder="1" applyAlignment="1">
      <alignment horizontal="center" vertical="top" wrapText="1"/>
    </xf>
    <xf numFmtId="2" fontId="26" fillId="2" borderId="2" xfId="79" applyNumberFormat="1" applyFont="1" applyFill="1" applyBorder="1" applyAlignment="1">
      <alignment horizontal="center" vertical="top" wrapText="1"/>
    </xf>
    <xf numFmtId="0" fontId="26" fillId="0" borderId="30" xfId="79" applyFont="1" applyFill="1" applyBorder="1" applyAlignment="1">
      <alignment horizontal="center" vertical="top" wrapText="1"/>
    </xf>
    <xf numFmtId="0" fontId="26" fillId="0" borderId="49" xfId="79" applyFont="1" applyFill="1" applyBorder="1" applyAlignment="1">
      <alignment horizontal="center" vertical="top" wrapText="1"/>
    </xf>
    <xf numFmtId="0" fontId="26" fillId="0" borderId="2" xfId="79" applyFont="1" applyFill="1" applyBorder="1" applyAlignment="1">
      <alignment horizontal="center" vertical="top" wrapText="1"/>
    </xf>
    <xf numFmtId="164" fontId="26" fillId="0" borderId="30" xfId="79" applyNumberFormat="1" applyFont="1" applyFill="1" applyBorder="1" applyAlignment="1">
      <alignment horizontal="center" vertical="top" wrapText="1"/>
    </xf>
    <xf numFmtId="164" fontId="26" fillId="0" borderId="49" xfId="79" applyNumberFormat="1" applyFont="1" applyFill="1" applyBorder="1" applyAlignment="1">
      <alignment horizontal="center" vertical="top" wrapText="1"/>
    </xf>
    <xf numFmtId="164" fontId="26" fillId="0" borderId="2" xfId="79"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7" fillId="2" borderId="23" xfId="0" applyFont="1" applyFill="1" applyBorder="1" applyAlignment="1" applyProtection="1">
      <alignment horizontal="center" vertical="center"/>
      <protection hidden="1"/>
    </xf>
    <xf numFmtId="0" fontId="17" fillId="2" borderId="42" xfId="0" applyFont="1" applyFill="1" applyBorder="1" applyAlignment="1" applyProtection="1">
      <alignment horizontal="center" vertical="center"/>
      <protection hidden="1"/>
    </xf>
    <xf numFmtId="0" fontId="11" fillId="2" borderId="54"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32" xfId="0" applyFont="1" applyFill="1" applyBorder="1" applyAlignment="1" applyProtection="1">
      <alignment horizontal="left" vertical="center" wrapText="1"/>
      <protection locked="0"/>
    </xf>
    <xf numFmtId="0" fontId="15" fillId="2" borderId="54" xfId="0" applyFont="1" applyFill="1" applyBorder="1" applyAlignment="1" applyProtection="1">
      <alignment horizontal="left" vertical="center"/>
      <protection locked="0"/>
    </xf>
    <xf numFmtId="0" fontId="15" fillId="2" borderId="32" xfId="0" applyFont="1" applyFill="1" applyBorder="1" applyAlignment="1" applyProtection="1">
      <alignment horizontal="left" vertical="center"/>
      <protection locked="0"/>
    </xf>
    <xf numFmtId="0" fontId="24" fillId="0" borderId="18" xfId="3" applyFont="1" applyFill="1" applyBorder="1" applyAlignment="1" applyProtection="1">
      <alignment horizontal="center"/>
      <protection hidden="1"/>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5" fillId="0" borderId="0" xfId="3" applyFont="1" applyFill="1" applyBorder="1" applyAlignment="1" applyProtection="1">
      <alignment horizontal="center" vertical="center" wrapText="1"/>
      <protection hidden="1"/>
    </xf>
    <xf numFmtId="0" fontId="22" fillId="0" borderId="18" xfId="3" applyFont="1" applyFill="1" applyBorder="1" applyAlignment="1" applyProtection="1">
      <alignment horizontal="center" wrapText="1"/>
      <protection hidden="1"/>
    </xf>
    <xf numFmtId="49" fontId="15" fillId="2" borderId="54" xfId="0" applyNumberFormat="1" applyFont="1" applyFill="1" applyBorder="1" applyAlignment="1" applyProtection="1">
      <alignment horizontal="left" vertical="center"/>
      <protection locked="0"/>
    </xf>
    <xf numFmtId="49" fontId="15" fillId="2" borderId="1" xfId="0" applyNumberFormat="1" applyFont="1" applyFill="1" applyBorder="1" applyAlignment="1" applyProtection="1">
      <alignment horizontal="left" vertical="center"/>
      <protection locked="0"/>
    </xf>
    <xf numFmtId="49" fontId="15" fillId="2" borderId="32" xfId="0" applyNumberFormat="1" applyFont="1" applyFill="1" applyBorder="1" applyAlignment="1" applyProtection="1">
      <alignment horizontal="left" vertical="center"/>
      <protection locked="0"/>
    </xf>
    <xf numFmtId="0" fontId="15" fillId="2" borderId="54"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2" borderId="32"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9" fillId="2" borderId="18" xfId="0" applyFont="1" applyFill="1" applyBorder="1" applyAlignment="1" applyProtection="1">
      <alignment horizontal="center" wrapText="1"/>
      <protection hidden="1"/>
    </xf>
    <xf numFmtId="0" fontId="89" fillId="2" borderId="54" xfId="3" applyFont="1" applyFill="1" applyBorder="1" applyAlignment="1" applyProtection="1">
      <alignment horizontal="left" vertical="center" wrapText="1"/>
      <protection locked="0"/>
    </xf>
    <xf numFmtId="0" fontId="90" fillId="2" borderId="1" xfId="0" applyFont="1" applyFill="1" applyBorder="1" applyAlignment="1" applyProtection="1">
      <alignment horizontal="left" vertical="center" wrapText="1"/>
      <protection locked="0"/>
    </xf>
    <xf numFmtId="0" fontId="90" fillId="2" borderId="32" xfId="0" applyFont="1" applyFill="1" applyBorder="1" applyAlignment="1" applyProtection="1">
      <alignment horizontal="left" vertical="center" wrapText="1"/>
      <protection locked="0"/>
    </xf>
    <xf numFmtId="0" fontId="14" fillId="2" borderId="1" xfId="0" applyFont="1" applyFill="1" applyBorder="1" applyAlignment="1" applyProtection="1">
      <alignment horizontal="left" wrapText="1"/>
      <protection hidden="1"/>
    </xf>
    <xf numFmtId="0" fontId="87" fillId="2" borderId="54" xfId="3" applyFont="1" applyFill="1" applyBorder="1" applyAlignment="1" applyProtection="1">
      <alignment horizontal="left" vertical="center"/>
      <protection locked="0" hidden="1"/>
    </xf>
    <xf numFmtId="0" fontId="87" fillId="2" borderId="1" xfId="3" applyFont="1" applyFill="1" applyBorder="1" applyAlignment="1" applyProtection="1">
      <alignment horizontal="left" vertical="center"/>
      <protection locked="0" hidden="1"/>
    </xf>
    <xf numFmtId="0" fontId="87" fillId="2" borderId="32" xfId="3" applyFont="1" applyFill="1" applyBorder="1" applyAlignment="1" applyProtection="1">
      <alignment horizontal="left" vertical="center"/>
      <protection locked="0" hidden="1"/>
    </xf>
    <xf numFmtId="0" fontId="14" fillId="2" borderId="18" xfId="0" applyFont="1" applyFill="1" applyBorder="1" applyAlignment="1" applyProtection="1">
      <alignment horizontal="center" vertical="top" wrapText="1"/>
      <protection hidden="1"/>
    </xf>
    <xf numFmtId="0" fontId="14" fillId="2" borderId="37"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4"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32"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protection locked="0"/>
    </xf>
    <xf numFmtId="0" fontId="15" fillId="2" borderId="18" xfId="0" applyFont="1" applyFill="1" applyBorder="1" applyAlignment="1" applyProtection="1">
      <alignment horizontal="left" vertical="center"/>
      <protection locked="0"/>
    </xf>
    <xf numFmtId="0" fontId="15" fillId="2" borderId="27" xfId="0" applyFont="1" applyFill="1" applyBorder="1" applyAlignment="1" applyProtection="1">
      <alignment horizontal="left" vertical="center"/>
      <protection locked="0"/>
    </xf>
    <xf numFmtId="0" fontId="14" fillId="2" borderId="0" xfId="0" applyFont="1" applyFill="1" applyBorder="1" applyAlignment="1" applyProtection="1">
      <alignment horizontal="center" vertical="center" wrapText="1"/>
      <protection hidden="1"/>
    </xf>
    <xf numFmtId="0" fontId="15" fillId="2" borderId="57"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26"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protection locked="0"/>
    </xf>
    <xf numFmtId="0" fontId="25" fillId="0" borderId="19" xfId="3" applyFont="1" applyFill="1" applyBorder="1" applyAlignment="1" applyProtection="1">
      <alignment horizontal="center" vertical="center" wrapText="1"/>
      <protection hidden="1"/>
    </xf>
    <xf numFmtId="0" fontId="25" fillId="2" borderId="0" xfId="3" applyFont="1" applyFill="1" applyBorder="1" applyAlignment="1" applyProtection="1">
      <alignment horizontal="center" vertical="center" wrapText="1"/>
      <protection hidden="1"/>
    </xf>
    <xf numFmtId="0" fontId="88" fillId="0" borderId="25" xfId="3" applyFont="1" applyFill="1" applyBorder="1" applyAlignment="1" applyProtection="1">
      <alignment horizontal="left" vertical="center"/>
      <protection hidden="1"/>
    </xf>
    <xf numFmtId="0" fontId="88" fillId="0" borderId="18" xfId="3" applyFont="1" applyFill="1" applyBorder="1" applyAlignment="1" applyProtection="1">
      <alignment horizontal="left" vertical="center"/>
      <protection hidden="1"/>
    </xf>
    <xf numFmtId="0" fontId="88" fillId="0" borderId="27" xfId="3" applyFont="1" applyFill="1" applyBorder="1" applyAlignment="1" applyProtection="1">
      <alignment horizontal="left" vertical="center"/>
      <protection hidden="1"/>
    </xf>
    <xf numFmtId="0" fontId="14" fillId="2" borderId="18" xfId="0" applyFont="1" applyFill="1" applyBorder="1" applyAlignment="1" applyProtection="1">
      <alignment horizontal="left" wrapText="1"/>
      <protection hidden="1"/>
    </xf>
    <xf numFmtId="0" fontId="87" fillId="0" borderId="55" xfId="0" applyNumberFormat="1" applyFont="1" applyBorder="1" applyAlignment="1" applyProtection="1">
      <alignment horizontal="left"/>
      <protection locked="0"/>
    </xf>
    <xf numFmtId="0" fontId="87" fillId="0" borderId="56" xfId="0" applyNumberFormat="1" applyFont="1" applyBorder="1" applyAlignment="1" applyProtection="1">
      <alignment horizontal="left"/>
      <protection locked="0"/>
    </xf>
    <xf numFmtId="0" fontId="87" fillId="0" borderId="11" xfId="0" applyNumberFormat="1" applyFont="1" applyBorder="1" applyAlignment="1" applyProtection="1">
      <alignment horizontal="left"/>
      <protection locked="0"/>
    </xf>
    <xf numFmtId="165" fontId="14" fillId="2" borderId="25" xfId="0" applyNumberFormat="1" applyFont="1" applyFill="1" applyBorder="1" applyAlignment="1" applyProtection="1">
      <alignment horizontal="center" wrapText="1"/>
      <protection locked="0"/>
    </xf>
    <xf numFmtId="165" fontId="14" fillId="2" borderId="27"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49" fontId="15" fillId="2" borderId="54"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32" xfId="0" applyNumberFormat="1" applyFont="1" applyFill="1" applyBorder="1" applyAlignment="1" applyProtection="1">
      <alignment horizontal="left" vertical="center" wrapText="1"/>
      <protection locked="0"/>
    </xf>
    <xf numFmtId="0" fontId="50" fillId="2" borderId="33" xfId="3" applyFont="1" applyFill="1" applyBorder="1" applyAlignment="1" applyProtection="1">
      <alignment horizontal="center" vertical="center"/>
      <protection hidden="1"/>
    </xf>
    <xf numFmtId="0" fontId="50" fillId="2" borderId="0" xfId="3" applyFont="1" applyFill="1" applyBorder="1" applyAlignment="1" applyProtection="1">
      <alignment horizontal="center" vertical="center"/>
      <protection hidden="1"/>
    </xf>
    <xf numFmtId="0" fontId="12" fillId="0" borderId="53" xfId="0" applyFont="1" applyBorder="1" applyAlignment="1" applyProtection="1">
      <alignment horizontal="left" vertical="center" wrapText="1"/>
      <protection hidden="1"/>
    </xf>
    <xf numFmtId="0" fontId="6" fillId="0" borderId="0" xfId="0" applyFont="1" applyAlignment="1" applyProtection="1">
      <alignment horizontal="center" wrapText="1"/>
      <protection hidden="1"/>
    </xf>
    <xf numFmtId="0" fontId="22" fillId="2" borderId="0" xfId="3"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8"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30" xfId="0" applyBorder="1" applyAlignment="1" applyProtection="1">
      <alignment horizontal="left" vertical="center" wrapText="1"/>
      <protection locked="0" hidden="1"/>
    </xf>
    <xf numFmtId="0" fontId="0" fillId="0" borderId="10" xfId="0" applyFont="1" applyBorder="1" applyAlignment="1" applyProtection="1">
      <alignment vertical="center" wrapText="1"/>
      <protection locked="0" hidden="1"/>
    </xf>
    <xf numFmtId="0" fontId="0" fillId="2" borderId="26" xfId="0" applyFont="1" applyFill="1" applyBorder="1" applyAlignment="1" applyProtection="1">
      <alignment horizontal="left" vertical="center" wrapText="1"/>
      <protection locked="0" hidden="1"/>
    </xf>
    <xf numFmtId="0" fontId="0" fillId="2" borderId="37" xfId="0" applyFont="1" applyFill="1" applyBorder="1" applyAlignment="1" applyProtection="1">
      <alignment horizontal="left" vertical="center" wrapText="1"/>
      <protection locked="0" hidden="1"/>
    </xf>
    <xf numFmtId="0" fontId="0" fillId="2" borderId="10" xfId="0" applyFill="1" applyBorder="1" applyAlignment="1" applyProtection="1">
      <alignment horizontal="left" vertical="center" wrapText="1"/>
      <protection locked="0"/>
    </xf>
    <xf numFmtId="0" fontId="0" fillId="2" borderId="37"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7" xfId="0" applyFont="1" applyBorder="1" applyAlignment="1" applyProtection="1">
      <alignment wrapText="1"/>
      <protection locked="0"/>
    </xf>
    <xf numFmtId="0" fontId="0" fillId="0" borderId="10" xfId="0" applyFont="1" applyBorder="1" applyAlignment="1" applyProtection="1">
      <alignment horizontal="left" vertical="center"/>
      <protection locked="0" hidden="1"/>
    </xf>
    <xf numFmtId="0" fontId="91" fillId="2" borderId="10" xfId="0" applyFont="1" applyFill="1" applyBorder="1" applyAlignment="1" applyProtection="1">
      <alignment horizontal="left" vertical="center"/>
      <protection locked="0" hidden="1"/>
    </xf>
    <xf numFmtId="0" fontId="91" fillId="0" borderId="10" xfId="0" applyFont="1" applyBorder="1" applyAlignment="1" applyProtection="1">
      <protection locked="0"/>
    </xf>
    <xf numFmtId="0" fontId="91" fillId="0" borderId="10" xfId="0" applyFont="1" applyBorder="1" applyAlignment="1" applyProtection="1">
      <alignment vertical="center"/>
      <protection locked="0"/>
    </xf>
    <xf numFmtId="0" fontId="6" fillId="0" borderId="30" xfId="96" applyBorder="1" applyAlignment="1" applyProtection="1">
      <alignment horizontal="left" vertical="center"/>
      <protection locked="0" hidden="1"/>
    </xf>
    <xf numFmtId="0" fontId="6" fillId="0" borderId="10" xfId="96" applyBorder="1" applyAlignment="1" applyProtection="1">
      <protection locked="0"/>
    </xf>
    <xf numFmtId="0" fontId="6" fillId="0" borderId="0" xfId="96" applyAlignment="1" applyProtection="1">
      <protection locked="0"/>
    </xf>
    <xf numFmtId="0" fontId="6" fillId="0" borderId="47" xfId="96" applyBorder="1" applyAlignment="1" applyProtection="1">
      <protection locked="0"/>
    </xf>
    <xf numFmtId="0" fontId="0" fillId="2" borderId="37" xfId="0" applyFill="1" applyBorder="1" applyAlignment="1" applyProtection="1">
      <alignment horizontal="left" vertical="center"/>
      <protection locked="0" hidden="1"/>
    </xf>
    <xf numFmtId="0" fontId="15" fillId="2" borderId="13" xfId="96" applyFont="1" applyFill="1" applyBorder="1" applyAlignment="1" applyProtection="1">
      <alignment wrapText="1"/>
      <protection locked="0" hidden="1"/>
    </xf>
    <xf numFmtId="0" fontId="15" fillId="2" borderId="37" xfId="96" applyFont="1" applyFill="1" applyBorder="1" applyAlignment="1" applyProtection="1">
      <alignment horizontal="left" vertical="center"/>
      <protection locked="0"/>
    </xf>
    <xf numFmtId="0" fontId="15" fillId="2" borderId="26" xfId="96" applyFont="1" applyFill="1" applyBorder="1" applyAlignment="1" applyProtection="1">
      <alignment horizontal="left" vertical="center"/>
      <protection locked="0"/>
    </xf>
    <xf numFmtId="0" fontId="15" fillId="2" borderId="48" xfId="96" applyFont="1" applyFill="1" applyBorder="1" applyAlignment="1" applyProtection="1">
      <alignment horizontal="left" vertical="center" wrapText="1"/>
      <protection locked="0"/>
    </xf>
    <xf numFmtId="0" fontId="6" fillId="2" borderId="13" xfId="97" applyFont="1" applyFill="1" applyBorder="1" applyAlignment="1" applyProtection="1">
      <protection locked="0" hidden="1"/>
    </xf>
    <xf numFmtId="0" fontId="6" fillId="0" borderId="10" xfId="96" applyBorder="1" applyAlignment="1" applyProtection="1">
      <alignment horizontal="left" vertical="center"/>
      <protection locked="0" hidden="1"/>
    </xf>
    <xf numFmtId="0" fontId="15" fillId="2" borderId="13" xfId="96" applyFont="1" applyFill="1" applyBorder="1" applyAlignment="1" applyProtection="1">
      <protection locked="0" hidden="1"/>
    </xf>
    <xf numFmtId="0" fontId="67" fillId="0" borderId="10" xfId="96" applyFont="1" applyBorder="1" applyAlignment="1" applyProtection="1">
      <alignment horizontal="left" vertical="center" wrapText="1"/>
      <protection locked="0"/>
    </xf>
    <xf numFmtId="0" fontId="67" fillId="0" borderId="10" xfId="96" applyFont="1" applyFill="1" applyBorder="1" applyAlignment="1" applyProtection="1">
      <alignment horizontal="left" vertical="center" wrapText="1"/>
      <protection locked="0"/>
    </xf>
    <xf numFmtId="0" fontId="6" fillId="9" borderId="30" xfId="96" applyFill="1" applyBorder="1" applyAlignment="1" applyProtection="1">
      <alignment horizontal="left" vertical="center"/>
      <protection locked="0" hidden="1"/>
    </xf>
    <xf numFmtId="0" fontId="92" fillId="0" borderId="10" xfId="96" applyFont="1" applyBorder="1" applyAlignment="1" applyProtection="1">
      <alignment horizontal="left" vertical="center"/>
      <protection locked="0" hidden="1"/>
    </xf>
    <xf numFmtId="0" fontId="92" fillId="0" borderId="10" xfId="98" applyFont="1" applyBorder="1" applyAlignment="1" applyProtection="1">
      <alignment horizontal="left" vertical="center"/>
      <protection locked="0" hidden="1"/>
    </xf>
    <xf numFmtId="49" fontId="92" fillId="0" borderId="10" xfId="96" applyNumberFormat="1" applyFont="1" applyBorder="1" applyAlignment="1" applyProtection="1">
      <alignment horizontal="left" vertical="center" wrapText="1"/>
      <protection locked="0"/>
    </xf>
    <xf numFmtId="0" fontId="0" fillId="0" borderId="10" xfId="0" quotePrefix="1" applyFont="1" applyBorder="1" applyProtection="1">
      <protection locked="0"/>
    </xf>
  </cellXfs>
  <cellStyles count="99">
    <cellStyle name="Bad 2" xfId="1"/>
    <cellStyle name="Excel Built-in Normal" xfId="2"/>
    <cellStyle name="Hyperlink" xfId="3" builtinId="8"/>
    <cellStyle name="Hyperlink 2" xfId="4"/>
    <cellStyle name="Hyperlink 3" xfId="5"/>
    <cellStyle name="Hyperlink 4" xfId="6"/>
    <cellStyle name="Hyperlink 5" xfId="7"/>
    <cellStyle name="Hyperlink 5 2" xfId="8"/>
    <cellStyle name="Hyperlink 6" xfId="9"/>
    <cellStyle name="Hyperlink 7" xfId="10"/>
    <cellStyle name="Normal 10" xfId="11"/>
    <cellStyle name="Normal 100" xfId="12"/>
    <cellStyle name="Normal 118" xfId="13"/>
    <cellStyle name="Normal 12" xfId="14"/>
    <cellStyle name="Normal 13" xfId="15"/>
    <cellStyle name="Normal 13 2" xfId="16"/>
    <cellStyle name="Normal 13 2 2" xfId="17"/>
    <cellStyle name="Normal 13 2 2 2" xfId="18"/>
    <cellStyle name="Normal 13 2 3" xfId="19"/>
    <cellStyle name="Normal 13 3" xfId="20"/>
    <cellStyle name="Normal 13 3 2" xfId="21"/>
    <cellStyle name="Normal 13 4" xfId="22"/>
    <cellStyle name="Normal 15" xfId="23"/>
    <cellStyle name="Normal 16" xfId="24"/>
    <cellStyle name="Normal 17" xfId="25"/>
    <cellStyle name="Normal 19" xfId="26"/>
    <cellStyle name="Normal 2" xfId="27"/>
    <cellStyle name="Normal 2 2" xfId="28"/>
    <cellStyle name="Normal 2 2 2" xfId="29"/>
    <cellStyle name="Normal 2 2 3" xfId="30"/>
    <cellStyle name="Normal 2 3" xfId="31"/>
    <cellStyle name="Normal 2 3 2" xfId="32"/>
    <cellStyle name="Normal 2 4" xfId="33"/>
    <cellStyle name="Normal 2 4 2" xfId="34"/>
    <cellStyle name="Normal 2 5" xfId="35"/>
    <cellStyle name="Normal 23" xfId="36"/>
    <cellStyle name="Normal 3" xfId="37"/>
    <cellStyle name="Normal 3 2" xfId="38"/>
    <cellStyle name="Normal 3 2 11" xfId="39"/>
    <cellStyle name="Normal 3 3" xfId="40"/>
    <cellStyle name="Normal 3 4" xfId="41"/>
    <cellStyle name="Normal 3 5" xfId="98"/>
    <cellStyle name="Normal 3 8" xfId="42"/>
    <cellStyle name="Normal 3 8 2" xfId="43"/>
    <cellStyle name="Normal 3 8 2 2" xfId="44"/>
    <cellStyle name="Normal 3 8 3" xfId="45"/>
    <cellStyle name="Normal 4" xfId="46"/>
    <cellStyle name="Normal 4 2" xfId="47"/>
    <cellStyle name="Normal 4 3" xfId="48"/>
    <cellStyle name="Normal 4 4" xfId="49"/>
    <cellStyle name="Normal 416" xfId="50"/>
    <cellStyle name="Normal 417" xfId="51"/>
    <cellStyle name="Normal 428" xfId="52"/>
    <cellStyle name="Normal 429" xfId="53"/>
    <cellStyle name="Normal 486" xfId="54"/>
    <cellStyle name="Normal 487" xfId="55"/>
    <cellStyle name="Normal 489" xfId="56"/>
    <cellStyle name="Normal 490" xfId="57"/>
    <cellStyle name="Normal 5" xfId="58"/>
    <cellStyle name="Normal 5 2" xfId="59"/>
    <cellStyle name="Normal 5 3" xfId="60"/>
    <cellStyle name="Normal 506" xfId="61"/>
    <cellStyle name="Normal 516" xfId="62"/>
    <cellStyle name="Normal 517" xfId="63"/>
    <cellStyle name="Normal 53" xfId="64"/>
    <cellStyle name="Normal 54" xfId="65"/>
    <cellStyle name="Normal 542" xfId="66"/>
    <cellStyle name="Normal 543" xfId="67"/>
    <cellStyle name="Normal 544" xfId="68"/>
    <cellStyle name="Normal 547" xfId="69"/>
    <cellStyle name="Normal 548" xfId="70"/>
    <cellStyle name="Normal 550" xfId="71"/>
    <cellStyle name="Normal 571" xfId="72"/>
    <cellStyle name="Normal 572" xfId="73"/>
    <cellStyle name="Normal 6" xfId="74"/>
    <cellStyle name="Normal 6 2" xfId="75"/>
    <cellStyle name="Normal 6 3" xfId="76"/>
    <cellStyle name="Normal 7" xfId="77"/>
    <cellStyle name="Normal 7 2" xfId="78"/>
    <cellStyle name="Normal_Sheet1" xfId="79"/>
    <cellStyle name="Standard" xfId="0" builtinId="0"/>
    <cellStyle name="Standard 3" xfId="80"/>
    <cellStyle name="Standard 4" xfId="81"/>
    <cellStyle name="Standard 4 2" xfId="82"/>
    <cellStyle name="Standard 4 2 2" xfId="83"/>
    <cellStyle name="Standard 4 2 2 2" xfId="84"/>
    <cellStyle name="Standard 4 2 3" xfId="85"/>
    <cellStyle name="Standard 4 3" xfId="86"/>
    <cellStyle name="Standard 4 3 2" xfId="87"/>
    <cellStyle name="Standard 4 4" xfId="88"/>
    <cellStyle name="Standard 6" xfId="89"/>
    <cellStyle name="표준 2" xfId="90"/>
    <cellStyle name="一般" xfId="96"/>
    <cellStyle name="一般 7" xfId="91"/>
    <cellStyle name="標準 2" xfId="92"/>
    <cellStyle name="標準 2 2" xfId="93"/>
    <cellStyle name="標準 2 3" xfId="94"/>
    <cellStyle name="標準_Sheet1" xfId="95"/>
    <cellStyle name="標準_Sheet1 2" xfId="97"/>
  </cellStyles>
  <dxfs count="139">
    <dxf>
      <fill>
        <patternFill>
          <bgColor rgb="FFFFFF00"/>
        </patternFill>
      </fill>
    </dxf>
    <dxf>
      <fill>
        <patternFill>
          <bgColor rgb="FFFFFF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indexed="10"/>
      </font>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2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2924175</xdr:colOff>
      <xdr:row>1</xdr:row>
      <xdr:rowOff>38100</xdr:rowOff>
    </xdr:from>
    <xdr:to>
      <xdr:col>5</xdr:col>
      <xdr:colOff>3714750</xdr:colOff>
      <xdr:row>5</xdr:row>
      <xdr:rowOff>142875</xdr:rowOff>
    </xdr:to>
    <xdr:pic>
      <xdr:nvPicPr>
        <xdr:cNvPr id="46131"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0" y="20955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8143875</xdr:colOff>
      <xdr:row>0</xdr:row>
      <xdr:rowOff>104775</xdr:rowOff>
    </xdr:from>
    <xdr:to>
      <xdr:col>0</xdr:col>
      <xdr:colOff>9296400</xdr:colOff>
      <xdr:row>0</xdr:row>
      <xdr:rowOff>1343025</xdr:rowOff>
    </xdr:to>
    <xdr:pic>
      <xdr:nvPicPr>
        <xdr:cNvPr id="10231"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3875" y="104775"/>
          <a:ext cx="1152525"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7219950</xdr:colOff>
      <xdr:row>1</xdr:row>
      <xdr:rowOff>66675</xdr:rowOff>
    </xdr:from>
    <xdr:to>
      <xdr:col>2</xdr:col>
      <xdr:colOff>7943850</xdr:colOff>
      <xdr:row>1</xdr:row>
      <xdr:rowOff>847725</xdr:rowOff>
    </xdr:to>
    <xdr:pic>
      <xdr:nvPicPr>
        <xdr:cNvPr id="12278"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8875" y="238125"/>
          <a:ext cx="7239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1</xdr:row>
      <xdr:rowOff>438150</xdr:rowOff>
    </xdr:from>
    <xdr:to>
      <xdr:col>1</xdr:col>
      <xdr:colOff>2505075</xdr:colOff>
      <xdr:row>2</xdr:row>
      <xdr:rowOff>1238250</xdr:rowOff>
    </xdr:to>
    <xdr:pic>
      <xdr:nvPicPr>
        <xdr:cNvPr id="15151"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638175"/>
          <a:ext cx="18383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1</xdr:row>
      <xdr:rowOff>190500</xdr:rowOff>
    </xdr:from>
    <xdr:to>
      <xdr:col>7</xdr:col>
      <xdr:colOff>257175</xdr:colOff>
      <xdr:row>2</xdr:row>
      <xdr:rowOff>1304925</xdr:rowOff>
    </xdr:to>
    <xdr:pic>
      <xdr:nvPicPr>
        <xdr:cNvPr id="47161"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72850" y="361950"/>
          <a:ext cx="137160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0</xdr:row>
      <xdr:rowOff>95250</xdr:rowOff>
    </xdr:from>
    <xdr:to>
      <xdr:col>13</xdr:col>
      <xdr:colOff>57150</xdr:colOff>
      <xdr:row>3</xdr:row>
      <xdr:rowOff>38100</xdr:rowOff>
    </xdr:to>
    <xdr:pic>
      <xdr:nvPicPr>
        <xdr:cNvPr id="7166"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95250"/>
          <a:ext cx="723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323850</xdr:rowOff>
    </xdr:from>
    <xdr:to>
      <xdr:col>1</xdr:col>
      <xdr:colOff>485775</xdr:colOff>
      <xdr:row>3</xdr:row>
      <xdr:rowOff>95250</xdr:rowOff>
    </xdr:to>
    <xdr:pic>
      <xdr:nvPicPr>
        <xdr:cNvPr id="48179"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323850"/>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dvantech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ntoni/AppData/Local/Microsoft/Windows/Temporary%20Internet%20Files/Content.IE5/TJGGGV7B/(NECDS)%20CFSI_CMRT4-10_MNC1_J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Reference List"/>
      <sheetName val="L"/>
      <sheetName val="C"/>
    </sheetNames>
    <sheetDataSet>
      <sheetData sheetId="0" refreshError="1"/>
      <sheetData sheetId="1" refreshError="1"/>
      <sheetData sheetId="2" refreshError="1"/>
      <sheetData sheetId="3" refreshError="1"/>
      <sheetData sheetId="4">
        <row r="4">
          <cell r="U4" t="str">
            <v>Smelter Not Listed</v>
          </cell>
        </row>
        <row r="5">
          <cell r="S5">
            <v>7</v>
          </cell>
        </row>
        <row r="6">
          <cell r="S6">
            <v>10</v>
          </cell>
        </row>
        <row r="7">
          <cell r="S7">
            <v>12</v>
          </cell>
        </row>
        <row r="8">
          <cell r="S8">
            <v>13</v>
          </cell>
        </row>
        <row r="9">
          <cell r="S9">
            <v>15</v>
          </cell>
        </row>
        <row r="10">
          <cell r="S10">
            <v>18</v>
          </cell>
        </row>
        <row r="11">
          <cell r="S11">
            <v>19</v>
          </cell>
        </row>
        <row r="12">
          <cell r="S12">
            <v>22</v>
          </cell>
        </row>
        <row r="13">
          <cell r="S13">
            <v>27</v>
          </cell>
        </row>
        <row r="14">
          <cell r="S14">
            <v>29</v>
          </cell>
        </row>
        <row r="15">
          <cell r="S15">
            <v>30</v>
          </cell>
        </row>
        <row r="16">
          <cell r="S16">
            <v>31</v>
          </cell>
        </row>
        <row r="17">
          <cell r="S17">
            <v>34</v>
          </cell>
        </row>
        <row r="18">
          <cell r="S18">
            <v>39</v>
          </cell>
        </row>
        <row r="19">
          <cell r="S19">
            <v>49</v>
          </cell>
        </row>
        <row r="20">
          <cell r="S20">
            <v>51</v>
          </cell>
        </row>
        <row r="21">
          <cell r="S21">
            <v>56</v>
          </cell>
        </row>
        <row r="22">
          <cell r="S22">
            <v>146</v>
          </cell>
        </row>
        <row r="23">
          <cell r="S23">
            <v>72</v>
          </cell>
        </row>
        <row r="24">
          <cell r="S24">
            <v>76</v>
          </cell>
        </row>
        <row r="25">
          <cell r="S25">
            <v>77</v>
          </cell>
        </row>
        <row r="26">
          <cell r="S26">
            <v>82</v>
          </cell>
        </row>
        <row r="27">
          <cell r="S27">
            <v>83</v>
          </cell>
        </row>
        <row r="28">
          <cell r="S28">
            <v>84</v>
          </cell>
        </row>
        <row r="29">
          <cell r="S29">
            <v>85</v>
          </cell>
        </row>
        <row r="30">
          <cell r="S30">
            <v>87</v>
          </cell>
        </row>
        <row r="31">
          <cell r="S31">
            <v>21</v>
          </cell>
        </row>
        <row r="32">
          <cell r="S32">
            <v>20</v>
          </cell>
        </row>
        <row r="33">
          <cell r="S33">
            <v>92</v>
          </cell>
        </row>
        <row r="34">
          <cell r="S34">
            <v>93</v>
          </cell>
        </row>
        <row r="35">
          <cell r="S35">
            <v>94</v>
          </cell>
        </row>
        <row r="36">
          <cell r="S36">
            <v>97</v>
          </cell>
        </row>
        <row r="37">
          <cell r="S37">
            <v>98</v>
          </cell>
        </row>
        <row r="38">
          <cell r="S38">
            <v>100</v>
          </cell>
        </row>
        <row r="39">
          <cell r="S39">
            <v>112</v>
          </cell>
        </row>
        <row r="40">
          <cell r="S40">
            <v>116</v>
          </cell>
        </row>
        <row r="41">
          <cell r="S41">
            <v>117</v>
          </cell>
        </row>
        <row r="42">
          <cell r="S42">
            <v>121</v>
          </cell>
        </row>
        <row r="43">
          <cell r="S43">
            <v>122</v>
          </cell>
        </row>
        <row r="44">
          <cell r="S44">
            <v>124</v>
          </cell>
        </row>
        <row r="45">
          <cell r="S45">
            <v>125</v>
          </cell>
        </row>
        <row r="46">
          <cell r="S46">
            <v>126</v>
          </cell>
        </row>
        <row r="47">
          <cell r="S47">
            <v>129</v>
          </cell>
        </row>
        <row r="48">
          <cell r="S48">
            <v>131</v>
          </cell>
        </row>
        <row r="49">
          <cell r="S49">
            <v>136</v>
          </cell>
        </row>
        <row r="50">
          <cell r="S50">
            <v>137</v>
          </cell>
        </row>
        <row r="51">
          <cell r="S51">
            <v>139</v>
          </cell>
        </row>
        <row r="52">
          <cell r="S52">
            <v>57</v>
          </cell>
        </row>
        <row r="53">
          <cell r="S53">
            <v>143</v>
          </cell>
        </row>
        <row r="54">
          <cell r="S54">
            <v>144</v>
          </cell>
        </row>
        <row r="55">
          <cell r="S55">
            <v>148</v>
          </cell>
        </row>
        <row r="56">
          <cell r="S56">
            <v>154</v>
          </cell>
        </row>
        <row r="57">
          <cell r="S57">
            <v>156</v>
          </cell>
        </row>
        <row r="58">
          <cell r="S58">
            <v>157</v>
          </cell>
        </row>
        <row r="59">
          <cell r="S59">
            <v>158</v>
          </cell>
        </row>
        <row r="60">
          <cell r="S60">
            <v>162</v>
          </cell>
        </row>
        <row r="61">
          <cell r="S61">
            <v>169</v>
          </cell>
        </row>
        <row r="62">
          <cell r="S62">
            <v>172</v>
          </cell>
        </row>
        <row r="63">
          <cell r="S63">
            <v>174</v>
          </cell>
        </row>
        <row r="64">
          <cell r="S64">
            <v>180</v>
          </cell>
        </row>
        <row r="65">
          <cell r="S65">
            <v>183</v>
          </cell>
        </row>
        <row r="66">
          <cell r="S66">
            <v>188</v>
          </cell>
        </row>
        <row r="67">
          <cell r="S67">
            <v>189</v>
          </cell>
        </row>
        <row r="68">
          <cell r="S68">
            <v>194</v>
          </cell>
        </row>
        <row r="69">
          <cell r="S69">
            <v>205</v>
          </cell>
        </row>
        <row r="70">
          <cell r="S70">
            <v>209</v>
          </cell>
        </row>
        <row r="71">
          <cell r="S71">
            <v>210</v>
          </cell>
        </row>
        <row r="72">
          <cell r="S72">
            <v>215</v>
          </cell>
        </row>
        <row r="73">
          <cell r="S73">
            <v>217</v>
          </cell>
        </row>
        <row r="74">
          <cell r="S74">
            <v>219</v>
          </cell>
        </row>
        <row r="75">
          <cell r="S75">
            <v>220</v>
          </cell>
        </row>
        <row r="76">
          <cell r="S76">
            <v>222</v>
          </cell>
        </row>
        <row r="77">
          <cell r="S77">
            <v>223</v>
          </cell>
        </row>
        <row r="78">
          <cell r="S78">
            <v>227</v>
          </cell>
        </row>
        <row r="79">
          <cell r="S79">
            <v>230</v>
          </cell>
        </row>
        <row r="80">
          <cell r="S80">
            <v>239</v>
          </cell>
        </row>
        <row r="81">
          <cell r="S81">
            <v>241</v>
          </cell>
        </row>
        <row r="82">
          <cell r="S82">
            <v>218</v>
          </cell>
        </row>
        <row r="83">
          <cell r="S83">
            <v>132</v>
          </cell>
        </row>
        <row r="84">
          <cell r="S84">
            <v>161</v>
          </cell>
        </row>
        <row r="85">
          <cell r="S85">
            <v>185</v>
          </cell>
        </row>
        <row r="86">
          <cell r="S86">
            <v>58</v>
          </cell>
        </row>
        <row r="87">
          <cell r="S87">
            <v>196</v>
          </cell>
        </row>
        <row r="88">
          <cell r="S88">
            <v>171</v>
          </cell>
        </row>
        <row r="89">
          <cell r="S89">
            <v>141</v>
          </cell>
        </row>
        <row r="90">
          <cell r="S90">
            <v>245</v>
          </cell>
        </row>
        <row r="91">
          <cell r="S91">
            <v>247</v>
          </cell>
        </row>
        <row r="92">
          <cell r="S92">
            <v>250</v>
          </cell>
        </row>
        <row r="93">
          <cell r="S93">
            <v>252</v>
          </cell>
        </row>
        <row r="94">
          <cell r="S94">
            <v>254</v>
          </cell>
        </row>
        <row r="95">
          <cell r="S95">
            <v>258</v>
          </cell>
        </row>
        <row r="96">
          <cell r="S96">
            <v>268</v>
          </cell>
        </row>
        <row r="97">
          <cell r="S97">
            <v>271</v>
          </cell>
        </row>
        <row r="98">
          <cell r="S98">
            <v>272</v>
          </cell>
        </row>
        <row r="99">
          <cell r="S99">
            <v>276</v>
          </cell>
        </row>
        <row r="100">
          <cell r="S100">
            <v>277</v>
          </cell>
        </row>
        <row r="101">
          <cell r="S101">
            <v>279</v>
          </cell>
        </row>
        <row r="102">
          <cell r="S102">
            <v>280</v>
          </cell>
        </row>
        <row r="103">
          <cell r="S103">
            <v>281</v>
          </cell>
        </row>
        <row r="104">
          <cell r="S104">
            <v>283</v>
          </cell>
        </row>
        <row r="105">
          <cell r="S105">
            <v>284</v>
          </cell>
        </row>
        <row r="106">
          <cell r="S106">
            <v>288</v>
          </cell>
        </row>
        <row r="107">
          <cell r="S107">
            <v>292</v>
          </cell>
        </row>
        <row r="108">
          <cell r="S108">
            <v>294</v>
          </cell>
        </row>
        <row r="109">
          <cell r="S109">
            <v>296</v>
          </cell>
        </row>
        <row r="110">
          <cell r="S110">
            <v>298</v>
          </cell>
        </row>
        <row r="111">
          <cell r="S111">
            <v>301</v>
          </cell>
        </row>
        <row r="112">
          <cell r="S112">
            <v>306</v>
          </cell>
        </row>
        <row r="113">
          <cell r="S113">
            <v>303</v>
          </cell>
        </row>
        <row r="114">
          <cell r="S114">
            <v>266</v>
          </cell>
        </row>
        <row r="115">
          <cell r="S115">
            <v>248</v>
          </cell>
        </row>
        <row r="116">
          <cell r="S116">
            <v>255</v>
          </cell>
        </row>
        <row r="117">
          <cell r="S117">
            <v>273</v>
          </cell>
        </row>
        <row r="118">
          <cell r="S118">
            <v>302</v>
          </cell>
        </row>
        <row r="119">
          <cell r="S119">
            <v>269</v>
          </cell>
        </row>
        <row r="120">
          <cell r="S120">
            <v>274</v>
          </cell>
        </row>
        <row r="121">
          <cell r="S121">
            <v>285</v>
          </cell>
        </row>
        <row r="122">
          <cell r="S122">
            <v>259</v>
          </cell>
        </row>
        <row r="123">
          <cell r="S123">
            <v>260</v>
          </cell>
        </row>
        <row r="124">
          <cell r="S124">
            <v>262</v>
          </cell>
        </row>
        <row r="125">
          <cell r="S125">
            <v>263</v>
          </cell>
        </row>
        <row r="126">
          <cell r="S126">
            <v>264</v>
          </cell>
        </row>
        <row r="127">
          <cell r="S127">
            <v>265</v>
          </cell>
        </row>
        <row r="128">
          <cell r="S128">
            <v>286</v>
          </cell>
        </row>
        <row r="129">
          <cell r="S129">
            <v>257</v>
          </cell>
        </row>
        <row r="130">
          <cell r="S130">
            <v>256</v>
          </cell>
        </row>
        <row r="131">
          <cell r="S131">
            <v>275</v>
          </cell>
        </row>
        <row r="132">
          <cell r="S132">
            <v>299</v>
          </cell>
        </row>
        <row r="133">
          <cell r="S133">
            <v>289</v>
          </cell>
        </row>
        <row r="134">
          <cell r="S134">
            <v>372</v>
          </cell>
        </row>
        <row r="135">
          <cell r="S135">
            <v>311</v>
          </cell>
        </row>
        <row r="136">
          <cell r="S136">
            <v>332</v>
          </cell>
        </row>
        <row r="137">
          <cell r="S137">
            <v>336</v>
          </cell>
        </row>
        <row r="138">
          <cell r="S138">
            <v>414</v>
          </cell>
        </row>
        <row r="139">
          <cell r="S139">
            <v>400</v>
          </cell>
        </row>
        <row r="140">
          <cell r="S140">
            <v>339</v>
          </cell>
        </row>
        <row r="141">
          <cell r="S141">
            <v>341</v>
          </cell>
        </row>
        <row r="142">
          <cell r="S142">
            <v>343</v>
          </cell>
        </row>
        <row r="143">
          <cell r="S143">
            <v>347</v>
          </cell>
        </row>
        <row r="144">
          <cell r="S144">
            <v>352</v>
          </cell>
        </row>
        <row r="145">
          <cell r="S145">
            <v>358</v>
          </cell>
        </row>
        <row r="146">
          <cell r="S146">
            <v>324</v>
          </cell>
        </row>
        <row r="147">
          <cell r="S147">
            <v>380</v>
          </cell>
        </row>
        <row r="148">
          <cell r="S148">
            <v>384</v>
          </cell>
        </row>
        <row r="149">
          <cell r="S149">
            <v>386</v>
          </cell>
        </row>
        <row r="150">
          <cell r="S150">
            <v>387</v>
          </cell>
        </row>
        <row r="151">
          <cell r="S151">
            <v>388</v>
          </cell>
        </row>
        <row r="152">
          <cell r="S152">
            <v>394</v>
          </cell>
        </row>
        <row r="153">
          <cell r="S153">
            <v>397</v>
          </cell>
        </row>
        <row r="154">
          <cell r="S154">
            <v>401</v>
          </cell>
        </row>
        <row r="155">
          <cell r="S155">
            <v>403</v>
          </cell>
        </row>
        <row r="156">
          <cell r="S156">
            <v>405</v>
          </cell>
        </row>
        <row r="157">
          <cell r="S157">
            <v>406</v>
          </cell>
        </row>
        <row r="158">
          <cell r="S158">
            <v>407</v>
          </cell>
        </row>
        <row r="159">
          <cell r="S159">
            <v>409</v>
          </cell>
        </row>
        <row r="160">
          <cell r="S160">
            <v>410</v>
          </cell>
        </row>
        <row r="161">
          <cell r="S161">
            <v>419</v>
          </cell>
        </row>
        <row r="162">
          <cell r="S162">
            <v>421</v>
          </cell>
        </row>
        <row r="163">
          <cell r="S163">
            <v>422</v>
          </cell>
        </row>
        <row r="164">
          <cell r="S164">
            <v>423</v>
          </cell>
        </row>
        <row r="165">
          <cell r="S165">
            <v>424</v>
          </cell>
        </row>
        <row r="166">
          <cell r="S166">
            <v>425</v>
          </cell>
        </row>
        <row r="167">
          <cell r="S167">
            <v>427</v>
          </cell>
        </row>
        <row r="168">
          <cell r="S168">
            <v>429</v>
          </cell>
        </row>
        <row r="169">
          <cell r="S169">
            <v>430</v>
          </cell>
        </row>
        <row r="170">
          <cell r="S170">
            <v>431</v>
          </cell>
        </row>
        <row r="171">
          <cell r="S171">
            <v>433</v>
          </cell>
        </row>
        <row r="172">
          <cell r="S172">
            <v>436</v>
          </cell>
        </row>
        <row r="173">
          <cell r="S173">
            <v>439</v>
          </cell>
        </row>
        <row r="174">
          <cell r="S174">
            <v>442</v>
          </cell>
        </row>
        <row r="175">
          <cell r="S175">
            <v>448</v>
          </cell>
        </row>
        <row r="176">
          <cell r="S176">
            <v>449</v>
          </cell>
        </row>
        <row r="177">
          <cell r="S177">
            <v>459</v>
          </cell>
        </row>
        <row r="178">
          <cell r="S178">
            <v>342</v>
          </cell>
        </row>
        <row r="179">
          <cell r="S179">
            <v>379</v>
          </cell>
        </row>
        <row r="180">
          <cell r="S180">
            <v>434</v>
          </cell>
        </row>
        <row r="181">
          <cell r="S181">
            <v>381</v>
          </cell>
        </row>
        <row r="182">
          <cell r="S182">
            <v>402</v>
          </cell>
        </row>
        <row r="183">
          <cell r="S183">
            <v>395</v>
          </cell>
        </row>
        <row r="184">
          <cell r="S184">
            <v>413</v>
          </cell>
        </row>
        <row r="185">
          <cell r="S185">
            <v>334</v>
          </cell>
        </row>
        <row r="186">
          <cell r="S186">
            <v>335</v>
          </cell>
        </row>
        <row r="187">
          <cell r="S187">
            <v>408</v>
          </cell>
        </row>
        <row r="188">
          <cell r="S188">
            <v>435</v>
          </cell>
        </row>
        <row r="189">
          <cell r="S189">
            <v>385</v>
          </cell>
        </row>
        <row r="190">
          <cell r="S190">
            <v>346</v>
          </cell>
        </row>
        <row r="191">
          <cell r="S191">
            <v>404</v>
          </cell>
        </row>
        <row r="192">
          <cell r="S192">
            <v>426</v>
          </cell>
        </row>
        <row r="193">
          <cell r="S193">
            <v>466</v>
          </cell>
        </row>
        <row r="194">
          <cell r="S194">
            <v>508</v>
          </cell>
        </row>
        <row r="195">
          <cell r="S195">
            <v>487</v>
          </cell>
        </row>
        <row r="196">
          <cell r="S196">
            <v>477</v>
          </cell>
        </row>
        <row r="197">
          <cell r="S197">
            <v>480</v>
          </cell>
        </row>
        <row r="198">
          <cell r="S198">
            <v>485</v>
          </cell>
        </row>
        <row r="199">
          <cell r="S199">
            <v>491</v>
          </cell>
        </row>
        <row r="200">
          <cell r="S200">
            <v>494</v>
          </cell>
        </row>
        <row r="201">
          <cell r="S201">
            <v>496</v>
          </cell>
        </row>
        <row r="202">
          <cell r="S202">
            <v>481</v>
          </cell>
        </row>
        <row r="203">
          <cell r="S203">
            <v>507</v>
          </cell>
        </row>
        <row r="204">
          <cell r="S204">
            <v>516</v>
          </cell>
        </row>
        <row r="205">
          <cell r="S205">
            <v>518</v>
          </cell>
        </row>
        <row r="206">
          <cell r="S206">
            <v>521</v>
          </cell>
        </row>
        <row r="207">
          <cell r="S207">
            <v>525</v>
          </cell>
        </row>
        <row r="208">
          <cell r="S208">
            <v>527</v>
          </cell>
        </row>
        <row r="209">
          <cell r="S209">
            <v>482</v>
          </cell>
        </row>
        <row r="210">
          <cell r="S210">
            <v>506</v>
          </cell>
        </row>
        <row r="211">
          <cell r="S211">
            <v>504</v>
          </cell>
        </row>
        <row r="212">
          <cell r="S212">
            <v>501</v>
          </cell>
        </row>
        <row r="213">
          <cell r="S213">
            <v>509</v>
          </cell>
        </row>
        <row r="214">
          <cell r="S214">
            <v>524</v>
          </cell>
        </row>
        <row r="215">
          <cell r="S215">
            <v>499</v>
          </cell>
        </row>
        <row r="216">
          <cell r="S216">
            <v>483</v>
          </cell>
        </row>
        <row r="217">
          <cell r="S217">
            <v>471</v>
          </cell>
        </row>
        <row r="218">
          <cell r="S218">
            <v>475</v>
          </cell>
        </row>
        <row r="219">
          <cell r="S219">
            <v>505</v>
          </cell>
        </row>
        <row r="220">
          <cell r="S220">
            <v>489</v>
          </cell>
        </row>
        <row r="221">
          <cell r="S221">
            <v>512</v>
          </cell>
        </row>
        <row r="222">
          <cell r="S222">
            <v>497</v>
          </cell>
        </row>
        <row r="223">
          <cell r="S223">
            <v>493</v>
          </cell>
        </row>
        <row r="224">
          <cell r="S224">
            <v>511</v>
          </cell>
        </row>
        <row r="225">
          <cell r="S225">
            <v>495</v>
          </cell>
        </row>
      </sheetData>
      <sheetData sheetId="5" refreshError="1"/>
      <sheetData sheetId="6" refreshError="1"/>
      <sheetData sheetId="7">
        <row r="1">
          <cell r="A1" t="str">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Reference List.
Column C is the list of the official standard smelter names, understood to be the legal names of the eligible smelters. The majority of smelters will have the same entry for both columns, however if the common name varies from the standard name, the variation is noted in Column B. </v>
          </cell>
        </row>
        <row r="4">
          <cell r="A4" t="str">
            <v>Metal</v>
          </cell>
          <cell r="C4" t="str">
            <v>Standard Smelter Names</v>
          </cell>
          <cell r="D4" t="str">
            <v>Smelter Facility Location: Country</v>
          </cell>
          <cell r="E4" t="str">
            <v>New Smelter ID</v>
          </cell>
          <cell r="F4" t="str">
            <v>Source of Smelter Identification Number</v>
          </cell>
          <cell r="G4" t="str">
            <v xml:space="preserve">Smelter Street </v>
          </cell>
          <cell r="H4" t="str">
            <v>Smelter City</v>
          </cell>
          <cell r="I4" t="str">
            <v>Smelter Facility Location: State / Province</v>
          </cell>
        </row>
        <row r="5">
          <cell r="A5" t="str">
            <v>Gold</v>
          </cell>
          <cell r="C5" t="str">
            <v>Abington Reldan Metals, LLC</v>
          </cell>
          <cell r="E5" t="str">
            <v>CID002708</v>
          </cell>
        </row>
        <row r="6">
          <cell r="A6" t="str">
            <v>Gold</v>
          </cell>
          <cell r="C6" t="str">
            <v>So Accurate Group, Inc.</v>
          </cell>
          <cell r="E6" t="str">
            <v>CID001754</v>
          </cell>
        </row>
        <row r="7">
          <cell r="A7" t="str">
            <v>Gold</v>
          </cell>
          <cell r="C7" t="str">
            <v>Advanced Chemical Company</v>
          </cell>
          <cell r="E7" t="str">
            <v>CID000015</v>
          </cell>
        </row>
        <row r="8">
          <cell r="A8" t="str">
            <v>Gold</v>
          </cell>
          <cell r="C8" t="str">
            <v>Western Australian Mint trading as The Perth Mint</v>
          </cell>
          <cell r="E8" t="str">
            <v>CID002030</v>
          </cell>
        </row>
        <row r="9">
          <cell r="A9" t="str">
            <v>Gold</v>
          </cell>
          <cell r="C9" t="str">
            <v>Western Australian Mint trading as The Perth Mint</v>
          </cell>
          <cell r="E9" t="str">
            <v>CID002030</v>
          </cell>
        </row>
        <row r="10">
          <cell r="A10" t="str">
            <v>Gold</v>
          </cell>
          <cell r="C10" t="str">
            <v>Aida Chemical Industries Co., Ltd.</v>
          </cell>
          <cell r="E10" t="str">
            <v>CID000019</v>
          </cell>
        </row>
        <row r="11">
          <cell r="A11" t="str">
            <v>Gold</v>
          </cell>
          <cell r="C11" t="str">
            <v>Al Etihad Gold Refinery DMCC</v>
          </cell>
          <cell r="E11" t="str">
            <v>CID002560</v>
          </cell>
        </row>
        <row r="12">
          <cell r="A12" t="str">
            <v>Gold</v>
          </cell>
          <cell r="C12" t="str">
            <v>Allgemeine Gold-und Silberscheideanstalt A.G.</v>
          </cell>
          <cell r="E12" t="str">
            <v>CID000035</v>
          </cell>
        </row>
        <row r="13">
          <cell r="A13" t="str">
            <v>Gold</v>
          </cell>
          <cell r="C13" t="str">
            <v>Almalyk Mining and Metallurgical Complex (AMMC)</v>
          </cell>
          <cell r="E13" t="str">
            <v>CID000041</v>
          </cell>
        </row>
        <row r="14">
          <cell r="A14" t="str">
            <v>Gold</v>
          </cell>
          <cell r="C14" t="str">
            <v>Asahi Pretec Corp.</v>
          </cell>
          <cell r="E14" t="str">
            <v>CID000082</v>
          </cell>
        </row>
        <row r="15">
          <cell r="A15" t="str">
            <v>Gold</v>
          </cell>
          <cell r="C15" t="str">
            <v>AngloGold Ashanti Córrego do Sítio Mineração</v>
          </cell>
          <cell r="E15" t="str">
            <v>CID000058</v>
          </cell>
        </row>
        <row r="16">
          <cell r="A16" t="str">
            <v>Gold</v>
          </cell>
          <cell r="C16" t="str">
            <v>Tongling Nonferrous Metals Group Co., Ltd.</v>
          </cell>
          <cell r="E16" t="str">
            <v>CID001947</v>
          </cell>
        </row>
        <row r="17">
          <cell r="A17" t="str">
            <v>Gold</v>
          </cell>
          <cell r="C17" t="str">
            <v>Western Australian Mint trading as The Perth Mint</v>
          </cell>
          <cell r="E17" t="str">
            <v>CID002030</v>
          </cell>
        </row>
        <row r="18">
          <cell r="A18" t="str">
            <v>Gold</v>
          </cell>
          <cell r="C18" t="str">
            <v>Argor-Heraeus S.A.</v>
          </cell>
          <cell r="E18" t="str">
            <v>CID000077</v>
          </cell>
        </row>
        <row r="19">
          <cell r="A19" t="str">
            <v>Gold</v>
          </cell>
          <cell r="C19" t="str">
            <v>Asahi Pretec Corp.</v>
          </cell>
          <cell r="E19" t="str">
            <v>CID000082</v>
          </cell>
        </row>
        <row r="20">
          <cell r="A20" t="str">
            <v>Gold</v>
          </cell>
          <cell r="C20" t="str">
            <v>Asahi Refining Canada Ltd.</v>
          </cell>
          <cell r="E20" t="str">
            <v>CID000924</v>
          </cell>
        </row>
        <row r="21">
          <cell r="A21" t="str">
            <v>Gold</v>
          </cell>
          <cell r="C21" t="str">
            <v>Asahi Refining USA Inc.</v>
          </cell>
          <cell r="E21" t="str">
            <v>CID000920</v>
          </cell>
        </row>
        <row r="22">
          <cell r="A22" t="str">
            <v>Gold</v>
          </cell>
          <cell r="C22" t="str">
            <v>Asaka Riken Co., Ltd.</v>
          </cell>
          <cell r="E22" t="str">
            <v>CID000090</v>
          </cell>
        </row>
        <row r="23">
          <cell r="A23" t="str">
            <v>Gold</v>
          </cell>
          <cell r="C23" t="str">
            <v>Atasay Kuyumculuk Sanayi Ve Ticaret A.S.</v>
          </cell>
          <cell r="E23" t="str">
            <v>CID000103</v>
          </cell>
        </row>
        <row r="24">
          <cell r="A24" t="str">
            <v>Gold</v>
          </cell>
          <cell r="C24" t="str">
            <v>Atasay Kuyumculuk Sanayi Ve Ticaret A.S.</v>
          </cell>
          <cell r="E24" t="str">
            <v>CID000103</v>
          </cell>
        </row>
        <row r="25">
          <cell r="A25" t="str">
            <v>Gold</v>
          </cell>
          <cell r="C25" t="str">
            <v>AU Traders and Refiners</v>
          </cell>
          <cell r="E25" t="str">
            <v>CID002850</v>
          </cell>
        </row>
        <row r="26">
          <cell r="A26" t="str">
            <v>Gold</v>
          </cell>
          <cell r="C26" t="str">
            <v>AURA-II</v>
          </cell>
          <cell r="E26" t="str">
            <v>CID002851</v>
          </cell>
        </row>
        <row r="27">
          <cell r="A27" t="str">
            <v>Gold</v>
          </cell>
          <cell r="C27" t="str">
            <v>Aurubis AG</v>
          </cell>
          <cell r="E27" t="str">
            <v>CID000113</v>
          </cell>
        </row>
        <row r="28">
          <cell r="A28" t="str">
            <v>Gold</v>
          </cell>
          <cell r="C28" t="str">
            <v>Bangalore Refinery</v>
          </cell>
          <cell r="E28" t="str">
            <v>CID002863</v>
          </cell>
        </row>
        <row r="29">
          <cell r="A29" t="str">
            <v>Gold</v>
          </cell>
          <cell r="C29" t="str">
            <v>Bangko Sentral ng Pilipinas (Central Bank of the Philippines)</v>
          </cell>
          <cell r="E29" t="str">
            <v>CID000128</v>
          </cell>
        </row>
        <row r="30">
          <cell r="A30" t="str">
            <v>Gold</v>
          </cell>
          <cell r="C30" t="str">
            <v>Boliden AB</v>
          </cell>
          <cell r="E30" t="str">
            <v>CID000157</v>
          </cell>
        </row>
        <row r="31">
          <cell r="A31" t="str">
            <v>Gold</v>
          </cell>
          <cell r="C31" t="str">
            <v>C. Hafner GmbH + Co. KG</v>
          </cell>
          <cell r="E31" t="str">
            <v>CID000176</v>
          </cell>
        </row>
        <row r="32">
          <cell r="A32" t="str">
            <v>Gold</v>
          </cell>
          <cell r="C32" t="str">
            <v>Caridad</v>
          </cell>
          <cell r="E32" t="str">
            <v>CID000180</v>
          </cell>
        </row>
        <row r="33">
          <cell r="A33" t="str">
            <v>Gold</v>
          </cell>
          <cell r="C33" t="str">
            <v>CCR Refinery - Glencore Canada Corporation</v>
          </cell>
          <cell r="E33" t="str">
            <v>CID000185</v>
          </cell>
        </row>
        <row r="34">
          <cell r="A34" t="str">
            <v>Gold</v>
          </cell>
          <cell r="C34" t="str">
            <v>CCR Refinery - Glencore Canada Corporation</v>
          </cell>
          <cell r="E34" t="str">
            <v>CID000185</v>
          </cell>
        </row>
        <row r="35">
          <cell r="A35" t="str">
            <v>Gold</v>
          </cell>
          <cell r="C35" t="str">
            <v>Cendres + Métaux S.A.</v>
          </cell>
          <cell r="E35" t="str">
            <v>CID000189</v>
          </cell>
        </row>
        <row r="36">
          <cell r="A36" t="str">
            <v>Gold</v>
          </cell>
          <cell r="C36" t="str">
            <v>Cendres + Métaux S.A.</v>
          </cell>
          <cell r="E36" t="str">
            <v>CID000189</v>
          </cell>
        </row>
        <row r="37">
          <cell r="A37" t="str">
            <v>Gold</v>
          </cell>
          <cell r="C37" t="str">
            <v>Bangko Sentral ng Pilipinas (Central Bank of the Philippines)</v>
          </cell>
          <cell r="E37" t="str">
            <v>CID000128</v>
          </cell>
        </row>
        <row r="38">
          <cell r="A38" t="str">
            <v>Gold</v>
          </cell>
          <cell r="C38" t="str">
            <v>Yunnan Copper Industry Co., Ltd.</v>
          </cell>
          <cell r="E38" t="str">
            <v>CID000197</v>
          </cell>
        </row>
        <row r="39">
          <cell r="A39" t="str">
            <v>Gold</v>
          </cell>
          <cell r="C39" t="str">
            <v>Chimet S.p.A.</v>
          </cell>
          <cell r="E39" t="str">
            <v>CID000233</v>
          </cell>
        </row>
        <row r="40">
          <cell r="A40" t="str">
            <v>Gold</v>
          </cell>
          <cell r="C40" t="str">
            <v>Zhongyuan Gold Smelter of Zhongjin Gold Corporation</v>
          </cell>
          <cell r="E40" t="str">
            <v>CID002224</v>
          </cell>
        </row>
        <row r="41">
          <cell r="A41" t="str">
            <v>Gold</v>
          </cell>
          <cell r="C41" t="str">
            <v>The Refinery of Shandong Gold Mining Co., Ltd.</v>
          </cell>
          <cell r="E41" t="str">
            <v>CID001916</v>
          </cell>
        </row>
        <row r="42">
          <cell r="A42" t="str">
            <v>Gold</v>
          </cell>
          <cell r="C42" t="str">
            <v>Chugai Mining</v>
          </cell>
          <cell r="E42" t="str">
            <v>CID000264</v>
          </cell>
        </row>
        <row r="43">
          <cell r="A43" t="str">
            <v>Gold</v>
          </cell>
          <cell r="C43" t="str">
            <v>Daejin Indus Co., Ltd.</v>
          </cell>
          <cell r="E43" t="str">
            <v>CID000328</v>
          </cell>
        </row>
        <row r="44">
          <cell r="A44" t="str">
            <v>Gold</v>
          </cell>
          <cell r="C44" t="str">
            <v>Daejin Indus Co., Ltd.</v>
          </cell>
          <cell r="E44" t="str">
            <v>CID000328</v>
          </cell>
        </row>
        <row r="45">
          <cell r="A45" t="str">
            <v>Gold</v>
          </cell>
          <cell r="C45" t="str">
            <v>Daye Non-Ferrous Metals Mining Ltd.</v>
          </cell>
          <cell r="E45" t="str">
            <v>CID000343</v>
          </cell>
        </row>
        <row r="46">
          <cell r="A46" t="str">
            <v>Gold</v>
          </cell>
          <cell r="C46" t="str">
            <v>Degussa Sonne / Mond Goldhandel GmbH</v>
          </cell>
          <cell r="E46" t="str">
            <v>CID002867</v>
          </cell>
        </row>
        <row r="47">
          <cell r="A47" t="str">
            <v>Gold</v>
          </cell>
          <cell r="C47" t="str">
            <v>DSC (Do Sung Corporation)</v>
          </cell>
          <cell r="E47" t="str">
            <v>CID000359</v>
          </cell>
        </row>
        <row r="48">
          <cell r="A48" t="str">
            <v>Gold</v>
          </cell>
          <cell r="C48" t="str">
            <v>DODUCO GmbH</v>
          </cell>
          <cell r="E48" t="str">
            <v>CID000362</v>
          </cell>
        </row>
        <row r="49">
          <cell r="A49" t="str">
            <v>Gold</v>
          </cell>
          <cell r="C49" t="str">
            <v>DODUCO GmbH</v>
          </cell>
          <cell r="E49" t="str">
            <v>CID000362</v>
          </cell>
        </row>
        <row r="50">
          <cell r="A50" t="str">
            <v>Gold</v>
          </cell>
          <cell r="C50" t="str">
            <v>DSC (Do Sung Corporation)</v>
          </cell>
          <cell r="E50" t="str">
            <v>CID000359</v>
          </cell>
        </row>
        <row r="51">
          <cell r="A51" t="str">
            <v>Gold</v>
          </cell>
          <cell r="C51" t="str">
            <v>Dowa</v>
          </cell>
          <cell r="E51" t="str">
            <v>CID000401</v>
          </cell>
        </row>
        <row r="52">
          <cell r="A52" t="str">
            <v>Gold</v>
          </cell>
          <cell r="C52" t="str">
            <v>Dowa</v>
          </cell>
          <cell r="E52" t="str">
            <v>CID000401</v>
          </cell>
        </row>
        <row r="53">
          <cell r="A53" t="str">
            <v>Gold</v>
          </cell>
          <cell r="C53" t="str">
            <v>Dowa</v>
          </cell>
          <cell r="E53" t="str">
            <v>CID000401</v>
          </cell>
        </row>
        <row r="54">
          <cell r="A54" t="str">
            <v>Gold</v>
          </cell>
          <cell r="C54" t="str">
            <v>Dowa</v>
          </cell>
          <cell r="E54" t="str">
            <v>CID000401</v>
          </cell>
        </row>
        <row r="55">
          <cell r="A55" t="str">
            <v>Gold</v>
          </cell>
          <cell r="C55" t="str">
            <v>DSC (Do Sung Corporation)</v>
          </cell>
          <cell r="E55" t="str">
            <v>CID000359</v>
          </cell>
        </row>
        <row r="56">
          <cell r="A56" t="str">
            <v>Gold</v>
          </cell>
          <cell r="C56" t="str">
            <v>Eco-System Recycling Co., Ltd.</v>
          </cell>
          <cell r="E56" t="str">
            <v>CID000425</v>
          </cell>
        </row>
        <row r="57">
          <cell r="A57" t="str">
            <v>Gold</v>
          </cell>
          <cell r="C57" t="str">
            <v>Elemetal Refining, LLC</v>
          </cell>
          <cell r="E57" t="str">
            <v>CID001322</v>
          </cell>
        </row>
        <row r="58">
          <cell r="A58" t="str">
            <v>Gold</v>
          </cell>
          <cell r="C58" t="str">
            <v>Emirates Gold DMCC</v>
          </cell>
          <cell r="E58" t="str">
            <v>CID002561</v>
          </cell>
        </row>
        <row r="59">
          <cell r="A59" t="str">
            <v>Gold</v>
          </cell>
          <cell r="C59" t="str">
            <v>Fidelity Printers and Refiners Ltd.</v>
          </cell>
          <cell r="E59" t="str">
            <v>CID002515</v>
          </cell>
        </row>
        <row r="60">
          <cell r="A60" t="str">
            <v>Gold</v>
          </cell>
          <cell r="C60" t="str">
            <v>OJSC Novosibirsk Refinery</v>
          </cell>
          <cell r="E60" t="str">
            <v>CID000493</v>
          </cell>
        </row>
        <row r="61">
          <cell r="A61" t="str">
            <v>Gold</v>
          </cell>
          <cell r="C61" t="str">
            <v>Zijin Mining Group Co., Ltd. Gold Refinery</v>
          </cell>
          <cell r="E61" t="str">
            <v>CID002243</v>
          </cell>
        </row>
        <row r="62">
          <cell r="A62" t="str">
            <v>Gold</v>
          </cell>
          <cell r="C62" t="str">
            <v>Gansu Seemine Material Hi-Tech Co., Ltd.</v>
          </cell>
          <cell r="E62" t="str">
            <v>CID000522</v>
          </cell>
        </row>
        <row r="63">
          <cell r="A63" t="str">
            <v>Gold</v>
          </cell>
          <cell r="C63" t="str">
            <v>Geib Refining Corporation</v>
          </cell>
          <cell r="E63" t="str">
            <v>CID002459</v>
          </cell>
        </row>
        <row r="64">
          <cell r="A64" t="str">
            <v>Gold</v>
          </cell>
          <cell r="C64" t="str">
            <v>The Refinery of Shandong Gold Mining Co., Ltd.</v>
          </cell>
          <cell r="E64" t="str">
            <v>CID001916</v>
          </cell>
        </row>
        <row r="65">
          <cell r="A65" t="str">
            <v>Gold</v>
          </cell>
          <cell r="C65" t="str">
            <v>Great Wall Precious Metals Co., Ltd. of CBPM</v>
          </cell>
          <cell r="E65" t="str">
            <v>CID001909</v>
          </cell>
        </row>
        <row r="66">
          <cell r="A66" t="str">
            <v>Gold</v>
          </cell>
          <cell r="C66" t="str">
            <v>Great Wall Precious Metals Co., Ltd. of CBPM</v>
          </cell>
          <cell r="E66" t="str">
            <v>CID001909</v>
          </cell>
        </row>
        <row r="67">
          <cell r="A67" t="str">
            <v>Gold</v>
          </cell>
          <cell r="C67" t="str">
            <v>Guangdong Jinding Gold Limited</v>
          </cell>
          <cell r="E67" t="str">
            <v>CID002312</v>
          </cell>
        </row>
        <row r="68">
          <cell r="A68" t="str">
            <v>Gold</v>
          </cell>
          <cell r="C68" t="str">
            <v>Guangdong Jinding Gold Limited</v>
          </cell>
          <cell r="E68" t="str">
            <v>CID002312</v>
          </cell>
        </row>
        <row r="69">
          <cell r="A69" t="str">
            <v>Gold</v>
          </cell>
          <cell r="C69" t="str">
            <v>Gujarat Gold Centre</v>
          </cell>
          <cell r="E69" t="str">
            <v>CID002852</v>
          </cell>
        </row>
        <row r="70">
          <cell r="A70" t="str">
            <v>Gold</v>
          </cell>
          <cell r="C70" t="str">
            <v>Guoda Safina High-Tech Environmental Refinery Co., Ltd.</v>
          </cell>
          <cell r="E70" t="str">
            <v>CID000651</v>
          </cell>
        </row>
        <row r="71">
          <cell r="A71" t="str">
            <v>Gold</v>
          </cell>
          <cell r="C71" t="str">
            <v>Hangzhou Fuchunjiang Smelting Co., Ltd.</v>
          </cell>
          <cell r="E71" t="str">
            <v>CID000671</v>
          </cell>
        </row>
        <row r="72">
          <cell r="A72" t="str">
            <v>Gold</v>
          </cell>
          <cell r="C72" t="str">
            <v>Heimerle + Meule GmbH</v>
          </cell>
          <cell r="E72" t="str">
            <v>CID000694</v>
          </cell>
        </row>
        <row r="73">
          <cell r="A73" t="str">
            <v>Gold</v>
          </cell>
          <cell r="C73" t="str">
            <v>Zhongyuan Gold Smelter of Zhongjin Gold Corporation</v>
          </cell>
          <cell r="E73" t="str">
            <v>CID002224</v>
          </cell>
        </row>
        <row r="74">
          <cell r="A74" t="str">
            <v>Gold</v>
          </cell>
          <cell r="C74" t="str">
            <v>Zhongyuan Gold Smelter of Zhongjin Gold Corporation</v>
          </cell>
          <cell r="E74" t="str">
            <v>CID002224</v>
          </cell>
        </row>
        <row r="75">
          <cell r="A75" t="str">
            <v>Gold</v>
          </cell>
          <cell r="C75" t="str">
            <v>Zhongyuan Gold Smelter of Zhongjin Gold Corporation</v>
          </cell>
          <cell r="E75" t="str">
            <v>CID002224</v>
          </cell>
        </row>
        <row r="76">
          <cell r="A76" t="str">
            <v>Gold</v>
          </cell>
          <cell r="C76" t="str">
            <v>Heraeus Ltd. Hong Kong</v>
          </cell>
          <cell r="E76" t="str">
            <v>CID000707</v>
          </cell>
        </row>
        <row r="77">
          <cell r="A77" t="str">
            <v>Gold</v>
          </cell>
          <cell r="C77" t="str">
            <v>Heraeus Precious Metals GmbH &amp; Co. KG</v>
          </cell>
          <cell r="E77" t="str">
            <v>CID000711</v>
          </cell>
        </row>
        <row r="78">
          <cell r="A78" t="str">
            <v>Gold</v>
          </cell>
          <cell r="C78" t="str">
            <v>Hunan Chenzhou Mining Co., Ltd.</v>
          </cell>
          <cell r="E78" t="str">
            <v>CID000767</v>
          </cell>
        </row>
        <row r="79">
          <cell r="A79" t="str">
            <v>Gold</v>
          </cell>
          <cell r="C79" t="str">
            <v>Hunan Chenzhou Mining Co., Ltd.</v>
          </cell>
          <cell r="E79" t="str">
            <v>CID000767</v>
          </cell>
        </row>
        <row r="80">
          <cell r="A80" t="str">
            <v>Gold</v>
          </cell>
          <cell r="C80" t="str">
            <v>Hunan Chenzhou Mining Co., Ltd.</v>
          </cell>
          <cell r="E80" t="str">
            <v>CID000767</v>
          </cell>
        </row>
        <row r="81">
          <cell r="A81" t="str">
            <v>Gold</v>
          </cell>
          <cell r="C81" t="str">
            <v>HwaSeong CJ Co., Ltd.</v>
          </cell>
          <cell r="E81" t="str">
            <v>CID000778</v>
          </cell>
        </row>
        <row r="82">
          <cell r="A82" t="str">
            <v>Gold</v>
          </cell>
          <cell r="C82" t="str">
            <v>Inner Mongolia Qiankun Gold and Silver Refinery Share Co., Ltd.</v>
          </cell>
          <cell r="E82" t="str">
            <v>CID000801</v>
          </cell>
        </row>
        <row r="83">
          <cell r="A83" t="str">
            <v>Gold</v>
          </cell>
          <cell r="C83" t="str">
            <v>Ishifuku Metal Industry Co., Ltd.</v>
          </cell>
          <cell r="E83" t="str">
            <v>CID000807</v>
          </cell>
        </row>
        <row r="84">
          <cell r="A84" t="str">
            <v>Gold</v>
          </cell>
          <cell r="C84" t="str">
            <v>Istanbul Gold Refinery</v>
          </cell>
          <cell r="E84" t="str">
            <v>CID000814</v>
          </cell>
        </row>
        <row r="85">
          <cell r="A85" t="str">
            <v>Gold</v>
          </cell>
          <cell r="C85" t="str">
            <v>Japan Mint</v>
          </cell>
          <cell r="E85" t="str">
            <v>CID000823</v>
          </cell>
        </row>
        <row r="86">
          <cell r="A86" t="str">
            <v>Gold</v>
          </cell>
          <cell r="C86" t="str">
            <v>Jiangxi Copper Co., Ltd.</v>
          </cell>
          <cell r="E86" t="str">
            <v>CID000855</v>
          </cell>
        </row>
        <row r="87">
          <cell r="A87" t="str">
            <v>Gold</v>
          </cell>
          <cell r="C87" t="str">
            <v>Jiangxi Copper Co., Ltd.</v>
          </cell>
          <cell r="E87" t="str">
            <v>CID000855</v>
          </cell>
        </row>
        <row r="88">
          <cell r="A88" t="str">
            <v>Gold</v>
          </cell>
          <cell r="C88" t="str">
            <v>Asahi Refining Canada Ltd.</v>
          </cell>
          <cell r="E88" t="str">
            <v>CID000924</v>
          </cell>
        </row>
        <row r="89">
          <cell r="A89" t="str">
            <v>Gold</v>
          </cell>
          <cell r="C89" t="str">
            <v>Asahi Refining USA Inc.</v>
          </cell>
          <cell r="E89" t="str">
            <v>CID000920</v>
          </cell>
        </row>
        <row r="90">
          <cell r="A90" t="str">
            <v>Gold</v>
          </cell>
          <cell r="C90" t="str">
            <v>Asahi Refining USA Inc.</v>
          </cell>
          <cell r="E90" t="str">
            <v>CID000920</v>
          </cell>
        </row>
        <row r="91">
          <cell r="A91" t="str">
            <v>Gold</v>
          </cell>
          <cell r="C91" t="str">
            <v>Asahi Refining Canada Ltd.</v>
          </cell>
          <cell r="E91" t="str">
            <v>CID000924</v>
          </cell>
        </row>
        <row r="92">
          <cell r="A92" t="str">
            <v>Gold</v>
          </cell>
          <cell r="C92" t="str">
            <v>JSC Ekaterinburg Non-Ferrous Metal Processing Plant</v>
          </cell>
          <cell r="E92" t="str">
            <v>CID000927</v>
          </cell>
        </row>
        <row r="93">
          <cell r="A93" t="str">
            <v>Gold</v>
          </cell>
          <cell r="C93" t="str">
            <v>JSC Uralelectromed</v>
          </cell>
          <cell r="E93" t="str">
            <v>CID000929</v>
          </cell>
        </row>
        <row r="94">
          <cell r="A94" t="str">
            <v>Gold</v>
          </cell>
          <cell r="C94" t="str">
            <v>JX Nippon Mining &amp; Metals Co., Ltd.</v>
          </cell>
          <cell r="E94" t="str">
            <v>CID000937</v>
          </cell>
        </row>
        <row r="95">
          <cell r="A95" t="str">
            <v>Gold</v>
          </cell>
          <cell r="C95" t="str">
            <v>Kaloti Precious Metals</v>
          </cell>
          <cell r="E95" t="str">
            <v>CID002563</v>
          </cell>
        </row>
        <row r="96">
          <cell r="A96" t="str">
            <v>Gold</v>
          </cell>
          <cell r="C96" t="str">
            <v>Kazakhmys Smelting LLC</v>
          </cell>
          <cell r="E96" t="str">
            <v>CID000956</v>
          </cell>
        </row>
        <row r="97">
          <cell r="A97" t="str">
            <v>Gold</v>
          </cell>
          <cell r="C97" t="str">
            <v>Kazzinc</v>
          </cell>
          <cell r="E97" t="str">
            <v>CID000957</v>
          </cell>
        </row>
        <row r="98">
          <cell r="A98" t="str">
            <v>Gold</v>
          </cell>
          <cell r="C98" t="str">
            <v>Kennecott Utah Copper LLC</v>
          </cell>
          <cell r="E98" t="str">
            <v>CID000969</v>
          </cell>
        </row>
        <row r="99">
          <cell r="A99" t="str">
            <v>Gold</v>
          </cell>
          <cell r="C99" t="str">
            <v>KGHM Polska Miedź Spółka Akcyjna</v>
          </cell>
          <cell r="E99" t="str">
            <v>CID002511</v>
          </cell>
        </row>
        <row r="100">
          <cell r="A100" t="str">
            <v>Gold</v>
          </cell>
          <cell r="C100" t="str">
            <v>Kojima Chemicals Co., Ltd.</v>
          </cell>
          <cell r="E100" t="str">
            <v>CID000981</v>
          </cell>
        </row>
        <row r="101">
          <cell r="A101" t="str">
            <v>Gold</v>
          </cell>
          <cell r="C101" t="str">
            <v>Kojima Chemicals Co., Ltd.</v>
          </cell>
          <cell r="E101" t="str">
            <v>CID000981</v>
          </cell>
        </row>
        <row r="102">
          <cell r="A102" t="str">
            <v>Gold</v>
          </cell>
          <cell r="C102" t="str">
            <v>KGHM Polska Miedź Spółka Akcyjna</v>
          </cell>
          <cell r="E102" t="str">
            <v>CID002511</v>
          </cell>
        </row>
        <row r="103">
          <cell r="A103" t="str">
            <v>Gold</v>
          </cell>
          <cell r="C103" t="str">
            <v>Korea Zinc Co., Ltd.</v>
          </cell>
          <cell r="E103" t="str">
            <v>CID002605</v>
          </cell>
        </row>
        <row r="104">
          <cell r="A104" t="str">
            <v>Gold</v>
          </cell>
          <cell r="C104" t="str">
            <v>Kyrgyzaltyn JSC</v>
          </cell>
          <cell r="E104" t="str">
            <v>CID001029</v>
          </cell>
        </row>
        <row r="105">
          <cell r="A105" t="str">
            <v>Gold</v>
          </cell>
          <cell r="C105" t="str">
            <v>Caridad</v>
          </cell>
          <cell r="E105" t="str">
            <v>CID000180</v>
          </cell>
        </row>
        <row r="106">
          <cell r="A106" t="str">
            <v>Gold</v>
          </cell>
          <cell r="C106" t="str">
            <v>The Refinery of Shandong Gold Mining Co., Ltd.</v>
          </cell>
          <cell r="E106" t="str">
            <v>CID001916</v>
          </cell>
        </row>
        <row r="107">
          <cell r="A107" t="str">
            <v>Gold</v>
          </cell>
          <cell r="C107" t="str">
            <v>L'azurde Company For Jewelry</v>
          </cell>
          <cell r="E107" t="str">
            <v>CID001032</v>
          </cell>
        </row>
        <row r="108">
          <cell r="A108" t="str">
            <v>Gold</v>
          </cell>
          <cell r="C108" t="str">
            <v>Lingbao Gold Co., Ltd.</v>
          </cell>
          <cell r="E108" t="str">
            <v>CID001056</v>
          </cell>
        </row>
        <row r="109">
          <cell r="A109" t="str">
            <v>Gold</v>
          </cell>
          <cell r="C109" t="str">
            <v>Lingbao Gold Co., Ltd.</v>
          </cell>
          <cell r="E109" t="str">
            <v>CID001056</v>
          </cell>
        </row>
        <row r="110">
          <cell r="A110" t="str">
            <v>Gold</v>
          </cell>
          <cell r="C110" t="str">
            <v>Lingbao Jinyuan Tonghui Refinery Co., Ltd.</v>
          </cell>
          <cell r="E110" t="str">
            <v>CID001058</v>
          </cell>
        </row>
        <row r="111">
          <cell r="A111" t="str">
            <v>Gold</v>
          </cell>
          <cell r="C111" t="str">
            <v>L'Orfebre S.A.</v>
          </cell>
          <cell r="E111" t="str">
            <v>CID002762</v>
          </cell>
        </row>
        <row r="112">
          <cell r="A112" t="str">
            <v>Gold</v>
          </cell>
          <cell r="C112" t="str">
            <v>LS-NIKKO Copper Inc.</v>
          </cell>
          <cell r="E112" t="str">
            <v>CID001078</v>
          </cell>
        </row>
        <row r="113">
          <cell r="A113" t="str">
            <v>Gold</v>
          </cell>
          <cell r="C113" t="str">
            <v>Luoyang Zijin Yinhui Gold Refinery Co., Ltd.</v>
          </cell>
          <cell r="E113" t="str">
            <v>CID001093</v>
          </cell>
        </row>
        <row r="114">
          <cell r="A114" t="str">
            <v>Gold</v>
          </cell>
          <cell r="C114" t="str">
            <v>Luoyang Zijin Yinhui Gold Refinery Co., Ltd.</v>
          </cell>
          <cell r="E114" t="str">
            <v>CID001093</v>
          </cell>
        </row>
        <row r="115">
          <cell r="A115" t="str">
            <v>Gold</v>
          </cell>
          <cell r="C115" t="str">
            <v>Luoyang Zijin Yinhui Gold Refinery Co., Ltd.</v>
          </cell>
          <cell r="E115" t="str">
            <v>CID001093</v>
          </cell>
        </row>
        <row r="116">
          <cell r="A116" t="str">
            <v>Gold</v>
          </cell>
          <cell r="C116" t="str">
            <v>Materion</v>
          </cell>
          <cell r="E116" t="str">
            <v>CID001113</v>
          </cell>
        </row>
        <row r="117">
          <cell r="A117" t="str">
            <v>Gold</v>
          </cell>
          <cell r="C117" t="str">
            <v>Matsuda Sangyo Co., Ltd.</v>
          </cell>
          <cell r="E117" t="str">
            <v>CID001119</v>
          </cell>
        </row>
        <row r="118">
          <cell r="A118" t="str">
            <v>Gold</v>
          </cell>
          <cell r="C118" t="str">
            <v>Sumitomo Metal Mining Co., Ltd.</v>
          </cell>
          <cell r="E118" t="str">
            <v>CID001798</v>
          </cell>
        </row>
        <row r="119">
          <cell r="A119" t="str">
            <v>Gold</v>
          </cell>
          <cell r="C119" t="str">
            <v>Metalúrgica Met-Mex Peñoles S.A. De C.V.</v>
          </cell>
          <cell r="E119" t="str">
            <v>CID001161</v>
          </cell>
        </row>
        <row r="120">
          <cell r="A120" t="str">
            <v>Gold</v>
          </cell>
          <cell r="C120" t="str">
            <v>Metalor Technologies S.A.</v>
          </cell>
          <cell r="E120" t="str">
            <v>CID001153</v>
          </cell>
        </row>
        <row r="121">
          <cell r="A121" t="str">
            <v>Gold</v>
          </cell>
          <cell r="C121" t="str">
            <v>Metalor Technologies (Hong Kong) Ltd.</v>
          </cell>
          <cell r="E121" t="str">
            <v>CID001149</v>
          </cell>
        </row>
        <row r="122">
          <cell r="A122" t="str">
            <v>Gold</v>
          </cell>
          <cell r="C122" t="str">
            <v>Metalor Technologies (Singapore) Pte., Ltd.</v>
          </cell>
          <cell r="E122" t="str">
            <v>CID001152</v>
          </cell>
        </row>
        <row r="123">
          <cell r="A123" t="str">
            <v>Gold</v>
          </cell>
          <cell r="C123" t="str">
            <v>Metalor Technologies (Suzhou) Ltd.</v>
          </cell>
          <cell r="E123" t="str">
            <v>CID001147</v>
          </cell>
        </row>
        <row r="124">
          <cell r="A124" t="str">
            <v>Gold</v>
          </cell>
          <cell r="C124" t="str">
            <v>Metalor Technologies S.A.</v>
          </cell>
          <cell r="E124" t="str">
            <v>CID001153</v>
          </cell>
        </row>
        <row r="125">
          <cell r="A125" t="str">
            <v>Gold</v>
          </cell>
          <cell r="C125" t="str">
            <v>Metalor USA Refining Corporation</v>
          </cell>
          <cell r="E125" t="str">
            <v>CID001157</v>
          </cell>
        </row>
        <row r="126">
          <cell r="A126" t="str">
            <v>Gold</v>
          </cell>
          <cell r="C126" t="str">
            <v>Metalúrgica Met-Mex Peñoles S.A. De C.V.</v>
          </cell>
          <cell r="E126" t="str">
            <v>CID001161</v>
          </cell>
        </row>
        <row r="127">
          <cell r="A127" t="str">
            <v>Gold</v>
          </cell>
          <cell r="C127" t="str">
            <v>Metalúrgica Met-Mex Peñoles S.A. De C.V.</v>
          </cell>
          <cell r="E127" t="str">
            <v>CID001161</v>
          </cell>
        </row>
        <row r="128">
          <cell r="A128" t="str">
            <v>Gold</v>
          </cell>
          <cell r="C128" t="str">
            <v>Metalúrgica Met-Mex Peñoles S.A. De C.V.</v>
          </cell>
          <cell r="E128" t="str">
            <v>CID001161</v>
          </cell>
        </row>
        <row r="129">
          <cell r="A129" t="str">
            <v>Gold</v>
          </cell>
          <cell r="C129" t="str">
            <v>Mitsubishi Materials Corporation</v>
          </cell>
          <cell r="E129" t="str">
            <v>CID001188</v>
          </cell>
        </row>
        <row r="130">
          <cell r="A130" t="str">
            <v>Gold</v>
          </cell>
          <cell r="C130" t="str">
            <v>Mitsui Mining and Smelting Co., Ltd.</v>
          </cell>
          <cell r="E130" t="str">
            <v>CID001193</v>
          </cell>
        </row>
        <row r="131">
          <cell r="A131" t="str">
            <v>Gold</v>
          </cell>
          <cell r="C131" t="str">
            <v>Mitsui Mining and Smelting Co., Ltd.</v>
          </cell>
          <cell r="E131" t="str">
            <v>CID001193</v>
          </cell>
        </row>
        <row r="132">
          <cell r="A132" t="str">
            <v>Gold</v>
          </cell>
          <cell r="C132" t="str">
            <v>MMTC-PAMP India Pvt., Ltd.</v>
          </cell>
          <cell r="E132" t="str">
            <v>CID002509</v>
          </cell>
        </row>
        <row r="133">
          <cell r="A133" t="str">
            <v>Gold</v>
          </cell>
          <cell r="C133" t="str">
            <v>Modeltech Sdn Bhd</v>
          </cell>
          <cell r="E133" t="str">
            <v>CID002857</v>
          </cell>
        </row>
        <row r="134">
          <cell r="A134" t="str">
            <v>Gold</v>
          </cell>
          <cell r="C134" t="str">
            <v>Morris and Watson</v>
          </cell>
          <cell r="E134" t="str">
            <v>CID002282</v>
          </cell>
        </row>
        <row r="135">
          <cell r="A135" t="str">
            <v>Gold</v>
          </cell>
          <cell r="C135" t="str">
            <v>Morris and Watson Gold Coast</v>
          </cell>
          <cell r="E135" t="str">
            <v>CID002866</v>
          </cell>
        </row>
        <row r="136">
          <cell r="A136" t="str">
            <v>Gold</v>
          </cell>
          <cell r="C136" t="str">
            <v>Moscow Special Alloys Processing Plant</v>
          </cell>
          <cell r="E136" t="str">
            <v>CID001204</v>
          </cell>
        </row>
        <row r="137">
          <cell r="A137" t="str">
            <v>Gold</v>
          </cell>
          <cell r="C137" t="str">
            <v>Nadir Metal Rafineri San. Ve Tic. A.Ş.</v>
          </cell>
          <cell r="E137" t="str">
            <v>CID001220</v>
          </cell>
        </row>
        <row r="138">
          <cell r="A138" t="str">
            <v>Gold</v>
          </cell>
          <cell r="C138" t="str">
            <v>Navoi Mining and Metallurgical Combinat</v>
          </cell>
          <cell r="E138" t="str">
            <v>CID001236</v>
          </cell>
        </row>
        <row r="139">
          <cell r="A139" t="str">
            <v>Gold</v>
          </cell>
          <cell r="C139" t="str">
            <v>Nihon Material Co., Ltd.</v>
          </cell>
          <cell r="E139" t="str">
            <v>CID001259</v>
          </cell>
        </row>
        <row r="140">
          <cell r="A140" t="str">
            <v>Gold</v>
          </cell>
          <cell r="C140" t="str">
            <v>Aurubis AG</v>
          </cell>
          <cell r="E140" t="str">
            <v>CID000113</v>
          </cell>
        </row>
        <row r="141">
          <cell r="A141" t="str">
            <v>Gold</v>
          </cell>
          <cell r="C141" t="str">
            <v>Ögussa Österreichische Gold- und Silber-Scheideanstalt GmbH</v>
          </cell>
          <cell r="E141" t="str">
            <v>CID002779</v>
          </cell>
        </row>
        <row r="142">
          <cell r="A142" t="str">
            <v>Gold</v>
          </cell>
          <cell r="C142" t="str">
            <v>Elemetal Refining, LLC</v>
          </cell>
          <cell r="E142" t="str">
            <v>CID001322</v>
          </cell>
        </row>
        <row r="143">
          <cell r="A143" t="str">
            <v>Gold</v>
          </cell>
          <cell r="C143" t="str">
            <v>Ohura Precious Metal Industry Co., Ltd.</v>
          </cell>
          <cell r="E143" t="str">
            <v>CID001325</v>
          </cell>
        </row>
        <row r="144">
          <cell r="A144" t="str">
            <v>Gold</v>
          </cell>
          <cell r="C144" t="str">
            <v>OJSC "The Gulidov Krasnoyarsk Non-Ferrous Metals Plant" (OJSC Krastsvetmet)</v>
          </cell>
          <cell r="E144" t="str">
            <v>CID001326</v>
          </cell>
        </row>
        <row r="145">
          <cell r="A145" t="str">
            <v>Gold</v>
          </cell>
          <cell r="C145" t="str">
            <v>OJSC "The Gulidov Krasnoyarsk Non-Ferrous Metals Plant" (OJSC Krastsvetmet)</v>
          </cell>
          <cell r="E145" t="str">
            <v>CID001326</v>
          </cell>
        </row>
        <row r="146">
          <cell r="A146" t="str">
            <v>Gold</v>
          </cell>
          <cell r="C146" t="str">
            <v>OJSC Novosibirsk Refinery</v>
          </cell>
          <cell r="E146" t="str">
            <v>CID000493</v>
          </cell>
        </row>
        <row r="147">
          <cell r="A147" t="str">
            <v>Gold</v>
          </cell>
          <cell r="C147" t="str">
            <v>Elemetal Refining, LLC</v>
          </cell>
          <cell r="E147" t="str">
            <v>CID001322</v>
          </cell>
        </row>
        <row r="148">
          <cell r="A148" t="str">
            <v>Gold</v>
          </cell>
          <cell r="C148" t="str">
            <v>PAMP S.A.</v>
          </cell>
          <cell r="E148" t="str">
            <v>CID001352</v>
          </cell>
        </row>
        <row r="149">
          <cell r="A149" t="str">
            <v>Gold</v>
          </cell>
          <cell r="C149" t="str">
            <v>JX Nippon Mining &amp; Metals Co., Ltd.</v>
          </cell>
          <cell r="E149" t="str">
            <v>CID000937</v>
          </cell>
        </row>
        <row r="150">
          <cell r="A150" t="str">
            <v>Gold</v>
          </cell>
          <cell r="C150" t="str">
            <v>Pease &amp; Curren</v>
          </cell>
          <cell r="E150" t="str">
            <v>CID002872</v>
          </cell>
        </row>
        <row r="151">
          <cell r="A151" t="str">
            <v>Gold</v>
          </cell>
          <cell r="C151" t="str">
            <v>Penglai Penggang Gold Industry Co., Ltd.</v>
          </cell>
          <cell r="E151" t="str">
            <v>CID001362</v>
          </cell>
        </row>
        <row r="152">
          <cell r="A152" t="str">
            <v>Gold</v>
          </cell>
          <cell r="C152" t="str">
            <v>Western Australian Mint trading as The Perth Mint</v>
          </cell>
          <cell r="E152" t="str">
            <v>CID002030</v>
          </cell>
        </row>
        <row r="153">
          <cell r="A153" t="str">
            <v>Gold</v>
          </cell>
          <cell r="C153" t="str">
            <v>Western Australian Mint trading as The Perth Mint</v>
          </cell>
          <cell r="E153" t="str">
            <v>CID002030</v>
          </cell>
        </row>
        <row r="154">
          <cell r="A154" t="str">
            <v>Gold</v>
          </cell>
          <cell r="C154" t="str">
            <v>Prioksky Plant of Non-Ferrous Metals</v>
          </cell>
          <cell r="E154" t="str">
            <v>CID001386</v>
          </cell>
        </row>
        <row r="155">
          <cell r="A155" t="str">
            <v>Gold</v>
          </cell>
          <cell r="C155" t="str">
            <v>PAMP S.A.</v>
          </cell>
          <cell r="E155" t="str">
            <v>CID001352</v>
          </cell>
        </row>
        <row r="156">
          <cell r="A156" t="str">
            <v>Gold</v>
          </cell>
          <cell r="C156" t="str">
            <v>PT Aneka Tambang (Persero) Tbk</v>
          </cell>
          <cell r="E156" t="str">
            <v>CID001397</v>
          </cell>
        </row>
        <row r="157">
          <cell r="A157" t="str">
            <v>Gold</v>
          </cell>
          <cell r="C157" t="str">
            <v>PX Précinox S.A.</v>
          </cell>
          <cell r="E157" t="str">
            <v>CID001498</v>
          </cell>
        </row>
        <row r="158">
          <cell r="A158" t="str">
            <v>Gold</v>
          </cell>
          <cell r="C158" t="str">
            <v>Rand Refinery (Pty) Ltd.</v>
          </cell>
          <cell r="E158" t="str">
            <v>CID001512</v>
          </cell>
        </row>
        <row r="159">
          <cell r="A159" t="str">
            <v>Gold</v>
          </cell>
          <cell r="C159" t="str">
            <v>LS-NIKKO Copper Inc.</v>
          </cell>
          <cell r="E159" t="str">
            <v>CID001078</v>
          </cell>
        </row>
        <row r="160">
          <cell r="A160" t="str">
            <v>Gold</v>
          </cell>
          <cell r="C160" t="str">
            <v>Remondis Argentia B.V.</v>
          </cell>
          <cell r="E160" t="str">
            <v>CID002582</v>
          </cell>
        </row>
        <row r="161">
          <cell r="A161" t="str">
            <v>Gold</v>
          </cell>
          <cell r="C161" t="str">
            <v>Republic Metals Corporation</v>
          </cell>
          <cell r="E161" t="str">
            <v>CID002510</v>
          </cell>
        </row>
        <row r="162">
          <cell r="A162" t="str">
            <v>Gold</v>
          </cell>
          <cell r="C162" t="str">
            <v>Royal Canadian Mint</v>
          </cell>
          <cell r="E162" t="str">
            <v>CID001534</v>
          </cell>
        </row>
        <row r="163">
          <cell r="A163" t="str">
            <v>Gold</v>
          </cell>
          <cell r="C163" t="str">
            <v>SAAMP</v>
          </cell>
          <cell r="E163" t="str">
            <v>CID002761</v>
          </cell>
        </row>
        <row r="164">
          <cell r="A164" t="str">
            <v>Gold</v>
          </cell>
          <cell r="C164" t="str">
            <v>Sabin Metal Corp.</v>
          </cell>
          <cell r="E164" t="str">
            <v>CID001546</v>
          </cell>
        </row>
        <row r="165">
          <cell r="A165" t="str">
            <v>Gold</v>
          </cell>
          <cell r="C165" t="str">
            <v>SAFINA A.S.</v>
          </cell>
          <cell r="E165" t="str">
            <v>CID002290</v>
          </cell>
        </row>
        <row r="166">
          <cell r="A166" t="str">
            <v>Gold</v>
          </cell>
          <cell r="C166" t="str">
            <v>JX Nippon Mining &amp; Metals Co., Ltd.</v>
          </cell>
          <cell r="E166" t="str">
            <v>CID000937</v>
          </cell>
        </row>
        <row r="167">
          <cell r="A167" t="str">
            <v>Gold</v>
          </cell>
          <cell r="C167" t="str">
            <v>Sai Refinery</v>
          </cell>
          <cell r="E167" t="str">
            <v>CID002853</v>
          </cell>
        </row>
        <row r="168">
          <cell r="A168" t="str">
            <v>Gold</v>
          </cell>
          <cell r="C168" t="str">
            <v>Samduck Precious Metals</v>
          </cell>
          <cell r="E168" t="str">
            <v>CID001555</v>
          </cell>
        </row>
        <row r="169">
          <cell r="A169" t="str">
            <v>Gold</v>
          </cell>
          <cell r="C169" t="str">
            <v>Samduck Precious Metals</v>
          </cell>
          <cell r="E169" t="str">
            <v>CID001555</v>
          </cell>
        </row>
        <row r="170">
          <cell r="A170" t="str">
            <v>Gold</v>
          </cell>
          <cell r="C170" t="str">
            <v>Samwon Metals Corp.</v>
          </cell>
          <cell r="E170" t="str">
            <v>CID001562</v>
          </cell>
        </row>
        <row r="171">
          <cell r="A171" t="str">
            <v>Gold</v>
          </cell>
          <cell r="C171" t="str">
            <v>SAXONIA Edelmetalle GmbH</v>
          </cell>
          <cell r="E171" t="str">
            <v>CID002777</v>
          </cell>
        </row>
        <row r="172">
          <cell r="A172" t="str">
            <v>Gold</v>
          </cell>
          <cell r="C172" t="str">
            <v>Schone Edelmetaal B.V.</v>
          </cell>
          <cell r="E172" t="str">
            <v>CID001573</v>
          </cell>
        </row>
        <row r="173">
          <cell r="A173" t="str">
            <v>Gold</v>
          </cell>
          <cell r="C173" t="str">
            <v>Samduck Precious Metals</v>
          </cell>
          <cell r="E173" t="str">
            <v>CID001555</v>
          </cell>
        </row>
        <row r="174">
          <cell r="A174" t="str">
            <v>Gold</v>
          </cell>
          <cell r="C174" t="str">
            <v>SEMPSA Joyería Platería S.A.</v>
          </cell>
          <cell r="E174" t="str">
            <v>CID001585</v>
          </cell>
        </row>
        <row r="175">
          <cell r="A175" t="str">
            <v>Gold</v>
          </cell>
          <cell r="C175" t="str">
            <v>SEMPSA Joyería Platería S.A.</v>
          </cell>
          <cell r="E175" t="str">
            <v>CID001585</v>
          </cell>
        </row>
        <row r="176">
          <cell r="A176" t="str">
            <v>Gold</v>
          </cell>
          <cell r="C176" t="str">
            <v>The Refinery of Shandong Gold Mining Co., Ltd.</v>
          </cell>
          <cell r="E176" t="str">
            <v>CID001916</v>
          </cell>
        </row>
        <row r="177">
          <cell r="A177" t="str">
            <v>Gold</v>
          </cell>
          <cell r="C177" t="str">
            <v>Guoda Safina High-Tech Environmental Refinery Co., Ltd.</v>
          </cell>
          <cell r="E177" t="str">
            <v>CID000651</v>
          </cell>
        </row>
        <row r="178">
          <cell r="A178" t="str">
            <v>Gold</v>
          </cell>
          <cell r="C178" t="str">
            <v>Shandong Tiancheng Biological Gold Industrial Co., Ltd.</v>
          </cell>
          <cell r="E178" t="str">
            <v>CID001619</v>
          </cell>
        </row>
        <row r="179">
          <cell r="A179" t="str">
            <v>Gold</v>
          </cell>
          <cell r="C179" t="str">
            <v>Shandong Tiancheng Biological Gold Industrial Co., Ltd.</v>
          </cell>
          <cell r="E179" t="str">
            <v>CID001619</v>
          </cell>
        </row>
        <row r="180">
          <cell r="A180" t="str">
            <v>Gold</v>
          </cell>
          <cell r="C180" t="str">
            <v>Shandong Zhaojin Gold &amp; Silver Refinery Co., Ltd.</v>
          </cell>
          <cell r="E180" t="str">
            <v>CID001622</v>
          </cell>
        </row>
        <row r="181">
          <cell r="A181" t="str">
            <v>Gold</v>
          </cell>
          <cell r="C181" t="str">
            <v>The Refinery of Shandong Gold Mining Co., Ltd.</v>
          </cell>
          <cell r="E181" t="str">
            <v>CID001916</v>
          </cell>
        </row>
        <row r="182">
          <cell r="A182" t="str">
            <v>Gold</v>
          </cell>
          <cell r="C182" t="str">
            <v>Tanaka Kikinzoku Kogyo K.K.</v>
          </cell>
          <cell r="E182" t="str">
            <v>CID001875</v>
          </cell>
        </row>
        <row r="183">
          <cell r="A183" t="str">
            <v>Gold</v>
          </cell>
          <cell r="C183" t="str">
            <v>Sichuan Tianze Precious Metals Co., Ltd.</v>
          </cell>
          <cell r="E183" t="str">
            <v>CID001736</v>
          </cell>
        </row>
        <row r="184">
          <cell r="A184" t="str">
            <v>Gold</v>
          </cell>
          <cell r="C184" t="str">
            <v>Tanaka Kikinzoku Kogyo K.K.</v>
          </cell>
          <cell r="E184" t="str">
            <v>CID001875</v>
          </cell>
        </row>
        <row r="185">
          <cell r="A185" t="str">
            <v>Gold</v>
          </cell>
          <cell r="C185" t="str">
            <v>Singway Technology Co., Ltd.</v>
          </cell>
          <cell r="E185" t="str">
            <v>CID002516</v>
          </cell>
        </row>
        <row r="186">
          <cell r="A186" t="str">
            <v>Gold</v>
          </cell>
          <cell r="C186" t="str">
            <v>Sumitomo Metal Mining Co., Ltd.</v>
          </cell>
          <cell r="E186" t="str">
            <v>CID001798</v>
          </cell>
        </row>
        <row r="187">
          <cell r="A187" t="str">
            <v>Gold</v>
          </cell>
          <cell r="C187" t="str">
            <v>So Accurate Group, Inc.</v>
          </cell>
          <cell r="E187" t="str">
            <v>CID001754</v>
          </cell>
        </row>
        <row r="188">
          <cell r="A188" t="str">
            <v>Gold</v>
          </cell>
          <cell r="C188" t="str">
            <v>SOE Shyolkovsky Factory of Secondary Precious Metals</v>
          </cell>
          <cell r="E188" t="str">
            <v>CID001756</v>
          </cell>
        </row>
        <row r="189">
          <cell r="A189" t="str">
            <v>Gold</v>
          </cell>
          <cell r="C189" t="str">
            <v>Solar Applied Materials Technology Corp.</v>
          </cell>
          <cell r="E189" t="str">
            <v>CID001761</v>
          </cell>
        </row>
        <row r="190">
          <cell r="A190" t="str">
            <v>Gold</v>
          </cell>
          <cell r="C190" t="str">
            <v>Solar Applied Materials Technology Corp.</v>
          </cell>
          <cell r="E190" t="str">
            <v>CID001761</v>
          </cell>
        </row>
        <row r="191">
          <cell r="A191" t="str">
            <v>Gold</v>
          </cell>
          <cell r="C191" t="str">
            <v>Solar Applied Materials Technology Corp.</v>
          </cell>
          <cell r="E191" t="str">
            <v>CID001761</v>
          </cell>
        </row>
        <row r="192">
          <cell r="A192" t="str">
            <v>Gold</v>
          </cell>
          <cell r="C192" t="str">
            <v>Sudan Gold Refinery</v>
          </cell>
          <cell r="E192" t="str">
            <v>CID002567</v>
          </cell>
        </row>
        <row r="193">
          <cell r="A193" t="str">
            <v>Gold</v>
          </cell>
          <cell r="C193" t="str">
            <v>Sumitomo Metal Mining Co., Ltd.</v>
          </cell>
          <cell r="E193" t="str">
            <v>CID001798</v>
          </cell>
        </row>
        <row r="194">
          <cell r="A194" t="str">
            <v>Gold</v>
          </cell>
          <cell r="C194" t="str">
            <v>Sumitomo Metal Mining Co., Ltd.</v>
          </cell>
          <cell r="E194" t="str">
            <v>CID001798</v>
          </cell>
        </row>
        <row r="195">
          <cell r="A195" t="str">
            <v>Gold</v>
          </cell>
          <cell r="C195" t="str">
            <v>SungEel HiTech</v>
          </cell>
          <cell r="E195" t="str">
            <v>CID002918</v>
          </cell>
        </row>
        <row r="196">
          <cell r="A196" t="str">
            <v>Gold</v>
          </cell>
          <cell r="C196" t="str">
            <v>T.C.A S.p.A</v>
          </cell>
          <cell r="E196" t="str">
            <v>CID002580</v>
          </cell>
        </row>
        <row r="197">
          <cell r="A197" t="str">
            <v>Gold</v>
          </cell>
          <cell r="C197" t="str">
            <v>Mitsui Mining and Smelting Co., Ltd.</v>
          </cell>
          <cell r="E197" t="str">
            <v>CID001193</v>
          </cell>
        </row>
        <row r="198">
          <cell r="A198" t="str">
            <v>Gold</v>
          </cell>
          <cell r="C198" t="str">
            <v>JX Nippon Mining &amp; Metals Co., Ltd.</v>
          </cell>
          <cell r="E198" t="str">
            <v>CID000937</v>
          </cell>
        </row>
        <row r="199">
          <cell r="A199" t="str">
            <v>Gold</v>
          </cell>
          <cell r="C199" t="str">
            <v>Tanaka Kikinzoku Kogyo K.K.</v>
          </cell>
          <cell r="E199" t="str">
            <v>CID001875</v>
          </cell>
        </row>
        <row r="200">
          <cell r="A200" t="str">
            <v>Gold</v>
          </cell>
          <cell r="C200" t="str">
            <v>Tanaka Kikinzoku Kogyo K.K.</v>
          </cell>
          <cell r="E200" t="str">
            <v>CID001875</v>
          </cell>
        </row>
        <row r="201">
          <cell r="A201" t="str">
            <v>Gold</v>
          </cell>
          <cell r="C201" t="str">
            <v>Tanaka Kikinzoku Kogyo K.K.</v>
          </cell>
          <cell r="E201" t="str">
            <v>CID001875</v>
          </cell>
        </row>
        <row r="202">
          <cell r="A202" t="str">
            <v>Gold</v>
          </cell>
          <cell r="C202" t="str">
            <v>Tanaka Kikinzoku Kogyo K.K.</v>
          </cell>
          <cell r="E202" t="str">
            <v>CID001875</v>
          </cell>
        </row>
        <row r="203">
          <cell r="A203" t="str">
            <v>Gold</v>
          </cell>
          <cell r="C203" t="str">
            <v>Tanaka Kikinzoku Kogyo K.K.</v>
          </cell>
          <cell r="E203" t="str">
            <v>CID001875</v>
          </cell>
        </row>
        <row r="204">
          <cell r="A204" t="str">
            <v>Gold</v>
          </cell>
          <cell r="C204" t="str">
            <v>Tanaka Kikinzoku Kogyo K.K.</v>
          </cell>
          <cell r="E204" t="str">
            <v>CID001875</v>
          </cell>
        </row>
        <row r="205">
          <cell r="A205" t="str">
            <v>Gold</v>
          </cell>
          <cell r="C205" t="str">
            <v>Tanaka Kikinzoku Kogyo K.K.</v>
          </cell>
          <cell r="E205" t="str">
            <v>CID001875</v>
          </cell>
        </row>
        <row r="206">
          <cell r="A206" t="str">
            <v>Gold</v>
          </cell>
          <cell r="C206" t="str">
            <v>Tanaka Kikinzoku Kogyo K.K.</v>
          </cell>
          <cell r="E206" t="str">
            <v>CID001875</v>
          </cell>
        </row>
        <row r="207">
          <cell r="A207" t="str">
            <v>Gold</v>
          </cell>
          <cell r="C207" t="str">
            <v>Great Wall Precious Metals Co., Ltd. of CBPM</v>
          </cell>
          <cell r="E207" t="str">
            <v>CID001909</v>
          </cell>
        </row>
        <row r="208">
          <cell r="A208" t="str">
            <v>Gold</v>
          </cell>
          <cell r="C208" t="str">
            <v>Western Australian Mint trading as The Perth Mint</v>
          </cell>
          <cell r="E208" t="str">
            <v>CID002030</v>
          </cell>
        </row>
        <row r="209">
          <cell r="A209" t="str">
            <v>Gold</v>
          </cell>
          <cell r="C209" t="str">
            <v>The Refinery of Shandong Gold Mining Co., Ltd.</v>
          </cell>
          <cell r="E209" t="str">
            <v>CID001916</v>
          </cell>
        </row>
        <row r="210">
          <cell r="A210" t="str">
            <v>Gold</v>
          </cell>
          <cell r="C210" t="str">
            <v>Tokuriki Honten Co., Ltd.</v>
          </cell>
          <cell r="E210" t="str">
            <v>CID001938</v>
          </cell>
        </row>
        <row r="211">
          <cell r="A211" t="str">
            <v>Gold</v>
          </cell>
          <cell r="C211" t="str">
            <v>Tongling Nonferrous Metals Group Co., Ltd.</v>
          </cell>
          <cell r="E211" t="str">
            <v>CID001947</v>
          </cell>
        </row>
        <row r="212">
          <cell r="A212" t="str">
            <v>Gold</v>
          </cell>
          <cell r="C212" t="str">
            <v>Tongling Nonferrous Metals Group Co., Ltd.</v>
          </cell>
          <cell r="E212" t="str">
            <v>CID001947</v>
          </cell>
        </row>
        <row r="213">
          <cell r="A213" t="str">
            <v>Gold</v>
          </cell>
          <cell r="C213" t="str">
            <v>Tony Goetz NV</v>
          </cell>
          <cell r="E213" t="str">
            <v>CID002587</v>
          </cell>
        </row>
        <row r="214">
          <cell r="A214" t="str">
            <v>Gold</v>
          </cell>
          <cell r="C214" t="str">
            <v>TOO Tau-Ken-Altyn</v>
          </cell>
          <cell r="E214" t="str">
            <v>CID002615</v>
          </cell>
        </row>
        <row r="215">
          <cell r="A215" t="str">
            <v>Gold</v>
          </cell>
          <cell r="C215" t="str">
            <v>Torecom</v>
          </cell>
          <cell r="E215" t="str">
            <v>CID001955</v>
          </cell>
        </row>
        <row r="216">
          <cell r="A216" t="str">
            <v>Gold</v>
          </cell>
          <cell r="C216" t="str">
            <v>Sumitomo Metal Mining Co., Ltd.</v>
          </cell>
          <cell r="E216" t="str">
            <v>CID001798</v>
          </cell>
        </row>
        <row r="217">
          <cell r="A217" t="str">
            <v>Gold</v>
          </cell>
          <cell r="C217" t="str">
            <v>Umicore Brasil Ltda.</v>
          </cell>
          <cell r="E217" t="str">
            <v>CID001977</v>
          </cell>
        </row>
        <row r="218">
          <cell r="A218" t="str">
            <v>Gold</v>
          </cell>
          <cell r="C218" t="str">
            <v>Umicore Precious Metals Thailand</v>
          </cell>
          <cell r="E218" t="str">
            <v>CID002314</v>
          </cell>
        </row>
        <row r="219">
          <cell r="A219" t="str">
            <v>Gold</v>
          </cell>
          <cell r="C219" t="str">
            <v>Umicore S.A. Business Unit Precious Metals Refining</v>
          </cell>
          <cell r="E219" t="str">
            <v>CID001980</v>
          </cell>
        </row>
        <row r="220">
          <cell r="A220" t="str">
            <v>Gold</v>
          </cell>
          <cell r="C220" t="str">
            <v>United Precious Metal Refining, Inc.</v>
          </cell>
          <cell r="E220" t="str">
            <v>CID001993</v>
          </cell>
        </row>
        <row r="221">
          <cell r="A221" t="str">
            <v>Gold</v>
          </cell>
          <cell r="C221" t="str">
            <v>Universal Precious Metals Refining Zambia</v>
          </cell>
          <cell r="E221" t="str">
            <v>CID002854</v>
          </cell>
        </row>
        <row r="222">
          <cell r="A222" t="str">
            <v>Gold</v>
          </cell>
          <cell r="C222" t="str">
            <v>Valcambi S.A.</v>
          </cell>
          <cell r="E222" t="str">
            <v>CID002003</v>
          </cell>
        </row>
        <row r="223">
          <cell r="A223" t="str">
            <v>Gold</v>
          </cell>
          <cell r="C223" t="str">
            <v>Western Australian Mint trading as The Perth Mint</v>
          </cell>
          <cell r="E223" t="str">
            <v>CID002030</v>
          </cell>
        </row>
        <row r="224">
          <cell r="A224" t="str">
            <v>Gold</v>
          </cell>
          <cell r="C224" t="str">
            <v>WIELAND Edelmetalle GmbH</v>
          </cell>
          <cell r="E224" t="str">
            <v>CID002778</v>
          </cell>
        </row>
        <row r="225">
          <cell r="A225" t="str">
            <v>Gold</v>
          </cell>
          <cell r="C225" t="str">
            <v>Materion</v>
          </cell>
          <cell r="E225" t="str">
            <v>CID001113</v>
          </cell>
        </row>
        <row r="226">
          <cell r="A226" t="str">
            <v>Gold</v>
          </cell>
          <cell r="C226" t="str">
            <v>CCR Refinery - Glencore Canada Corporation</v>
          </cell>
          <cell r="E226" t="str">
            <v>CID000185</v>
          </cell>
        </row>
        <row r="227">
          <cell r="A227" t="str">
            <v>Gold</v>
          </cell>
          <cell r="C227" t="str">
            <v>Yamamoto Precious Metal Co., Ltd.</v>
          </cell>
          <cell r="E227" t="str">
            <v>CID002100</v>
          </cell>
        </row>
        <row r="228">
          <cell r="A228" t="str">
            <v>Gold</v>
          </cell>
          <cell r="C228" t="str">
            <v>Yamamoto Precious Metal Co., Ltd.</v>
          </cell>
          <cell r="E228" t="str">
            <v>CID002100</v>
          </cell>
        </row>
        <row r="229">
          <cell r="A229" t="str">
            <v>Gold</v>
          </cell>
          <cell r="C229" t="str">
            <v>Guoda Safina High-Tech Environmental Refinery Co., Ltd.</v>
          </cell>
          <cell r="E229" t="str">
            <v>CID000651</v>
          </cell>
        </row>
        <row r="230">
          <cell r="A230" t="str">
            <v>Gold</v>
          </cell>
          <cell r="C230" t="str">
            <v>Yokohama Metal Co., Ltd.</v>
          </cell>
          <cell r="E230" t="str">
            <v>CID002129</v>
          </cell>
        </row>
        <row r="231">
          <cell r="A231" t="str">
            <v>Gold</v>
          </cell>
          <cell r="C231" t="str">
            <v>Yunnan Copper Industry Co., Ltd.</v>
          </cell>
          <cell r="E231" t="str">
            <v>CID000197</v>
          </cell>
        </row>
        <row r="232">
          <cell r="A232" t="str">
            <v>Gold</v>
          </cell>
          <cell r="C232" t="str">
            <v>Shandong Zhaojin Gold &amp; Silver Refinery Co., Ltd.</v>
          </cell>
          <cell r="E232" t="str">
            <v>CID001622</v>
          </cell>
        </row>
        <row r="233">
          <cell r="A233" t="str">
            <v>Gold</v>
          </cell>
          <cell r="C233" t="str">
            <v>Shandong Zhaojin Gold &amp; Silver Refinery Co., Ltd.</v>
          </cell>
          <cell r="E233" t="str">
            <v>CID001622</v>
          </cell>
        </row>
        <row r="234">
          <cell r="A234" t="str">
            <v>Gold</v>
          </cell>
          <cell r="C234" t="str">
            <v>Shandong Zhaojin Gold &amp; Silver Refinery Co., Ltd.</v>
          </cell>
          <cell r="E234" t="str">
            <v>CID001622</v>
          </cell>
        </row>
        <row r="235">
          <cell r="A235" t="str">
            <v>Gold</v>
          </cell>
          <cell r="C235" t="str">
            <v>Shandong Zhaojin Gold &amp; Silver Refinery Co., Ltd.</v>
          </cell>
          <cell r="E235" t="str">
            <v>CID001622</v>
          </cell>
        </row>
        <row r="236">
          <cell r="A236" t="str">
            <v>Gold</v>
          </cell>
          <cell r="C236" t="str">
            <v>Shandong Zhaojin Gold &amp; Silver Refinery Co., Ltd.</v>
          </cell>
          <cell r="E236" t="str">
            <v>CID001622</v>
          </cell>
        </row>
        <row r="237">
          <cell r="A237" t="str">
            <v>Gold</v>
          </cell>
          <cell r="C237" t="str">
            <v>Shandong Zhaojin Gold &amp; Silver Refinery Co., Ltd.</v>
          </cell>
          <cell r="E237" t="str">
            <v>CID001622</v>
          </cell>
        </row>
        <row r="238">
          <cell r="A238" t="str">
            <v>Gold</v>
          </cell>
          <cell r="C238" t="str">
            <v>Zhongyuan Gold Smelter of Zhongjin Gold Corporation</v>
          </cell>
          <cell r="E238" t="str">
            <v>CID002224</v>
          </cell>
        </row>
        <row r="239">
          <cell r="A239" t="str">
            <v>Gold</v>
          </cell>
          <cell r="C239" t="str">
            <v>Zhongyuan Gold Smelter of Zhongjin Gold Corporation</v>
          </cell>
          <cell r="E239" t="str">
            <v>CID002224</v>
          </cell>
        </row>
        <row r="240">
          <cell r="A240" t="str">
            <v>Gold</v>
          </cell>
          <cell r="C240" t="str">
            <v>Zijin Mining Group Co., Ltd. Gold Refinery</v>
          </cell>
          <cell r="E240" t="str">
            <v>CID002243</v>
          </cell>
        </row>
        <row r="241">
          <cell r="A241" t="str">
            <v>Gold</v>
          </cell>
          <cell r="C241" t="str">
            <v>Zijin Mining Group Co., Ltd. Gold Refinery</v>
          </cell>
          <cell r="E241" t="str">
            <v>CID002243</v>
          </cell>
        </row>
        <row r="242">
          <cell r="A242" t="str">
            <v>Gold</v>
          </cell>
          <cell r="C242" t="str">
            <v>Zijin Mining Group Co., Ltd. Gold Refinery</v>
          </cell>
          <cell r="E242" t="str">
            <v>CID002243</v>
          </cell>
        </row>
        <row r="243">
          <cell r="A243" t="str">
            <v>Gold</v>
          </cell>
        </row>
        <row r="244">
          <cell r="A244" t="str">
            <v>Gold</v>
          </cell>
          <cell r="C244" t="str">
            <v>Unknown</v>
          </cell>
        </row>
        <row r="245">
          <cell r="A245" t="str">
            <v>Tantalum</v>
          </cell>
          <cell r="C245" t="str">
            <v>Changsha South Tantalum Niobium Co., Ltd.</v>
          </cell>
          <cell r="E245" t="str">
            <v>CID000211</v>
          </cell>
        </row>
        <row r="246">
          <cell r="A246" t="str">
            <v>Tantalum</v>
          </cell>
          <cell r="C246" t="str">
            <v>Changsha South Tantalum Niobium Co., Ltd.</v>
          </cell>
          <cell r="E246" t="str">
            <v>CID000211</v>
          </cell>
        </row>
        <row r="247">
          <cell r="A247" t="str">
            <v>Tantalum</v>
          </cell>
          <cell r="C247" t="str">
            <v>Conghua Tantalum and Niobium Smeltry</v>
          </cell>
          <cell r="E247" t="str">
            <v>CID000291</v>
          </cell>
        </row>
        <row r="248">
          <cell r="A248" t="str">
            <v>Tantalum</v>
          </cell>
          <cell r="C248" t="str">
            <v>D Block Metals, LLC</v>
          </cell>
          <cell r="E248" t="str">
            <v>CID002504</v>
          </cell>
        </row>
        <row r="249">
          <cell r="A249" t="str">
            <v>Tantalum</v>
          </cell>
          <cell r="C249" t="str">
            <v>Duoluoshan</v>
          </cell>
          <cell r="E249" t="str">
            <v>CID000410</v>
          </cell>
        </row>
        <row r="250">
          <cell r="A250" t="str">
            <v>Tantalum</v>
          </cell>
          <cell r="C250" t="str">
            <v>Duoluoshan</v>
          </cell>
          <cell r="E250" t="str">
            <v>CID000410</v>
          </cell>
        </row>
        <row r="251">
          <cell r="A251" t="str">
            <v>Tantalum</v>
          </cell>
          <cell r="C251" t="str">
            <v>E.S.R. Electronics</v>
          </cell>
          <cell r="E251" t="str">
            <v>CID002590</v>
          </cell>
        </row>
        <row r="252">
          <cell r="A252" t="str">
            <v>Tantalum</v>
          </cell>
          <cell r="C252" t="str">
            <v>Exotech Inc.</v>
          </cell>
          <cell r="E252" t="str">
            <v>CID000456</v>
          </cell>
        </row>
        <row r="253">
          <cell r="A253" t="str">
            <v>Tantalum</v>
          </cell>
          <cell r="C253" t="str">
            <v>F&amp;X Electro-Materials Ltd.</v>
          </cell>
          <cell r="E253" t="str">
            <v>CID000460</v>
          </cell>
        </row>
        <row r="254">
          <cell r="A254" t="str">
            <v>Tantalum</v>
          </cell>
          <cell r="C254" t="str">
            <v>F&amp;X Electro-Materials Ltd.</v>
          </cell>
          <cell r="E254" t="str">
            <v>CID000460</v>
          </cell>
        </row>
        <row r="255">
          <cell r="A255" t="str">
            <v>Tantalum</v>
          </cell>
          <cell r="C255" t="str">
            <v>FIR Metals &amp; Resource Ltd.</v>
          </cell>
          <cell r="E255" t="str">
            <v>CID002505</v>
          </cell>
        </row>
        <row r="256">
          <cell r="A256" t="str">
            <v>Tantalum</v>
          </cell>
          <cell r="C256" t="str">
            <v>Global Advanced Metals Aizu</v>
          </cell>
          <cell r="E256" t="str">
            <v>CID002558</v>
          </cell>
        </row>
        <row r="257">
          <cell r="A257" t="str">
            <v>Tantalum</v>
          </cell>
          <cell r="C257" t="str">
            <v>Global Advanced Metals Boyertown</v>
          </cell>
          <cell r="E257" t="str">
            <v>CID002557</v>
          </cell>
        </row>
        <row r="258">
          <cell r="A258" t="str">
            <v>Tantalum</v>
          </cell>
          <cell r="C258" t="str">
            <v>Guangdong Zhiyuan New Material Co., Ltd.</v>
          </cell>
          <cell r="E258" t="str">
            <v>CID000616</v>
          </cell>
        </row>
        <row r="259">
          <cell r="A259" t="str">
            <v>Tantalum</v>
          </cell>
          <cell r="C259" t="str">
            <v>H.C. Starck Co., Ltd.</v>
          </cell>
          <cell r="E259" t="str">
            <v>CID002544</v>
          </cell>
        </row>
        <row r="260">
          <cell r="A260" t="str">
            <v>Tantalum</v>
          </cell>
          <cell r="C260" t="str">
            <v>H.C. Starck GmbH Goslar</v>
          </cell>
          <cell r="E260" t="str">
            <v>CID002545</v>
          </cell>
        </row>
        <row r="261">
          <cell r="A261" t="str">
            <v>Tantalum</v>
          </cell>
          <cell r="C261" t="str">
            <v>H.C. Starck GmbH Laufenburg</v>
          </cell>
          <cell r="E261" t="str">
            <v>CID002546</v>
          </cell>
        </row>
        <row r="262">
          <cell r="A262" t="str">
            <v>Tantalum</v>
          </cell>
          <cell r="C262" t="str">
            <v>H.C. Starck Hermsdorf GmbH</v>
          </cell>
          <cell r="E262" t="str">
            <v>CID002547</v>
          </cell>
        </row>
        <row r="263">
          <cell r="A263" t="str">
            <v>Tantalum</v>
          </cell>
          <cell r="C263" t="str">
            <v>H.C. Starck Inc.</v>
          </cell>
          <cell r="E263" t="str">
            <v>CID002548</v>
          </cell>
        </row>
        <row r="264">
          <cell r="A264" t="str">
            <v>Tantalum</v>
          </cell>
          <cell r="C264" t="str">
            <v>H.C. Starck Ltd.</v>
          </cell>
          <cell r="E264" t="str">
            <v>CID002549</v>
          </cell>
        </row>
        <row r="265">
          <cell r="A265" t="str">
            <v>Tantalum</v>
          </cell>
          <cell r="C265" t="str">
            <v>H.C. Starck Smelting GmbH &amp; Co. KG</v>
          </cell>
          <cell r="E265" t="str">
            <v>CID002550</v>
          </cell>
        </row>
        <row r="266">
          <cell r="A266" t="str">
            <v>Tantalum</v>
          </cell>
          <cell r="C266" t="str">
            <v>Hengyang King Xing Lifeng New Materials Co., Ltd.</v>
          </cell>
          <cell r="E266" t="str">
            <v>CID002492</v>
          </cell>
        </row>
        <row r="267">
          <cell r="A267" t="str">
            <v>Tantalum</v>
          </cell>
          <cell r="C267" t="str">
            <v>Hi-Temp Specialty Metals, Inc.</v>
          </cell>
          <cell r="E267" t="str">
            <v>CID000731</v>
          </cell>
        </row>
        <row r="268">
          <cell r="A268" t="str">
            <v>Tantalum</v>
          </cell>
          <cell r="C268" t="str">
            <v>Hi-Temp Specialty Metals, Inc.</v>
          </cell>
          <cell r="E268" t="str">
            <v>CID000731</v>
          </cell>
        </row>
        <row r="269">
          <cell r="A269" t="str">
            <v>Tantalum</v>
          </cell>
          <cell r="C269" t="str">
            <v>Jiangxi Dinghai Tantalum &amp; Niobium Co., Ltd.</v>
          </cell>
          <cell r="E269" t="str">
            <v>CID002512</v>
          </cell>
        </row>
        <row r="270">
          <cell r="A270" t="str">
            <v>Tantalum</v>
          </cell>
          <cell r="C270" t="str">
            <v>Jiangxi Tuohong New Raw Material</v>
          </cell>
          <cell r="E270" t="str">
            <v>CID002842</v>
          </cell>
        </row>
        <row r="271">
          <cell r="A271" t="str">
            <v>Tantalum</v>
          </cell>
          <cell r="C271" t="str">
            <v>JiuJiang JinXin Nonferrous Metals Co., Ltd.</v>
          </cell>
          <cell r="E271" t="str">
            <v>CID000914</v>
          </cell>
        </row>
        <row r="272">
          <cell r="A272" t="str">
            <v>Tantalum</v>
          </cell>
          <cell r="C272" t="str">
            <v>Jiujiang Tanbre Co., Ltd.</v>
          </cell>
          <cell r="E272" t="str">
            <v>CID000917</v>
          </cell>
        </row>
        <row r="273">
          <cell r="A273" t="str">
            <v>Tantalum</v>
          </cell>
          <cell r="C273" t="str">
            <v>Jiujiang Zhongao Tantalum &amp; Niobium Co., Ltd.</v>
          </cell>
          <cell r="E273" t="str">
            <v>CID002506</v>
          </cell>
        </row>
        <row r="274">
          <cell r="A274" t="str">
            <v>Tantalum</v>
          </cell>
          <cell r="C274" t="str">
            <v>KEMET Blue Metals</v>
          </cell>
          <cell r="E274" t="str">
            <v>CID002539</v>
          </cell>
        </row>
        <row r="275">
          <cell r="A275" t="str">
            <v>Tantalum</v>
          </cell>
          <cell r="C275" t="str">
            <v>KEMET Blue Powder</v>
          </cell>
          <cell r="E275" t="str">
            <v>CID002568</v>
          </cell>
        </row>
        <row r="276">
          <cell r="A276" t="str">
            <v>Tantalum</v>
          </cell>
          <cell r="C276" t="str">
            <v>King-Tan Tantalum Industry Ltd.</v>
          </cell>
          <cell r="E276" t="str">
            <v>CID000973</v>
          </cell>
        </row>
        <row r="277">
          <cell r="A277" t="str">
            <v>Tantalum</v>
          </cell>
          <cell r="C277" t="str">
            <v>LSM Brasil S.A.</v>
          </cell>
          <cell r="E277" t="str">
            <v>CID001076</v>
          </cell>
        </row>
        <row r="278">
          <cell r="A278" t="str">
            <v>Tantalum</v>
          </cell>
          <cell r="C278" t="str">
            <v>Metallurgical Products India Pvt., Ltd.</v>
          </cell>
          <cell r="E278" t="str">
            <v>CID001163</v>
          </cell>
        </row>
        <row r="279">
          <cell r="A279" t="str">
            <v>Tantalum</v>
          </cell>
          <cell r="C279" t="str">
            <v>Metallurgical Products India Pvt., Ltd.</v>
          </cell>
          <cell r="E279" t="str">
            <v>CID001163</v>
          </cell>
        </row>
        <row r="280">
          <cell r="A280" t="str">
            <v>Tantalum</v>
          </cell>
          <cell r="C280" t="str">
            <v>Mineração Taboca S.A.</v>
          </cell>
          <cell r="E280" t="str">
            <v>CID001175</v>
          </cell>
        </row>
        <row r="281">
          <cell r="A281" t="str">
            <v>Tantalum</v>
          </cell>
          <cell r="C281" t="str">
            <v>Mitsui Mining and Smelting Co., Ltd.</v>
          </cell>
          <cell r="E281" t="str">
            <v>CID001192</v>
          </cell>
        </row>
        <row r="282">
          <cell r="A282" t="str">
            <v>Tantalum</v>
          </cell>
          <cell r="C282" t="str">
            <v>Mitsui Mining &amp; Smelting</v>
          </cell>
          <cell r="E282" t="str">
            <v>CID001192</v>
          </cell>
        </row>
        <row r="283">
          <cell r="A283" t="str">
            <v>Tantalum</v>
          </cell>
          <cell r="C283" t="str">
            <v>Molycorp Silmet A.S.</v>
          </cell>
          <cell r="E283" t="str">
            <v>CID001200</v>
          </cell>
        </row>
        <row r="284">
          <cell r="A284" t="str">
            <v>Tantalum</v>
          </cell>
          <cell r="C284" t="str">
            <v>Ningxia Orient Tantalum Industry Co., Ltd.</v>
          </cell>
          <cell r="E284" t="str">
            <v>CID001277</v>
          </cell>
        </row>
        <row r="285">
          <cell r="A285" t="str">
            <v>Tantalum</v>
          </cell>
          <cell r="C285" t="str">
            <v>Plansee SE Liezen</v>
          </cell>
          <cell r="E285" t="str">
            <v>CID002540</v>
          </cell>
        </row>
        <row r="286">
          <cell r="A286" t="str">
            <v>Tantalum</v>
          </cell>
          <cell r="C286" t="str">
            <v>Plansee SE Reutte</v>
          </cell>
          <cell r="E286" t="str">
            <v>CID002556</v>
          </cell>
        </row>
        <row r="287">
          <cell r="A287" t="str">
            <v>Tantalum</v>
          </cell>
          <cell r="C287" t="str">
            <v>Power Resources Ltd.</v>
          </cell>
          <cell r="E287" t="str">
            <v>CID002847</v>
          </cell>
        </row>
        <row r="288">
          <cell r="A288" t="str">
            <v>Tantalum</v>
          </cell>
          <cell r="C288" t="str">
            <v>QuantumClean</v>
          </cell>
          <cell r="E288" t="str">
            <v>CID001508</v>
          </cell>
        </row>
        <row r="289">
          <cell r="A289" t="str">
            <v>Tantalum</v>
          </cell>
          <cell r="C289" t="str">
            <v>Resind Indústria e Comércio Ltda.</v>
          </cell>
          <cell r="E289" t="str">
            <v>CID002707</v>
          </cell>
        </row>
        <row r="290">
          <cell r="A290" t="str">
            <v>Tantalum</v>
          </cell>
          <cell r="C290" t="str">
            <v>RFH Tantalum Smeltry Co., Ltd.</v>
          </cell>
          <cell r="E290" t="str">
            <v>CID001522</v>
          </cell>
        </row>
        <row r="291">
          <cell r="A291" t="str">
            <v>Tantalum</v>
          </cell>
          <cell r="C291" t="str">
            <v>RFH Tantalum Smeltry Co., Ltd.</v>
          </cell>
          <cell r="E291" t="str">
            <v>CID001522</v>
          </cell>
        </row>
        <row r="292">
          <cell r="A292" t="str">
            <v>Tantalum</v>
          </cell>
          <cell r="C292" t="str">
            <v>RFH Tantalum Smeltry Co., Ltd.</v>
          </cell>
          <cell r="E292" t="str">
            <v>CID001522</v>
          </cell>
        </row>
        <row r="293">
          <cell r="A293" t="str">
            <v>Tantalum</v>
          </cell>
          <cell r="C293" t="str">
            <v>Solikamsk Magnesium Works OAO</v>
          </cell>
          <cell r="E293" t="str">
            <v>CID001769</v>
          </cell>
        </row>
        <row r="294">
          <cell r="A294" t="str">
            <v>Tantalum</v>
          </cell>
          <cell r="C294" t="str">
            <v>Solikamsk Magnesium Works OAO</v>
          </cell>
          <cell r="E294" t="str">
            <v>CID001769</v>
          </cell>
        </row>
        <row r="295">
          <cell r="A295" t="str">
            <v>Tantalum</v>
          </cell>
          <cell r="C295" t="str">
            <v>Solikamsk Magnesium Works OAO</v>
          </cell>
          <cell r="E295" t="str">
            <v>CID001769</v>
          </cell>
        </row>
        <row r="296">
          <cell r="A296" t="str">
            <v>Tantalum</v>
          </cell>
          <cell r="C296" t="str">
            <v>Taki Chemical Co., Ltd.</v>
          </cell>
          <cell r="E296" t="str">
            <v>CID001869</v>
          </cell>
        </row>
        <row r="297">
          <cell r="A297" t="str">
            <v>Tantalum</v>
          </cell>
          <cell r="C297" t="str">
            <v>Taki Chemical Co., Ltd.</v>
          </cell>
          <cell r="E297" t="str">
            <v>CID001869</v>
          </cell>
        </row>
        <row r="298">
          <cell r="A298" t="str">
            <v>Tantalum</v>
          </cell>
          <cell r="C298" t="str">
            <v>Telex Metals</v>
          </cell>
          <cell r="E298" t="str">
            <v>CID001891</v>
          </cell>
        </row>
        <row r="299">
          <cell r="A299" t="str">
            <v>Tantalum</v>
          </cell>
          <cell r="C299" t="str">
            <v>Tranzact, Inc.</v>
          </cell>
          <cell r="E299" t="str">
            <v>CID002571</v>
          </cell>
        </row>
        <row r="300">
          <cell r="A300" t="str">
            <v>Tantalum</v>
          </cell>
          <cell r="C300" t="str">
            <v>Ulba Metallurgical Plant JSC</v>
          </cell>
          <cell r="E300" t="str">
            <v>CID001969</v>
          </cell>
        </row>
        <row r="301">
          <cell r="A301" t="str">
            <v>Tantalum</v>
          </cell>
          <cell r="C301" t="str">
            <v>Ulba Metallurgical Plant JSC</v>
          </cell>
          <cell r="E301" t="str">
            <v>CID001969</v>
          </cell>
        </row>
        <row r="302">
          <cell r="A302" t="str">
            <v>Tantalum</v>
          </cell>
          <cell r="C302" t="str">
            <v>XinXing HaoRong Electronic Material Co., Ltd.</v>
          </cell>
          <cell r="E302" t="str">
            <v>CID002508</v>
          </cell>
        </row>
        <row r="303">
          <cell r="A303" t="str">
            <v>Tantalum</v>
          </cell>
          <cell r="C303" t="str">
            <v>Yichun Jin Yang Rare Metal Co., Ltd.</v>
          </cell>
          <cell r="E303" t="str">
            <v>CID002307</v>
          </cell>
        </row>
        <row r="304">
          <cell r="A304" t="str">
            <v>Tantalum</v>
          </cell>
          <cell r="C304" t="str">
            <v>Duoluoshan</v>
          </cell>
          <cell r="E304" t="str">
            <v>CID000410</v>
          </cell>
        </row>
        <row r="305">
          <cell r="A305" t="str">
            <v>Tantalum</v>
          </cell>
          <cell r="C305" t="str">
            <v>Zhuzhou Cemented Carbide Group Co., Ltd.</v>
          </cell>
          <cell r="E305" t="str">
            <v>CID002232</v>
          </cell>
        </row>
        <row r="306">
          <cell r="A306" t="str">
            <v>Tantalum</v>
          </cell>
          <cell r="C306" t="str">
            <v>Zhuzhou Cemented Carbide Group Co., Ltd.</v>
          </cell>
          <cell r="E306" t="str">
            <v>CID002232</v>
          </cell>
        </row>
        <row r="307">
          <cell r="A307" t="str">
            <v>Tantalum</v>
          </cell>
          <cell r="C307" t="str">
            <v>Zhuzhou Cemented Carbide Group Co., Ltd.</v>
          </cell>
          <cell r="E307" t="str">
            <v>CID002232</v>
          </cell>
        </row>
        <row r="308">
          <cell r="A308" t="str">
            <v>Tantalum</v>
          </cell>
        </row>
        <row r="309">
          <cell r="A309" t="str">
            <v>Tantalum</v>
          </cell>
          <cell r="C309" t="str">
            <v>Unknown</v>
          </cell>
        </row>
        <row r="310">
          <cell r="A310" t="str">
            <v>Tin</v>
          </cell>
          <cell r="C310" t="str">
            <v>Alpha</v>
          </cell>
          <cell r="E310" t="str">
            <v>CID000292</v>
          </cell>
        </row>
        <row r="311">
          <cell r="A311" t="str">
            <v>Tin</v>
          </cell>
          <cell r="C311" t="str">
            <v>Alpha</v>
          </cell>
          <cell r="E311" t="str">
            <v>CID000292</v>
          </cell>
        </row>
        <row r="312">
          <cell r="A312" t="str">
            <v>Tin</v>
          </cell>
          <cell r="C312" t="str">
            <v>Alpha</v>
          </cell>
          <cell r="E312" t="str">
            <v>CID000292</v>
          </cell>
        </row>
        <row r="313">
          <cell r="A313" t="str">
            <v>Tin</v>
          </cell>
          <cell r="C313" t="str">
            <v>Alpha</v>
          </cell>
          <cell r="E313" t="str">
            <v>CID000292</v>
          </cell>
        </row>
        <row r="314">
          <cell r="A314" t="str">
            <v>Tin</v>
          </cell>
          <cell r="C314" t="str">
            <v>Alpha</v>
          </cell>
          <cell r="E314" t="str">
            <v>CID000292</v>
          </cell>
        </row>
        <row r="315">
          <cell r="A315" t="str">
            <v>Tin</v>
          </cell>
          <cell r="C315" t="str">
            <v>An Thai Minerals Co., Ltd.</v>
          </cell>
          <cell r="E315" t="str">
            <v>CID002825</v>
          </cell>
        </row>
        <row r="316">
          <cell r="A316" t="str">
            <v>Tin</v>
          </cell>
          <cell r="C316" t="str">
            <v>An Vinh Joint Stock Mineral Processing Company</v>
          </cell>
          <cell r="E316" t="str">
            <v>CID002703</v>
          </cell>
        </row>
        <row r="317">
          <cell r="A317" t="str">
            <v>Tin</v>
          </cell>
          <cell r="C317" t="str">
            <v>PT Bukit Timah</v>
          </cell>
          <cell r="E317" t="str">
            <v>CID001428</v>
          </cell>
        </row>
        <row r="318">
          <cell r="A318" t="str">
            <v>Tin</v>
          </cell>
          <cell r="C318" t="str">
            <v>PT Refined Bangka Tin</v>
          </cell>
          <cell r="E318" t="str">
            <v>CID001460</v>
          </cell>
        </row>
        <row r="319">
          <cell r="A319" t="str">
            <v>Tin</v>
          </cell>
          <cell r="C319" t="str">
            <v>Yunnan Chengfeng Non-ferrous Metals Co., Ltd.</v>
          </cell>
          <cell r="E319" t="str">
            <v>CID002158</v>
          </cell>
        </row>
        <row r="320">
          <cell r="A320" t="str">
            <v>Tin</v>
          </cell>
          <cell r="C320" t="str">
            <v>Chenzhou Yunxiang Mining and Metallurgy Co., Ltd.</v>
          </cell>
          <cell r="E320" t="str">
            <v>CID000228</v>
          </cell>
        </row>
        <row r="321">
          <cell r="A321" t="str">
            <v>Tin</v>
          </cell>
          <cell r="C321" t="str">
            <v>Chenzhou Yunxiang Mining and Metallurgy Co., Ltd.</v>
          </cell>
          <cell r="E321" t="str">
            <v>CID000228</v>
          </cell>
        </row>
        <row r="322">
          <cell r="A322" t="str">
            <v>Tin</v>
          </cell>
          <cell r="C322" t="str">
            <v>Jiangxi Ketai Advanced Material Co., Ltd.</v>
          </cell>
          <cell r="E322" t="str">
            <v>CID000244</v>
          </cell>
        </row>
        <row r="323">
          <cell r="A323" t="str">
            <v>Tin</v>
          </cell>
          <cell r="C323" t="str">
            <v>China Tin Group Co., Ltd.</v>
          </cell>
          <cell r="E323" t="str">
            <v>CID001070</v>
          </cell>
        </row>
        <row r="324">
          <cell r="A324" t="str">
            <v>Tin</v>
          </cell>
          <cell r="C324" t="str">
            <v>China Tin Group Co., Ltd.</v>
          </cell>
          <cell r="E324" t="str">
            <v>CID001070</v>
          </cell>
        </row>
        <row r="325">
          <cell r="A325" t="str">
            <v>Tin</v>
          </cell>
          <cell r="C325" t="str">
            <v>China Tin Group Co., Ltd.</v>
          </cell>
          <cell r="E325" t="str">
            <v>CID001070</v>
          </cell>
        </row>
        <row r="326">
          <cell r="A326" t="str">
            <v>Tin</v>
          </cell>
          <cell r="C326" t="str">
            <v>Yunnan Tin Company Limited</v>
          </cell>
          <cell r="E326" t="str">
            <v>CID002180</v>
          </cell>
        </row>
        <row r="327">
          <cell r="A327" t="str">
            <v>Tin</v>
          </cell>
          <cell r="C327" t="str">
            <v>CNMC (Guangxi) PGMA Co., Ltd.</v>
          </cell>
          <cell r="E327" t="str">
            <v>CID000278</v>
          </cell>
        </row>
        <row r="328">
          <cell r="A328" t="str">
            <v>Tin</v>
          </cell>
          <cell r="C328" t="str">
            <v>Alpha</v>
          </cell>
          <cell r="E328" t="str">
            <v>CID000292</v>
          </cell>
        </row>
        <row r="329">
          <cell r="A329" t="str">
            <v>Tin</v>
          </cell>
          <cell r="C329" t="str">
            <v>Alpha</v>
          </cell>
          <cell r="E329" t="str">
            <v>CID000292</v>
          </cell>
        </row>
        <row r="330">
          <cell r="A330" t="str">
            <v>Tin</v>
          </cell>
          <cell r="C330" t="str">
            <v>Alpha</v>
          </cell>
          <cell r="E330" t="str">
            <v>CID000292</v>
          </cell>
        </row>
        <row r="331">
          <cell r="A331" t="str">
            <v>Tin</v>
          </cell>
          <cell r="C331" t="str">
            <v>Cooperativa Metalurgica de Rondônia Ltda.</v>
          </cell>
          <cell r="E331" t="str">
            <v>CID000295</v>
          </cell>
        </row>
        <row r="332">
          <cell r="A332" t="str">
            <v>Tin</v>
          </cell>
          <cell r="C332" t="str">
            <v>Cooperativa Metalurgica de Rondônia Ltda.</v>
          </cell>
          <cell r="E332" t="str">
            <v>CID000295</v>
          </cell>
        </row>
        <row r="333">
          <cell r="A333" t="str">
            <v>Tin</v>
          </cell>
          <cell r="C333" t="str">
            <v>Cooperativa Metalurgica de Rondônia Ltda.</v>
          </cell>
          <cell r="E333" t="str">
            <v>CID000295</v>
          </cell>
        </row>
        <row r="334">
          <cell r="A334" t="str">
            <v>Tin</v>
          </cell>
          <cell r="C334" t="str">
            <v>CV Ayi Jaya</v>
          </cell>
          <cell r="E334" t="str">
            <v>CID002570</v>
          </cell>
        </row>
        <row r="335">
          <cell r="A335" t="str">
            <v>Tin</v>
          </cell>
          <cell r="C335" t="str">
            <v>CV Dua Sekawan</v>
          </cell>
          <cell r="E335" t="str">
            <v>CID002592</v>
          </cell>
        </row>
        <row r="336">
          <cell r="A336" t="str">
            <v>Tin</v>
          </cell>
          <cell r="C336" t="str">
            <v>CV Gita Pesona</v>
          </cell>
          <cell r="E336" t="str">
            <v>CID000306</v>
          </cell>
        </row>
        <row r="337">
          <cell r="A337" t="str">
            <v>Tin</v>
          </cell>
          <cell r="C337" t="str">
            <v>PT Justindo</v>
          </cell>
          <cell r="E337" t="str">
            <v>CID000307</v>
          </cell>
        </row>
        <row r="338">
          <cell r="A338" t="str">
            <v>Tin</v>
          </cell>
          <cell r="C338" t="str">
            <v>PT Aries Kencana Sejahtera</v>
          </cell>
          <cell r="E338" t="str">
            <v>CID000309</v>
          </cell>
        </row>
        <row r="339">
          <cell r="A339" t="str">
            <v>Tin</v>
          </cell>
          <cell r="C339" t="str">
            <v>CV Serumpun Sebalai</v>
          </cell>
          <cell r="E339" t="str">
            <v>CID000313</v>
          </cell>
        </row>
        <row r="340">
          <cell r="A340" t="str">
            <v>Tin</v>
          </cell>
          <cell r="C340" t="str">
            <v>CV Tiga Sekawan</v>
          </cell>
          <cell r="E340" t="str">
            <v>CID002593</v>
          </cell>
        </row>
        <row r="341">
          <cell r="A341" t="str">
            <v>Tin</v>
          </cell>
          <cell r="C341" t="str">
            <v>CV United Smelting</v>
          </cell>
          <cell r="E341" t="str">
            <v>CID000315</v>
          </cell>
        </row>
        <row r="342">
          <cell r="A342" t="str">
            <v>Tin</v>
          </cell>
          <cell r="C342" t="str">
            <v>CV Venus Inti Perkasa</v>
          </cell>
          <cell r="E342" t="str">
            <v>CID002455</v>
          </cell>
        </row>
        <row r="343">
          <cell r="A343" t="str">
            <v>Tin</v>
          </cell>
          <cell r="C343" t="str">
            <v>Dowa</v>
          </cell>
          <cell r="E343" t="str">
            <v>CID000402</v>
          </cell>
        </row>
        <row r="344">
          <cell r="A344" t="str">
            <v>Tin</v>
          </cell>
          <cell r="C344" t="str">
            <v>Dowa</v>
          </cell>
          <cell r="E344" t="str">
            <v>CID000402</v>
          </cell>
        </row>
        <row r="345">
          <cell r="A345" t="str">
            <v>Tin</v>
          </cell>
          <cell r="C345" t="str">
            <v>Electro-Mechanical Facility of the Cao Bang Minerals &amp; Metallurgy Joint Stock Company</v>
          </cell>
          <cell r="E345" t="str">
            <v>CID002572</v>
          </cell>
        </row>
        <row r="346">
          <cell r="A346" t="str">
            <v>Tin</v>
          </cell>
          <cell r="C346" t="str">
            <v>Elmet S.L.U.</v>
          </cell>
          <cell r="E346" t="str">
            <v>CID002774</v>
          </cell>
        </row>
        <row r="347">
          <cell r="A347" t="str">
            <v>Tin</v>
          </cell>
          <cell r="C347" t="str">
            <v>EM Vinto</v>
          </cell>
          <cell r="E347" t="str">
            <v>CID000438</v>
          </cell>
        </row>
        <row r="348">
          <cell r="A348" t="str">
            <v>Tin</v>
          </cell>
          <cell r="C348" t="str">
            <v>EM Vinto</v>
          </cell>
          <cell r="E348" t="str">
            <v>CID000438</v>
          </cell>
        </row>
        <row r="349">
          <cell r="A349" t="str">
            <v>Tin</v>
          </cell>
          <cell r="C349" t="str">
            <v>EM Vinto</v>
          </cell>
          <cell r="E349" t="str">
            <v>CID000438</v>
          </cell>
        </row>
        <row r="350">
          <cell r="A350" t="str">
            <v>Tin</v>
          </cell>
          <cell r="C350" t="str">
            <v>EM Vinto</v>
          </cell>
          <cell r="E350" t="str">
            <v>CID000438</v>
          </cell>
        </row>
        <row r="351">
          <cell r="A351" t="str">
            <v>Tin</v>
          </cell>
          <cell r="C351" t="str">
            <v>Estanho de Rondônia S.A.</v>
          </cell>
          <cell r="E351" t="str">
            <v>CID000448</v>
          </cell>
        </row>
        <row r="352">
          <cell r="A352" t="str">
            <v>Tin</v>
          </cell>
          <cell r="C352" t="str">
            <v>Fenix Metals</v>
          </cell>
          <cell r="E352" t="str">
            <v>CID000468</v>
          </cell>
        </row>
        <row r="353">
          <cell r="A353" t="str">
            <v>Tin</v>
          </cell>
          <cell r="C353" t="str">
            <v>Minsur</v>
          </cell>
          <cell r="E353" t="str">
            <v>CID001182</v>
          </cell>
        </row>
        <row r="354">
          <cell r="A354" t="str">
            <v>Tin</v>
          </cell>
          <cell r="C354" t="str">
            <v>Yunnan Chengfeng Non-ferrous Metals Co., Ltd.</v>
          </cell>
          <cell r="E354" t="str">
            <v>CID002158</v>
          </cell>
        </row>
        <row r="355">
          <cell r="A355" t="str">
            <v>Tin</v>
          </cell>
          <cell r="C355" t="str">
            <v>Gejiu Fengming Metallurgy Chemical Plant</v>
          </cell>
          <cell r="E355" t="str">
            <v>CID002848</v>
          </cell>
        </row>
        <row r="356">
          <cell r="A356" t="str">
            <v>Tin</v>
          </cell>
          <cell r="C356" t="str">
            <v>Gejiu Jinye Mineral Company</v>
          </cell>
          <cell r="E356" t="str">
            <v>CID002859</v>
          </cell>
        </row>
        <row r="357">
          <cell r="A357" t="str">
            <v>Tin</v>
          </cell>
          <cell r="C357" t="str">
            <v>Gejiu Kai Meng Industry and Trade LLC</v>
          </cell>
          <cell r="E357" t="str">
            <v>CID000942</v>
          </cell>
        </row>
        <row r="358">
          <cell r="A358" t="str">
            <v>Tin</v>
          </cell>
          <cell r="C358" t="str">
            <v>Gejiu Non-Ferrous Metal Processing Co., Ltd.</v>
          </cell>
          <cell r="E358" t="str">
            <v>CID000538</v>
          </cell>
        </row>
        <row r="359">
          <cell r="A359" t="str">
            <v>Tin</v>
          </cell>
          <cell r="C359" t="str">
            <v>Gejiu Yunxin Nonferrous Electrolysis Co., Ltd.</v>
          </cell>
          <cell r="E359" t="str">
            <v>CID001908</v>
          </cell>
        </row>
        <row r="360">
          <cell r="A360" t="str">
            <v>Tin</v>
          </cell>
          <cell r="C360" t="str">
            <v>Gejiu Zili Mining And Metallurgy Co., Ltd.</v>
          </cell>
          <cell r="E360" t="str">
            <v>CID000555</v>
          </cell>
        </row>
        <row r="361">
          <cell r="A361" t="str">
            <v>Tin</v>
          </cell>
          <cell r="C361" t="str">
            <v>Gejiu Zili Mining And Metallurgy Co., Ltd.</v>
          </cell>
          <cell r="E361" t="str">
            <v>CID000555</v>
          </cell>
        </row>
        <row r="362">
          <cell r="A362" t="str">
            <v>Tin</v>
          </cell>
          <cell r="C362" t="str">
            <v>China Tin Group Co., Ltd.</v>
          </cell>
          <cell r="E362" t="str">
            <v>CID001070</v>
          </cell>
        </row>
        <row r="363">
          <cell r="A363" t="str">
            <v>Tin</v>
          </cell>
          <cell r="C363" t="str">
            <v>China Tin Group Co., Ltd.</v>
          </cell>
          <cell r="E363" t="str">
            <v>CID001070</v>
          </cell>
        </row>
        <row r="364">
          <cell r="A364" t="str">
            <v>Tin</v>
          </cell>
          <cell r="C364" t="str">
            <v>China Tin Group Co., Ltd.</v>
          </cell>
          <cell r="E364" t="str">
            <v>CID001070</v>
          </cell>
        </row>
        <row r="365">
          <cell r="A365" t="str">
            <v>Tin</v>
          </cell>
          <cell r="C365" t="str">
            <v>CNMC (Guangxi) PGMA Co., Ltd.</v>
          </cell>
          <cell r="E365" t="str">
            <v>CID000278</v>
          </cell>
        </row>
        <row r="366">
          <cell r="A366" t="str">
            <v>Tin</v>
          </cell>
          <cell r="C366" t="str">
            <v>Guanyang Guida Nonferrous Metal Smelting Plant</v>
          </cell>
          <cell r="E366" t="str">
            <v>CID002849</v>
          </cell>
        </row>
        <row r="367">
          <cell r="A367" t="str">
            <v>Tin</v>
          </cell>
          <cell r="C367" t="str">
            <v>HuiChang Hill Tin Industry Co., Ltd.</v>
          </cell>
          <cell r="E367" t="str">
            <v>CID002844</v>
          </cell>
        </row>
        <row r="368">
          <cell r="A368" t="str">
            <v>Tin</v>
          </cell>
          <cell r="C368" t="str">
            <v>Huichang Jinshunda Tin Co., Ltd.</v>
          </cell>
          <cell r="E368" t="str">
            <v>CID000760</v>
          </cell>
        </row>
        <row r="369">
          <cell r="A369" t="str">
            <v>Tin</v>
          </cell>
          <cell r="C369" t="str">
            <v>Huichang Jinshunda Tin Co., Ltd.</v>
          </cell>
          <cell r="E369" t="str">
            <v>CID000760</v>
          </cell>
        </row>
        <row r="370">
          <cell r="A370" t="str">
            <v>Tin</v>
          </cell>
          <cell r="C370" t="str">
            <v>PT Timah (Persero) Tbk Mentok</v>
          </cell>
          <cell r="E370" t="str">
            <v>CID001482</v>
          </cell>
        </row>
        <row r="371">
          <cell r="A371" t="str">
            <v>Tin</v>
          </cell>
          <cell r="C371" t="str">
            <v>PT Bukit Timah</v>
          </cell>
          <cell r="E371" t="str">
            <v>CID001428</v>
          </cell>
        </row>
        <row r="372">
          <cell r="A372" t="str">
            <v>Tin</v>
          </cell>
          <cell r="C372" t="str">
            <v>Jiangxi Ketai Advanced Material Co., Ltd.</v>
          </cell>
          <cell r="E372" t="str">
            <v>CID000244</v>
          </cell>
        </row>
        <row r="373">
          <cell r="A373" t="str">
            <v>Tin</v>
          </cell>
          <cell r="C373" t="str">
            <v>Nankang Nanshan Tin Manufactory Co., Ltd.</v>
          </cell>
          <cell r="E373" t="str">
            <v>CID001231</v>
          </cell>
        </row>
        <row r="374">
          <cell r="A374" t="str">
            <v>Tin</v>
          </cell>
          <cell r="C374" t="str">
            <v>Huichang Jinshunda Tin Co., Ltd.</v>
          </cell>
          <cell r="E374" t="str">
            <v>CID000760</v>
          </cell>
        </row>
        <row r="375">
          <cell r="A375" t="str">
            <v>Tin</v>
          </cell>
          <cell r="C375" t="str">
            <v>Gejiu Kai Meng Industry and Trade LLC</v>
          </cell>
          <cell r="E375" t="str">
            <v>CID000942</v>
          </cell>
        </row>
        <row r="376">
          <cell r="A376" t="str">
            <v>Tin</v>
          </cell>
          <cell r="C376" t="str">
            <v>Gejiu Kai Meng Industry and Trade LLC</v>
          </cell>
          <cell r="E376" t="str">
            <v>CID000942</v>
          </cell>
        </row>
        <row r="377">
          <cell r="A377" t="str">
            <v>Tin</v>
          </cell>
          <cell r="C377" t="str">
            <v>PT Timah (Persero) Tbk Kundur</v>
          </cell>
          <cell r="E377" t="str">
            <v>CID001477</v>
          </cell>
        </row>
        <row r="378">
          <cell r="A378" t="str">
            <v>Tin</v>
          </cell>
          <cell r="C378" t="str">
            <v>China Tin Group Co., Ltd.</v>
          </cell>
          <cell r="E378" t="str">
            <v>CID001070</v>
          </cell>
        </row>
        <row r="379">
          <cell r="A379" t="str">
            <v>Tin</v>
          </cell>
          <cell r="C379" t="str">
            <v>Magnu's Minerais Metais e Ligas Ltda.</v>
          </cell>
          <cell r="E379" t="str">
            <v>CID002468</v>
          </cell>
        </row>
        <row r="380">
          <cell r="A380" t="str">
            <v>Tin</v>
          </cell>
          <cell r="C380" t="str">
            <v>Malaysia Smelting Corporation (MSC)</v>
          </cell>
          <cell r="E380" t="str">
            <v>CID001105</v>
          </cell>
        </row>
        <row r="381">
          <cell r="A381" t="str">
            <v>Tin</v>
          </cell>
          <cell r="C381" t="str">
            <v>Melt Metais e Ligas S.A.</v>
          </cell>
          <cell r="E381" t="str">
            <v>CID002500</v>
          </cell>
        </row>
        <row r="382">
          <cell r="A382" t="str">
            <v>Tin</v>
          </cell>
          <cell r="C382" t="str">
            <v>PT Timah (Persero) Tbk Mentok</v>
          </cell>
          <cell r="E382" t="str">
            <v>CID001482</v>
          </cell>
        </row>
        <row r="383">
          <cell r="A383" t="str">
            <v>Tin</v>
          </cell>
          <cell r="C383" t="str">
            <v>China Tin Group Co., Ltd.</v>
          </cell>
          <cell r="E383" t="str">
            <v>CID001070</v>
          </cell>
        </row>
        <row r="384">
          <cell r="A384" t="str">
            <v>Tin</v>
          </cell>
          <cell r="C384" t="str">
            <v>Metallic Resources, Inc.</v>
          </cell>
          <cell r="E384" t="str">
            <v>CID001142</v>
          </cell>
        </row>
        <row r="385">
          <cell r="A385" t="str">
            <v>Tin</v>
          </cell>
          <cell r="C385" t="str">
            <v>Metallo-Chimique N.V.</v>
          </cell>
          <cell r="E385" t="str">
            <v>CID002773</v>
          </cell>
        </row>
        <row r="386">
          <cell r="A386" t="str">
            <v>Tin</v>
          </cell>
          <cell r="C386" t="str">
            <v>Mineração Taboca S.A.</v>
          </cell>
          <cell r="E386" t="str">
            <v>CID001173</v>
          </cell>
        </row>
        <row r="387">
          <cell r="A387" t="str">
            <v>Tin</v>
          </cell>
          <cell r="C387" t="str">
            <v>Minsur</v>
          </cell>
          <cell r="E387" t="str">
            <v>CID001182</v>
          </cell>
        </row>
        <row r="388">
          <cell r="A388" t="str">
            <v>Tin</v>
          </cell>
          <cell r="C388" t="str">
            <v>Mitsubishi Materials Corporation</v>
          </cell>
          <cell r="E388" t="str">
            <v>CID001191</v>
          </cell>
        </row>
        <row r="389">
          <cell r="A389" t="str">
            <v>Tin</v>
          </cell>
          <cell r="C389" t="str">
            <v>Modeltech Sdn Bhd</v>
          </cell>
          <cell r="E389" t="str">
            <v>CID002858</v>
          </cell>
        </row>
        <row r="390">
          <cell r="A390" t="str">
            <v>Tin</v>
          </cell>
          <cell r="C390" t="str">
            <v>Malaysia Smelting Corporation (MSC)</v>
          </cell>
          <cell r="E390" t="str">
            <v>CID001105</v>
          </cell>
        </row>
        <row r="391">
          <cell r="A391" t="str">
            <v>Tin</v>
          </cell>
          <cell r="C391" t="str">
            <v>Nankang Nanshan Tin Manufactory Co., Ltd.</v>
          </cell>
          <cell r="E391" t="str">
            <v>CID001231</v>
          </cell>
        </row>
        <row r="392">
          <cell r="A392" t="str">
            <v>Tin</v>
          </cell>
          <cell r="C392" t="str">
            <v>Nankang Nanshan Tin Manufactory Co., Ltd.</v>
          </cell>
          <cell r="E392" t="str">
            <v>CID001231</v>
          </cell>
        </row>
        <row r="393">
          <cell r="A393" t="str">
            <v>Tin</v>
          </cell>
          <cell r="C393" t="str">
            <v>Nghe Tinh Non-Ferrous Metals Joint Stock Company</v>
          </cell>
          <cell r="E393" t="str">
            <v>CID002573</v>
          </cell>
        </row>
        <row r="394">
          <cell r="A394" t="str">
            <v>Tin</v>
          </cell>
          <cell r="C394" t="str">
            <v>O.M. Manufacturing (Thailand) Co., Ltd.</v>
          </cell>
          <cell r="E394" t="str">
            <v>CID001314</v>
          </cell>
        </row>
        <row r="395">
          <cell r="A395" t="str">
            <v>Tin</v>
          </cell>
          <cell r="C395" t="str">
            <v>O.M. Manufacturing Philippines, Inc.</v>
          </cell>
          <cell r="E395" t="str">
            <v>CID002517</v>
          </cell>
        </row>
        <row r="396">
          <cell r="A396" t="str">
            <v>Tin</v>
          </cell>
          <cell r="C396" t="str">
            <v>Operaciones Metalurgical S.A.</v>
          </cell>
          <cell r="E396" t="str">
            <v>CID001337</v>
          </cell>
        </row>
        <row r="397">
          <cell r="A397" t="str">
            <v>Tin</v>
          </cell>
          <cell r="C397" t="str">
            <v>Operaciones Metalurgical S.A.</v>
          </cell>
          <cell r="E397" t="str">
            <v>CID001337</v>
          </cell>
        </row>
        <row r="398">
          <cell r="A398" t="str">
            <v>Tin</v>
          </cell>
          <cell r="C398" t="str">
            <v>CNMC (Guangxi) PGMA Co., Ltd.</v>
          </cell>
          <cell r="E398" t="str">
            <v>CID000278</v>
          </cell>
        </row>
        <row r="399">
          <cell r="A399" t="str">
            <v>Tin</v>
          </cell>
          <cell r="C399" t="str">
            <v>Phoenix Metal Ltd.</v>
          </cell>
          <cell r="E399" t="str">
            <v>CID002507</v>
          </cell>
        </row>
        <row r="400">
          <cell r="A400" t="str">
            <v>Tin</v>
          </cell>
          <cell r="C400" t="str">
            <v>PT Aries Kencana Sejahtera</v>
          </cell>
          <cell r="E400" t="str">
            <v>CID000309</v>
          </cell>
        </row>
        <row r="401">
          <cell r="A401" t="str">
            <v>Tin</v>
          </cell>
          <cell r="C401" t="str">
            <v>PT Artha Cipta Langgeng</v>
          </cell>
          <cell r="E401" t="str">
            <v>CID001399</v>
          </cell>
        </row>
        <row r="402">
          <cell r="A402" t="str">
            <v>Tin</v>
          </cell>
          <cell r="C402" t="str">
            <v>PT ATD Makmur Mandiri Jaya</v>
          </cell>
          <cell r="E402" t="str">
            <v>CID002503</v>
          </cell>
        </row>
        <row r="403">
          <cell r="A403" t="str">
            <v>Tin</v>
          </cell>
          <cell r="C403" t="str">
            <v>PT Babel Inti Perkasa</v>
          </cell>
          <cell r="E403" t="str">
            <v>CID001402</v>
          </cell>
        </row>
        <row r="404">
          <cell r="A404" t="str">
            <v>Tin</v>
          </cell>
          <cell r="C404" t="str">
            <v>PT Bangka Prima Tin</v>
          </cell>
          <cell r="E404" t="str">
            <v>CID002776</v>
          </cell>
        </row>
        <row r="405">
          <cell r="A405" t="str">
            <v>Tin</v>
          </cell>
          <cell r="C405" t="str">
            <v>PT Bangka Tin Industry</v>
          </cell>
          <cell r="E405" t="str">
            <v>CID001419</v>
          </cell>
        </row>
        <row r="406">
          <cell r="A406" t="str">
            <v>Tin</v>
          </cell>
          <cell r="C406" t="str">
            <v>PT Belitung Industri Sejahtera</v>
          </cell>
          <cell r="E406" t="str">
            <v>CID001421</v>
          </cell>
        </row>
        <row r="407">
          <cell r="A407" t="str">
            <v>Tin</v>
          </cell>
          <cell r="C407" t="str">
            <v>PT Bukit Timah</v>
          </cell>
          <cell r="E407" t="str">
            <v>CID001428</v>
          </cell>
        </row>
        <row r="408">
          <cell r="A408" t="str">
            <v>Tin</v>
          </cell>
          <cell r="C408" t="str">
            <v>PT Cipta Persada Mulia</v>
          </cell>
          <cell r="E408" t="str">
            <v>CID002696</v>
          </cell>
        </row>
        <row r="409">
          <cell r="A409" t="str">
            <v>Tin</v>
          </cell>
          <cell r="C409" t="str">
            <v>PT DS Jaya Abadi</v>
          </cell>
          <cell r="E409" t="str">
            <v>CID001434</v>
          </cell>
        </row>
        <row r="410">
          <cell r="A410" t="str">
            <v>Tin</v>
          </cell>
          <cell r="C410" t="str">
            <v>PT Eunindo Usaha Mandiri</v>
          </cell>
          <cell r="E410" t="str">
            <v>CID001438</v>
          </cell>
        </row>
        <row r="411">
          <cell r="A411" t="str">
            <v>Tin</v>
          </cell>
          <cell r="C411" t="str">
            <v>PT Bukit Timah</v>
          </cell>
          <cell r="E411" t="str">
            <v>CID001428</v>
          </cell>
        </row>
        <row r="412">
          <cell r="A412" t="str">
            <v>Tin</v>
          </cell>
          <cell r="C412" t="str">
            <v>PT Bukit Timah</v>
          </cell>
          <cell r="E412" t="str">
            <v>CID001428</v>
          </cell>
        </row>
        <row r="413">
          <cell r="A413" t="str">
            <v>Tin</v>
          </cell>
          <cell r="C413" t="str">
            <v>PT Inti Stania Prima</v>
          </cell>
          <cell r="E413" t="str">
            <v>CID002530</v>
          </cell>
        </row>
        <row r="414">
          <cell r="A414" t="str">
            <v>Tin</v>
          </cell>
          <cell r="C414" t="str">
            <v>PT Justindo</v>
          </cell>
          <cell r="E414" t="str">
            <v>CID000307</v>
          </cell>
        </row>
        <row r="415">
          <cell r="A415" t="str">
            <v>Tin</v>
          </cell>
          <cell r="C415" t="str">
            <v>PT Karimun Mining</v>
          </cell>
          <cell r="E415" t="str">
            <v>CID001448</v>
          </cell>
        </row>
        <row r="416">
          <cell r="A416" t="str">
            <v>Tin</v>
          </cell>
          <cell r="C416" t="str">
            <v>PT Kijang Jaya Mandiri</v>
          </cell>
          <cell r="E416" t="str">
            <v>CID002829</v>
          </cell>
        </row>
        <row r="417">
          <cell r="A417" t="str">
            <v>Tin</v>
          </cell>
          <cell r="C417" t="str">
            <v>PT Lautan Harmonis Sejahtera</v>
          </cell>
          <cell r="E417" t="str">
            <v>CID002870</v>
          </cell>
        </row>
        <row r="418">
          <cell r="A418" t="str">
            <v>Tin</v>
          </cell>
          <cell r="C418" t="str">
            <v>PT Menara Cipta Mulia</v>
          </cell>
          <cell r="E418" t="str">
            <v>CID002835</v>
          </cell>
        </row>
        <row r="419">
          <cell r="A419" t="str">
            <v>Tin</v>
          </cell>
          <cell r="C419" t="str">
            <v>PT Mitra Stania Prima</v>
          </cell>
          <cell r="E419" t="str">
            <v>CID001453</v>
          </cell>
        </row>
        <row r="420">
          <cell r="A420" t="str">
            <v>Tin</v>
          </cell>
          <cell r="C420" t="str">
            <v>PT O.M. Indonesia</v>
          </cell>
          <cell r="E420" t="str">
            <v>CID002757</v>
          </cell>
        </row>
        <row r="421">
          <cell r="A421" t="str">
            <v>Tin</v>
          </cell>
          <cell r="C421" t="str">
            <v>PT Panca Mega Persada</v>
          </cell>
          <cell r="E421" t="str">
            <v>CID001457</v>
          </cell>
        </row>
        <row r="422">
          <cell r="A422" t="str">
            <v>Tin</v>
          </cell>
          <cell r="C422" t="str">
            <v>PT Prima Timah Utama</v>
          </cell>
          <cell r="E422" t="str">
            <v>CID001458</v>
          </cell>
        </row>
        <row r="423">
          <cell r="A423" t="str">
            <v>Tin</v>
          </cell>
          <cell r="C423" t="str">
            <v>PT Refined Bangka Tin</v>
          </cell>
          <cell r="E423" t="str">
            <v>CID001460</v>
          </cell>
        </row>
        <row r="424">
          <cell r="A424" t="str">
            <v>Tin</v>
          </cell>
          <cell r="C424" t="str">
            <v>PT Sariwiguna Binasentosa</v>
          </cell>
          <cell r="E424" t="str">
            <v>CID001463</v>
          </cell>
        </row>
        <row r="425">
          <cell r="A425" t="str">
            <v>Tin</v>
          </cell>
          <cell r="C425" t="str">
            <v>PT Stanindo Inti Perkasa</v>
          </cell>
          <cell r="E425" t="str">
            <v>CID001468</v>
          </cell>
        </row>
        <row r="426">
          <cell r="A426" t="str">
            <v>Tin</v>
          </cell>
          <cell r="C426" t="str">
            <v>PT Sukses Inti Makmur</v>
          </cell>
          <cell r="E426" t="str">
            <v>CID002816</v>
          </cell>
        </row>
        <row r="427">
          <cell r="A427" t="str">
            <v>Tin</v>
          </cell>
          <cell r="C427" t="str">
            <v>PT Sumber Jaya Indah</v>
          </cell>
          <cell r="E427" t="str">
            <v>CID001471</v>
          </cell>
        </row>
        <row r="428">
          <cell r="A428" t="str">
            <v>Tin</v>
          </cell>
          <cell r="C428" t="str">
            <v>PT Timah (Persero) Tbk Kundur</v>
          </cell>
          <cell r="E428" t="str">
            <v>CID001477</v>
          </cell>
        </row>
        <row r="429">
          <cell r="A429" t="str">
            <v>Tin</v>
          </cell>
          <cell r="C429" t="str">
            <v>PT Timah (Persero) Tbk Kundur</v>
          </cell>
          <cell r="E429" t="str">
            <v>CID001477</v>
          </cell>
        </row>
        <row r="430">
          <cell r="A430" t="str">
            <v>Tin</v>
          </cell>
          <cell r="C430" t="str">
            <v>PT Timah (Persero) Tbk Mentok</v>
          </cell>
          <cell r="E430" t="str">
            <v>CID001482</v>
          </cell>
        </row>
        <row r="431">
          <cell r="A431" t="str">
            <v>Tin</v>
          </cell>
          <cell r="C431" t="str">
            <v>PT Tinindo Inter Nusa</v>
          </cell>
          <cell r="E431" t="str">
            <v>CID001490</v>
          </cell>
        </row>
        <row r="432">
          <cell r="A432" t="str">
            <v>Tin</v>
          </cell>
          <cell r="C432" t="str">
            <v>PT Tirus Putra Mandiri</v>
          </cell>
          <cell r="E432" t="str">
            <v>CID002478</v>
          </cell>
        </row>
        <row r="433">
          <cell r="A433" t="str">
            <v>Tin</v>
          </cell>
          <cell r="C433" t="str">
            <v>PT Tommy Utama</v>
          </cell>
          <cell r="E433" t="str">
            <v>CID001493</v>
          </cell>
        </row>
        <row r="434">
          <cell r="A434" t="str">
            <v>Tin</v>
          </cell>
          <cell r="C434" t="str">
            <v>PT Wahana Perkit Jaya</v>
          </cell>
          <cell r="E434" t="str">
            <v>CID002479</v>
          </cell>
        </row>
        <row r="435">
          <cell r="A435" t="str">
            <v>Tin</v>
          </cell>
          <cell r="C435" t="str">
            <v>Resind Indústria e Comércio Ltda.</v>
          </cell>
          <cell r="E435" t="str">
            <v>CID002706</v>
          </cell>
        </row>
        <row r="436">
          <cell r="A436" t="str">
            <v>Tin</v>
          </cell>
          <cell r="C436" t="str">
            <v>Rui Da Hung</v>
          </cell>
          <cell r="E436" t="str">
            <v>CID001539</v>
          </cell>
        </row>
        <row r="437">
          <cell r="A437" t="str">
            <v>Tin</v>
          </cell>
          <cell r="C437" t="str">
            <v>Huichang Jinshunda Tin Co., Ltd.</v>
          </cell>
          <cell r="E437" t="str">
            <v>CID000760</v>
          </cell>
        </row>
        <row r="438">
          <cell r="A438" t="str">
            <v>Tin</v>
          </cell>
          <cell r="C438" t="str">
            <v>Yunnan Tin Company Limited</v>
          </cell>
          <cell r="E438" t="str">
            <v>CID002180</v>
          </cell>
        </row>
        <row r="439">
          <cell r="A439" t="str">
            <v>Tin</v>
          </cell>
          <cell r="C439" t="str">
            <v>Soft Metais Ltda.</v>
          </cell>
          <cell r="E439" t="str">
            <v>CID001758</v>
          </cell>
        </row>
        <row r="440">
          <cell r="A440" t="str">
            <v>Tin</v>
          </cell>
          <cell r="C440" t="str">
            <v>Thaisarco</v>
          </cell>
          <cell r="E440" t="str">
            <v>CID001898</v>
          </cell>
        </row>
        <row r="441">
          <cell r="A441" t="str">
            <v>Tin</v>
          </cell>
          <cell r="C441" t="str">
            <v>Thaisarco</v>
          </cell>
          <cell r="E441" t="str">
            <v>CID001898</v>
          </cell>
        </row>
        <row r="442">
          <cell r="A442" t="str">
            <v>Tin</v>
          </cell>
          <cell r="C442" t="str">
            <v>Thaisarco</v>
          </cell>
          <cell r="E442" t="str">
            <v>CID001898</v>
          </cell>
        </row>
        <row r="443">
          <cell r="A443" t="str">
            <v>Tin</v>
          </cell>
          <cell r="C443" t="str">
            <v>Gejiu Yunxin Nonferrous Electrolysis Co., Ltd.</v>
          </cell>
          <cell r="E443" t="str">
            <v>CID001908</v>
          </cell>
        </row>
        <row r="444">
          <cell r="A444" t="str">
            <v>Tin</v>
          </cell>
          <cell r="C444" t="str">
            <v>Yunnan Tin Company Limited</v>
          </cell>
          <cell r="E444" t="str">
            <v>CID002180</v>
          </cell>
        </row>
        <row r="445">
          <cell r="A445" t="str">
            <v>Tin</v>
          </cell>
          <cell r="C445" t="str">
            <v>Mineração Taboca S.A.</v>
          </cell>
          <cell r="E445" t="str">
            <v>CID001173</v>
          </cell>
        </row>
        <row r="446">
          <cell r="A446" t="str">
            <v>Tin</v>
          </cell>
          <cell r="C446" t="str">
            <v>Tuyen Quang Non-Ferrous Metals Joint Stock Company</v>
          </cell>
          <cell r="E446" t="str">
            <v>CID002574</v>
          </cell>
        </row>
        <row r="447">
          <cell r="A447" t="str">
            <v>Tin</v>
          </cell>
          <cell r="C447" t="str">
            <v>PT Timah (Persero) Tbk Kundur</v>
          </cell>
          <cell r="E447" t="str">
            <v>CID001477</v>
          </cell>
        </row>
        <row r="448">
          <cell r="A448" t="str">
            <v>Tin</v>
          </cell>
          <cell r="C448" t="str">
            <v>VQB Mineral and Trading Group JSC</v>
          </cell>
          <cell r="E448" t="str">
            <v>CID002015</v>
          </cell>
        </row>
        <row r="449">
          <cell r="A449" t="str">
            <v>Tin</v>
          </cell>
          <cell r="C449" t="str">
            <v>White Solder Metalurgia e Mineração Ltda.</v>
          </cell>
          <cell r="E449" t="str">
            <v>CID002036</v>
          </cell>
        </row>
        <row r="450">
          <cell r="A450" t="str">
            <v>Tin</v>
          </cell>
          <cell r="C450" t="str">
            <v>White Solder Metalurgia e Mineração Ltda.</v>
          </cell>
          <cell r="E450" t="str">
            <v>CID002036</v>
          </cell>
        </row>
        <row r="451">
          <cell r="A451" t="str">
            <v>Tin</v>
          </cell>
          <cell r="C451" t="str">
            <v>China Tin Group Co., Ltd.</v>
          </cell>
          <cell r="E451" t="str">
            <v>CID001070</v>
          </cell>
        </row>
        <row r="452">
          <cell r="A452" t="str">
            <v>Tin</v>
          </cell>
          <cell r="C452" t="str">
            <v>Yunnan Tin Company Limited</v>
          </cell>
          <cell r="E452" t="str">
            <v>CID002180</v>
          </cell>
        </row>
        <row r="453">
          <cell r="A453" t="str">
            <v>Tin</v>
          </cell>
          <cell r="C453" t="str">
            <v>Gejiu Yunxin Nonferrous Electrolysis Co., Ltd.</v>
          </cell>
          <cell r="E453" t="str">
            <v>CID001908</v>
          </cell>
        </row>
        <row r="454">
          <cell r="A454" t="str">
            <v>Tin</v>
          </cell>
          <cell r="C454" t="str">
            <v>Yunnan Chengfeng Non-ferrous Metals Co., Ltd.</v>
          </cell>
          <cell r="E454" t="str">
            <v>CID002158</v>
          </cell>
        </row>
        <row r="455">
          <cell r="A455" t="str">
            <v>Tin</v>
          </cell>
          <cell r="C455" t="str">
            <v>Yunnan Chengfeng Non-ferrous Metals Co., Ltd.</v>
          </cell>
          <cell r="E455" t="str">
            <v>CID002158</v>
          </cell>
        </row>
        <row r="456">
          <cell r="A456" t="str">
            <v>Tin</v>
          </cell>
          <cell r="C456" t="str">
            <v>Yunnan Chengfeng Non-ferrous Metals Co., Ltd.</v>
          </cell>
          <cell r="E456" t="str">
            <v>CID002158</v>
          </cell>
        </row>
        <row r="457">
          <cell r="A457" t="str">
            <v>Tin</v>
          </cell>
          <cell r="C457" t="str">
            <v>Gejiu Zili Mining And Metallurgy Co., Ltd.</v>
          </cell>
          <cell r="E457" t="str">
            <v>CID000555</v>
          </cell>
        </row>
        <row r="458">
          <cell r="A458" t="str">
            <v>Tin</v>
          </cell>
          <cell r="C458" t="str">
            <v>Gejiu Yunxin Nonferrous Electrolysis Co., Ltd.</v>
          </cell>
          <cell r="E458" t="str">
            <v>CID001908</v>
          </cell>
        </row>
        <row r="459">
          <cell r="A459" t="str">
            <v>Tin</v>
          </cell>
          <cell r="C459" t="str">
            <v>Yunnan Tin Company Limited</v>
          </cell>
          <cell r="E459" t="str">
            <v>CID002180</v>
          </cell>
        </row>
        <row r="460">
          <cell r="A460" t="str">
            <v>Tin</v>
          </cell>
          <cell r="C460" t="str">
            <v>Yunnan Tin Company Limited</v>
          </cell>
          <cell r="E460" t="str">
            <v>CID002180</v>
          </cell>
        </row>
        <row r="461">
          <cell r="A461" t="str">
            <v>Tin</v>
          </cell>
          <cell r="C461" t="str">
            <v>Yunnan Chengfeng Non-ferrous Metals Co., Ltd.</v>
          </cell>
          <cell r="E461" t="str">
            <v>CID002158</v>
          </cell>
        </row>
        <row r="462">
          <cell r="A462" t="str">
            <v>Tin</v>
          </cell>
          <cell r="C462" t="str">
            <v>Yunnan Tin Company Limited</v>
          </cell>
          <cell r="E462" t="str">
            <v>CID002180</v>
          </cell>
        </row>
        <row r="463">
          <cell r="A463" t="str">
            <v>Tin</v>
          </cell>
          <cell r="C463" t="str">
            <v>Gejiu Yunxin Nonferrous Electrolysis Co., Ltd.</v>
          </cell>
          <cell r="E463" t="str">
            <v>CID001908</v>
          </cell>
        </row>
        <row r="464">
          <cell r="A464" t="str">
            <v>Tin</v>
          </cell>
        </row>
        <row r="465">
          <cell r="A465" t="str">
            <v>Tin</v>
          </cell>
          <cell r="C465" t="str">
            <v>Unknown</v>
          </cell>
        </row>
        <row r="466">
          <cell r="A466" t="str">
            <v>Tungsten</v>
          </cell>
          <cell r="C466" t="str">
            <v>A.L.M.T. TUNGSTEN Corp.</v>
          </cell>
          <cell r="E466" t="str">
            <v>CID000004</v>
          </cell>
        </row>
        <row r="467">
          <cell r="A467" t="str">
            <v>Tungsten</v>
          </cell>
          <cell r="C467" t="str">
            <v>ACL Metais Eireli</v>
          </cell>
          <cell r="E467" t="str">
            <v>CID002833</v>
          </cell>
        </row>
        <row r="468">
          <cell r="A468" t="str">
            <v>Tungsten</v>
          </cell>
          <cell r="C468" t="str">
            <v>A.L.M.T. TUNGSTEN Corp.</v>
          </cell>
          <cell r="E468" t="str">
            <v>CID000004</v>
          </cell>
        </row>
        <row r="469">
          <cell r="A469" t="str">
            <v>Tungsten</v>
          </cell>
          <cell r="C469" t="str">
            <v>A.L.M.T. TUNGSTEN Corp.</v>
          </cell>
          <cell r="E469" t="str">
            <v>CID000004</v>
          </cell>
        </row>
        <row r="470">
          <cell r="A470" t="str">
            <v>Tungsten</v>
          </cell>
          <cell r="C470" t="str">
            <v>A.L.M.T. TUNGSTEN Corp.</v>
          </cell>
          <cell r="E470" t="str">
            <v>CID000004</v>
          </cell>
        </row>
        <row r="471">
          <cell r="A471" t="str">
            <v>Tungsten</v>
          </cell>
          <cell r="C471" t="str">
            <v>Asia Tungsten Products Vietnam Ltd.</v>
          </cell>
          <cell r="E471" t="str">
            <v>CID002502</v>
          </cell>
        </row>
        <row r="472">
          <cell r="A472" t="str">
            <v>Tungsten</v>
          </cell>
          <cell r="C472" t="str">
            <v>Kennametal Huntsville</v>
          </cell>
          <cell r="E472" t="str">
            <v>CID000105</v>
          </cell>
        </row>
        <row r="473">
          <cell r="A473" t="str">
            <v>Tungsten</v>
          </cell>
          <cell r="C473" t="str">
            <v>Kennametal Huntsville</v>
          </cell>
          <cell r="E473" t="str">
            <v>CID000105</v>
          </cell>
        </row>
        <row r="474">
          <cell r="A474" t="str">
            <v>Tungsten</v>
          </cell>
          <cell r="C474" t="str">
            <v>Guangdong Xianglu Tungsten Co., Ltd.</v>
          </cell>
          <cell r="E474" t="str">
            <v>CID000218</v>
          </cell>
        </row>
        <row r="475">
          <cell r="A475" t="str">
            <v>Tungsten</v>
          </cell>
          <cell r="C475" t="str">
            <v>Chenzhou Diamond Tungsten Products Co., Ltd.</v>
          </cell>
          <cell r="E475" t="str">
            <v>CID002513</v>
          </cell>
        </row>
        <row r="476">
          <cell r="A476" t="str">
            <v>Tungsten</v>
          </cell>
          <cell r="C476" t="str">
            <v>Ganzhou Huaxing Tungsten Products Co., Ltd.</v>
          </cell>
          <cell r="E476" t="str">
            <v>CID000875</v>
          </cell>
        </row>
        <row r="477">
          <cell r="A477" t="str">
            <v>Tungsten</v>
          </cell>
          <cell r="C477" t="str">
            <v>Chongyi Zhangyuan Tungsten Co., Ltd.</v>
          </cell>
          <cell r="E477" t="str">
            <v>CID000258</v>
          </cell>
        </row>
        <row r="478">
          <cell r="A478" t="str">
            <v>Tungsten</v>
          </cell>
          <cell r="C478" t="str">
            <v>Dayu Jincheng Tungsten Industry Co., Ltd.</v>
          </cell>
          <cell r="E478" t="str">
            <v>CID002518</v>
          </cell>
        </row>
        <row r="479">
          <cell r="A479" t="str">
            <v>Tungsten</v>
          </cell>
          <cell r="C479" t="str">
            <v>Dayu Weiliang Tungsten Co., Ltd.</v>
          </cell>
          <cell r="E479" t="str">
            <v>CID000345</v>
          </cell>
        </row>
        <row r="480">
          <cell r="A480" t="str">
            <v>Tungsten</v>
          </cell>
          <cell r="C480" t="str">
            <v>Fujian Jinxin Tungsten Co., Ltd.</v>
          </cell>
          <cell r="E480" t="str">
            <v>CID000499</v>
          </cell>
        </row>
        <row r="481">
          <cell r="A481" t="str">
            <v>Tungsten</v>
          </cell>
          <cell r="C481" t="str">
            <v>Ganzhou Huaxing Tungsten Products Co., Ltd.</v>
          </cell>
          <cell r="E481" t="str">
            <v>CID000875</v>
          </cell>
        </row>
        <row r="482">
          <cell r="A482" t="str">
            <v>Tungsten</v>
          </cell>
          <cell r="C482" t="str">
            <v>Ganzhou Jiangwu Ferrotungsten Co., Ltd.</v>
          </cell>
          <cell r="E482" t="str">
            <v>CID002315</v>
          </cell>
        </row>
        <row r="483">
          <cell r="A483" t="str">
            <v>Tungsten</v>
          </cell>
          <cell r="C483" t="str">
            <v>Ganzhou Seadragon W &amp; Mo Co., Ltd.</v>
          </cell>
          <cell r="E483" t="str">
            <v>CID002494</v>
          </cell>
        </row>
        <row r="484">
          <cell r="A484" t="str">
            <v>Tungsten</v>
          </cell>
          <cell r="C484" t="str">
            <v>Ganzhou Yatai Tungsten Co., Ltd.</v>
          </cell>
          <cell r="E484" t="str">
            <v>CID002536</v>
          </cell>
        </row>
        <row r="485">
          <cell r="A485" t="str">
            <v>Tungsten</v>
          </cell>
          <cell r="C485" t="str">
            <v>Global Tungsten &amp; Powders Corp.</v>
          </cell>
          <cell r="E485" t="str">
            <v>CID000568</v>
          </cell>
        </row>
        <row r="486">
          <cell r="A486" t="str">
            <v>Tungsten</v>
          </cell>
          <cell r="C486" t="str">
            <v>Global Tungsten &amp; Powders Corp.</v>
          </cell>
          <cell r="E486" t="str">
            <v>CID000568</v>
          </cell>
        </row>
        <row r="487">
          <cell r="A487" t="str">
            <v>Tungsten</v>
          </cell>
          <cell r="C487" t="str">
            <v>Guangdong Xianglu Tungsten Co., Ltd.</v>
          </cell>
          <cell r="E487" t="str">
            <v>CID000218</v>
          </cell>
        </row>
        <row r="488">
          <cell r="A488" t="str">
            <v>Tungsten</v>
          </cell>
          <cell r="C488" t="str">
            <v>H.C. Starck GmbH</v>
          </cell>
          <cell r="E488" t="str">
            <v>CID002541</v>
          </cell>
        </row>
        <row r="489">
          <cell r="A489" t="str">
            <v>Tungsten</v>
          </cell>
          <cell r="C489" t="str">
            <v>H.C. Starck Smelting GmbH &amp; Co.KG</v>
          </cell>
          <cell r="E489" t="str">
            <v>CID002542</v>
          </cell>
        </row>
        <row r="490">
          <cell r="A490" t="str">
            <v>Tungsten</v>
          </cell>
          <cell r="C490" t="str">
            <v>Hunan Chunchang Nonferrous Metals Co., Ltd.</v>
          </cell>
          <cell r="E490" t="str">
            <v>CID000769</v>
          </cell>
        </row>
        <row r="491">
          <cell r="A491" t="str">
            <v>Tungsten</v>
          </cell>
          <cell r="C491" t="str">
            <v>Hunan Chenzhou Mining Co., Ltd.</v>
          </cell>
          <cell r="E491" t="str">
            <v>CID000766</v>
          </cell>
        </row>
        <row r="492">
          <cell r="A492" t="str">
            <v>Tungsten</v>
          </cell>
          <cell r="C492" t="str">
            <v>Hunan Chenzhou Mining Co., Ltd.</v>
          </cell>
          <cell r="E492" t="str">
            <v>CID000766</v>
          </cell>
        </row>
        <row r="493">
          <cell r="A493" t="str">
            <v>Tungsten</v>
          </cell>
          <cell r="C493" t="str">
            <v>Hunan Chuangda Vanadium Tungsten Co., Ltd. Wuji</v>
          </cell>
          <cell r="E493" t="str">
            <v>CID002579</v>
          </cell>
        </row>
        <row r="494">
          <cell r="A494" t="str">
            <v>Tungsten</v>
          </cell>
          <cell r="C494" t="str">
            <v>Hunan Chunchang Nonferrous Metals Co., Ltd.</v>
          </cell>
          <cell r="E494" t="str">
            <v>CID000769</v>
          </cell>
        </row>
        <row r="495">
          <cell r="A495" t="str">
            <v>Tungsten</v>
          </cell>
          <cell r="C495" t="str">
            <v>Hydrometallurg, JSC</v>
          </cell>
          <cell r="E495" t="str">
            <v>CID002649</v>
          </cell>
        </row>
        <row r="496">
          <cell r="A496" t="str">
            <v>Tungsten</v>
          </cell>
          <cell r="C496" t="str">
            <v>Japan New Metals Co., Ltd.</v>
          </cell>
          <cell r="E496" t="str">
            <v>CID000825</v>
          </cell>
        </row>
        <row r="497">
          <cell r="A497" t="str">
            <v>Tungsten</v>
          </cell>
          <cell r="C497" t="str">
            <v>Jiangwu H.C. Starck Tungsten Products Co., Ltd.</v>
          </cell>
          <cell r="E497" t="str">
            <v>CID002551</v>
          </cell>
        </row>
        <row r="498">
          <cell r="A498" t="str">
            <v>Tungsten</v>
          </cell>
          <cell r="C498" t="str">
            <v>Jiangxi Dayu Longxintai Tungsten Co., Ltd.</v>
          </cell>
          <cell r="E498" t="str">
            <v>CID002647</v>
          </cell>
        </row>
        <row r="499">
          <cell r="A499" t="str">
            <v>Tungsten</v>
          </cell>
          <cell r="C499" t="str">
            <v>Jiangxi Gan Bei Tungsten Co., Ltd.</v>
          </cell>
          <cell r="E499" t="str">
            <v>CID002321</v>
          </cell>
        </row>
        <row r="500">
          <cell r="A500" t="str">
            <v>Tungsten</v>
          </cell>
          <cell r="C500" t="str">
            <v>Jiangxi Minmetals Gao'an Non-ferrous Metals Co., Ltd.</v>
          </cell>
          <cell r="E500" t="str">
            <v>CID002313</v>
          </cell>
        </row>
        <row r="501">
          <cell r="A501" t="str">
            <v>Tungsten</v>
          </cell>
          <cell r="C501" t="str">
            <v>Jiangxi Tonggu Non-ferrous Metallurgical &amp; Chemical Co., Ltd.</v>
          </cell>
          <cell r="E501" t="str">
            <v>CID002318</v>
          </cell>
        </row>
        <row r="502">
          <cell r="A502" t="str">
            <v>Tungsten</v>
          </cell>
          <cell r="C502" t="str">
            <v>Ganzhou Huaxing Tungsten Products Co., Ltd.</v>
          </cell>
          <cell r="E502" t="str">
            <v>CID000875</v>
          </cell>
        </row>
        <row r="503">
          <cell r="A503" t="str">
            <v>Tungsten</v>
          </cell>
          <cell r="C503" t="str">
            <v>Ganzhou Huaxing Tungsten Products Co., Ltd.</v>
          </cell>
          <cell r="E503" t="str">
            <v>CID000875</v>
          </cell>
        </row>
        <row r="504">
          <cell r="A504" t="str">
            <v>Tungsten</v>
          </cell>
          <cell r="C504" t="str">
            <v>Jiangxi Xinsheng Tungsten Industry Co., Ltd.</v>
          </cell>
          <cell r="E504" t="str">
            <v>CID002317</v>
          </cell>
        </row>
        <row r="505">
          <cell r="A505" t="str">
            <v>Tungsten</v>
          </cell>
          <cell r="C505" t="str">
            <v>Jiangxi Xiushui Xianggan Nonferrous Metals Co., Ltd.</v>
          </cell>
          <cell r="E505" t="str">
            <v>CID002535</v>
          </cell>
        </row>
        <row r="506">
          <cell r="A506" t="str">
            <v>Tungsten</v>
          </cell>
          <cell r="C506" t="str">
            <v>Jiangxi Yaosheng Tungsten Co., Ltd.</v>
          </cell>
          <cell r="E506" t="str">
            <v>CID002316</v>
          </cell>
        </row>
        <row r="507">
          <cell r="A507" t="str">
            <v>Tungsten</v>
          </cell>
          <cell r="C507" t="str">
            <v>Kennametal Fallon</v>
          </cell>
          <cell r="E507" t="str">
            <v>CID000966</v>
          </cell>
        </row>
        <row r="508">
          <cell r="A508" t="str">
            <v>Tungsten</v>
          </cell>
          <cell r="C508" t="str">
            <v>Kennametal Huntsville</v>
          </cell>
          <cell r="E508" t="str">
            <v>CID000105</v>
          </cell>
        </row>
        <row r="509">
          <cell r="A509" t="str">
            <v>Tungsten</v>
          </cell>
          <cell r="C509" t="str">
            <v>Malipo Haiyu Tungsten Co., Ltd.</v>
          </cell>
          <cell r="E509" t="str">
            <v>CID002319</v>
          </cell>
        </row>
        <row r="510">
          <cell r="A510" t="str">
            <v>Tungsten</v>
          </cell>
          <cell r="C510" t="str">
            <v>Moliren Ltd</v>
          </cell>
          <cell r="E510" t="str">
            <v>CID002845</v>
          </cell>
        </row>
        <row r="511">
          <cell r="A511" t="str">
            <v>Tungsten</v>
          </cell>
          <cell r="C511" t="str">
            <v>Niagara Refining LLC</v>
          </cell>
          <cell r="E511" t="str">
            <v>CID002589</v>
          </cell>
        </row>
        <row r="512">
          <cell r="A512" t="str">
            <v>Tungsten</v>
          </cell>
          <cell r="C512" t="str">
            <v>Nui Phao H.C. Starck Tungsten Chemicals Manufacturing LLC</v>
          </cell>
          <cell r="E512" t="str">
            <v>CID002543</v>
          </cell>
        </row>
        <row r="513">
          <cell r="A513" t="str">
            <v>Tungsten</v>
          </cell>
          <cell r="C513" t="str">
            <v>Philippine Chuangxin Industrial Co., Inc.</v>
          </cell>
          <cell r="E513" t="str">
            <v>CID002827</v>
          </cell>
        </row>
        <row r="514">
          <cell r="A514" t="str">
            <v>Tungsten</v>
          </cell>
          <cell r="C514" t="str">
            <v>Xinhai Rendan Shaoguan Tungsten Co., Ltd.</v>
          </cell>
          <cell r="E514" t="str">
            <v>CID002095</v>
          </cell>
        </row>
        <row r="515">
          <cell r="A515" t="str">
            <v>Tungsten</v>
          </cell>
          <cell r="C515" t="str">
            <v>South-East Nonferrous Metal Company Limited of Hengyang City</v>
          </cell>
          <cell r="E515" t="str">
            <v>CID002815</v>
          </cell>
        </row>
        <row r="516">
          <cell r="A516" t="str">
            <v>Tungsten</v>
          </cell>
          <cell r="C516" t="str">
            <v>Tejing (Vietnam) Tungsten Co., Ltd.</v>
          </cell>
          <cell r="E516" t="str">
            <v>CID001889</v>
          </cell>
        </row>
        <row r="517">
          <cell r="A517" t="str">
            <v>Tungsten</v>
          </cell>
          <cell r="C517" t="str">
            <v>Unecha Refractory metals plant</v>
          </cell>
          <cell r="E517" t="str">
            <v>CID002724</v>
          </cell>
        </row>
        <row r="518">
          <cell r="A518" t="str">
            <v>Tungsten</v>
          </cell>
          <cell r="C518" t="str">
            <v>Vietnam Youngsun Tungsten Industry Co., Ltd.</v>
          </cell>
          <cell r="E518" t="str">
            <v>CID002011</v>
          </cell>
        </row>
        <row r="519">
          <cell r="A519" t="str">
            <v>Tungsten</v>
          </cell>
          <cell r="C519" t="str">
            <v>Wolfram Bergbau und Hütten AG</v>
          </cell>
          <cell r="E519" t="str">
            <v>CID002044</v>
          </cell>
        </row>
        <row r="520">
          <cell r="A520" t="str">
            <v>Tungsten</v>
          </cell>
          <cell r="C520" t="str">
            <v>Wolfram Bergbau und Hütten AG</v>
          </cell>
          <cell r="E520" t="str">
            <v>CID002044</v>
          </cell>
        </row>
        <row r="521">
          <cell r="A521" t="str">
            <v>Tungsten</v>
          </cell>
          <cell r="C521" t="str">
            <v>Wolfram Bergbau und Hütten AG</v>
          </cell>
          <cell r="E521" t="str">
            <v>CID002044</v>
          </cell>
        </row>
        <row r="522">
          <cell r="A522" t="str">
            <v>Tungsten</v>
          </cell>
          <cell r="C522" t="str">
            <v>Woltech Korea Co., Ltd.</v>
          </cell>
          <cell r="E522" t="str">
            <v>CID002843</v>
          </cell>
        </row>
        <row r="523">
          <cell r="A523" t="str">
            <v>Tungsten</v>
          </cell>
          <cell r="C523" t="str">
            <v>Xiamen Tungsten (H.C.) Co., Ltd.</v>
          </cell>
          <cell r="E523" t="str">
            <v>CID002320</v>
          </cell>
        </row>
        <row r="524">
          <cell r="A524" t="str">
            <v>Tungsten</v>
          </cell>
          <cell r="C524" t="str">
            <v>Xiamen Tungsten (H.C.) Co., Ltd.</v>
          </cell>
          <cell r="E524" t="str">
            <v>CID002320</v>
          </cell>
        </row>
        <row r="525">
          <cell r="A525" t="str">
            <v>Tungsten</v>
          </cell>
          <cell r="C525" t="str">
            <v>Xiamen Tungsten Co., Ltd.</v>
          </cell>
          <cell r="E525" t="str">
            <v>CID002082</v>
          </cell>
        </row>
        <row r="526">
          <cell r="A526" t="str">
            <v>Tungsten</v>
          </cell>
          <cell r="C526" t="str">
            <v>Xinfeng Huarui Tungsten &amp; Molybdenum New Material Co., Ltd.</v>
          </cell>
          <cell r="E526" t="str">
            <v>CID002830</v>
          </cell>
        </row>
        <row r="527">
          <cell r="A527" t="str">
            <v>Tungsten</v>
          </cell>
          <cell r="C527" t="str">
            <v>Xinhai Rendan Shaoguan Tungsten Co., Ltd.</v>
          </cell>
          <cell r="E527" t="str">
            <v>CID002095</v>
          </cell>
        </row>
        <row r="528">
          <cell r="A528" t="str">
            <v>Tungsten</v>
          </cell>
          <cell r="C528" t="str">
            <v>Chongyi Zhangyuan Tungsten Co., Ltd.</v>
          </cell>
          <cell r="E528" t="str">
            <v>CID000258</v>
          </cell>
        </row>
        <row r="529">
          <cell r="A529" t="str">
            <v>Tungsten</v>
          </cell>
          <cell r="C529" t="str">
            <v>Xinhai Rendan Shaoguan Tungsten Co., Ltd.</v>
          </cell>
          <cell r="E529" t="str">
            <v>CID002095</v>
          </cell>
        </row>
        <row r="530">
          <cell r="A530" t="str">
            <v>Tungsten</v>
          </cell>
          <cell r="C530" t="str">
            <v>South-East Nonferrous Metal Company Limited of Hengyang City</v>
          </cell>
          <cell r="E530" t="str">
            <v>CID002815</v>
          </cell>
        </row>
        <row r="531">
          <cell r="A531" t="str">
            <v>Tungsten</v>
          </cell>
          <cell r="C531" t="str">
            <v>Tejing (Vietnam) Tungsten Co., Ltd.</v>
          </cell>
          <cell r="E531" t="str">
            <v>CID001889</v>
          </cell>
        </row>
        <row r="532">
          <cell r="A532" t="str">
            <v>Tungsten</v>
          </cell>
          <cell r="C532" t="str">
            <v>Vietnam Youngsun Tungsten Industry Co., Ltd.</v>
          </cell>
          <cell r="E532" t="str">
            <v>CID002011</v>
          </cell>
        </row>
        <row r="533">
          <cell r="A533" t="str">
            <v>Tungsten</v>
          </cell>
          <cell r="C533" t="str">
            <v>Wolfram Bergbau und Hütten AG</v>
          </cell>
          <cell r="E533" t="str">
            <v>CID002044</v>
          </cell>
        </row>
        <row r="534">
          <cell r="A534" t="str">
            <v>Tungsten</v>
          </cell>
          <cell r="C534" t="str">
            <v>Wolfram Bergbau und Hütten AG</v>
          </cell>
          <cell r="E534" t="str">
            <v>CID002044</v>
          </cell>
        </row>
        <row r="535">
          <cell r="A535" t="str">
            <v>Tungsten</v>
          </cell>
          <cell r="C535" t="str">
            <v>Wolfram Bergbau und Hütten AG</v>
          </cell>
          <cell r="E535" t="str">
            <v>CID002044</v>
          </cell>
        </row>
        <row r="536">
          <cell r="A536" t="str">
            <v>Tungsten</v>
          </cell>
          <cell r="C536" t="str">
            <v>Woltech Korea Co., Ltd.</v>
          </cell>
          <cell r="E536" t="str">
            <v>CID002843</v>
          </cell>
        </row>
        <row r="537">
          <cell r="A537" t="str">
            <v>Tungsten</v>
          </cell>
          <cell r="C537" t="str">
            <v>Xiamen Tungsten (H.C.) Co., Ltd.</v>
          </cell>
          <cell r="E537" t="str">
            <v>CID002320</v>
          </cell>
        </row>
        <row r="538">
          <cell r="A538" t="str">
            <v>Tungsten</v>
          </cell>
          <cell r="C538" t="str">
            <v>Xiamen Tungsten (H.C.) Co., Ltd.</v>
          </cell>
          <cell r="E538" t="str">
            <v>CID002320</v>
          </cell>
        </row>
        <row r="539">
          <cell r="A539" t="str">
            <v>Tungsten</v>
          </cell>
          <cell r="C539" t="str">
            <v>Xiamen Tungsten Co., Ltd.</v>
          </cell>
          <cell r="E539" t="str">
            <v>CID002082</v>
          </cell>
        </row>
        <row r="540">
          <cell r="A540" t="str">
            <v>Tungsten</v>
          </cell>
          <cell r="C540" t="str">
            <v>Xinfeng Huarui Tungsten &amp; Molybdenum New Material Co., Ltd.</v>
          </cell>
          <cell r="E540" t="str">
            <v>CID002830</v>
          </cell>
        </row>
        <row r="541">
          <cell r="A541" t="str">
            <v>Tungsten</v>
          </cell>
          <cell r="C541" t="str">
            <v>Xinhai Rendan Shaoguan Tungsten Co., Ltd.</v>
          </cell>
          <cell r="E541" t="str">
            <v>CID002095</v>
          </cell>
        </row>
        <row r="542">
          <cell r="A542" t="str">
            <v>Tungsten</v>
          </cell>
          <cell r="C542" t="str">
            <v>Chongyi Zhangyuan Tungsten Co., Ltd.</v>
          </cell>
          <cell r="E542" t="str">
            <v>CID000258</v>
          </cell>
        </row>
        <row r="543">
          <cell r="A543" t="str">
            <v>Tungsten</v>
          </cell>
        </row>
        <row r="544">
          <cell r="A544" t="str">
            <v>Tungsten</v>
          </cell>
          <cell r="C544" t="str">
            <v>Unknown</v>
          </cell>
        </row>
      </sheetData>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Reference List"/>
      <sheetName val="L"/>
      <sheetName val="C"/>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C4" t="str">
            <v>標準的製錬業者名</v>
          </cell>
          <cell r="E4" t="str">
            <v>新製錬業者識別番号</v>
          </cell>
        </row>
        <row r="5">
          <cell r="C5" t="str">
            <v>So Accurate Group, Inc.</v>
          </cell>
          <cell r="E5" t="str">
            <v>CID001754</v>
          </cell>
        </row>
        <row r="6">
          <cell r="C6" t="str">
            <v>Advanced Chemical Company</v>
          </cell>
          <cell r="E6" t="str">
            <v>CID000015</v>
          </cell>
        </row>
        <row r="7">
          <cell r="C7" t="str">
            <v>Western Australian Mint trading as The Perth Mint</v>
          </cell>
          <cell r="E7" t="str">
            <v>CID002030</v>
          </cell>
        </row>
        <row r="8">
          <cell r="C8" t="str">
            <v>Western Australian Mint trading as The Perth Mint</v>
          </cell>
          <cell r="E8" t="str">
            <v>CID002030</v>
          </cell>
        </row>
        <row r="9">
          <cell r="C9" t="str">
            <v>Aida Chemical Industries Co., Ltd.</v>
          </cell>
          <cell r="E9" t="str">
            <v>CID000019</v>
          </cell>
        </row>
        <row r="10">
          <cell r="C10" t="str">
            <v>Al Etihad Gold Refinery DMCC</v>
          </cell>
          <cell r="E10" t="str">
            <v>CID002560</v>
          </cell>
        </row>
        <row r="11">
          <cell r="C11" t="str">
            <v>Allgemeine Gold-und Silberscheideanstalt A.G.</v>
          </cell>
          <cell r="E11" t="str">
            <v>CID000035</v>
          </cell>
        </row>
        <row r="12">
          <cell r="C12" t="str">
            <v>Almalyk Mining and Metallurgical Complex (AMMC)</v>
          </cell>
          <cell r="E12" t="str">
            <v>CID000041</v>
          </cell>
        </row>
        <row r="13">
          <cell r="C13" t="str">
            <v>Asahi Pretec Corp.</v>
          </cell>
          <cell r="E13" t="str">
            <v>CID000082</v>
          </cell>
        </row>
        <row r="14">
          <cell r="C14" t="str">
            <v>AngloGold Ashanti Córrego do Sítio Mineração</v>
          </cell>
          <cell r="E14" t="str">
            <v>CID000058</v>
          </cell>
        </row>
        <row r="15">
          <cell r="C15" t="str">
            <v>Tongling Nonferrous Metals Group Co., Ltd.</v>
          </cell>
          <cell r="E15" t="str">
            <v>CID001947</v>
          </cell>
        </row>
        <row r="16">
          <cell r="C16" t="str">
            <v>Western Australian Mint trading as The Perth Mint</v>
          </cell>
          <cell r="E16" t="str">
            <v>CID002030</v>
          </cell>
        </row>
        <row r="17">
          <cell r="C17" t="str">
            <v>Argor-Heraeus S.A.</v>
          </cell>
          <cell r="E17" t="str">
            <v>CID000077</v>
          </cell>
        </row>
        <row r="18">
          <cell r="C18" t="str">
            <v>Asahi Pretec Corp.</v>
          </cell>
          <cell r="E18" t="str">
            <v>CID000082</v>
          </cell>
        </row>
        <row r="19">
          <cell r="C19" t="str">
            <v>Asahi Refining Canada Ltd.</v>
          </cell>
          <cell r="E19" t="str">
            <v>CID000924</v>
          </cell>
        </row>
        <row r="20">
          <cell r="C20" t="str">
            <v>Asahi Refining USA Inc.</v>
          </cell>
          <cell r="E20" t="str">
            <v>CID000920</v>
          </cell>
        </row>
        <row r="21">
          <cell r="C21" t="str">
            <v>Asaka Riken Co., Ltd.</v>
          </cell>
          <cell r="E21" t="str">
            <v>CID000090</v>
          </cell>
        </row>
        <row r="22">
          <cell r="C22" t="str">
            <v>Atasay Kuyumculuk Sanayi Ve Ticaret A.S.</v>
          </cell>
          <cell r="E22" t="str">
            <v>CID000103</v>
          </cell>
        </row>
        <row r="23">
          <cell r="C23" t="str">
            <v>Atasay Kuyumculuk Sanayi Ve Ticaret A.S.</v>
          </cell>
          <cell r="E23" t="str">
            <v>CID000103</v>
          </cell>
        </row>
        <row r="24">
          <cell r="C24" t="str">
            <v>AU Traders and Refiners</v>
          </cell>
          <cell r="E24" t="str">
            <v>CID002850</v>
          </cell>
        </row>
        <row r="25">
          <cell r="C25" t="str">
            <v>AURA-II</v>
          </cell>
          <cell r="E25" t="str">
            <v>CID002851</v>
          </cell>
        </row>
        <row r="26">
          <cell r="C26" t="str">
            <v>Aurubis AG</v>
          </cell>
          <cell r="E26" t="str">
            <v>CID000113</v>
          </cell>
        </row>
        <row r="27">
          <cell r="C27" t="str">
            <v>Bangalore Refinery</v>
          </cell>
          <cell r="E27" t="str">
            <v>CID002863</v>
          </cell>
        </row>
        <row r="28">
          <cell r="C28" t="str">
            <v>Bangko Sentral ng Pilipinas (Central Bank of the Philippines)</v>
          </cell>
          <cell r="E28" t="str">
            <v>CID000128</v>
          </cell>
        </row>
        <row r="29">
          <cell r="C29" t="str">
            <v>Boliden AB</v>
          </cell>
          <cell r="E29" t="str">
            <v>CID000157</v>
          </cell>
        </row>
        <row r="30">
          <cell r="C30" t="str">
            <v>C. Hafner GmbH + Co. KG</v>
          </cell>
          <cell r="E30" t="str">
            <v>CID000176</v>
          </cell>
        </row>
        <row r="31">
          <cell r="C31" t="str">
            <v>Caridad</v>
          </cell>
          <cell r="E31" t="str">
            <v>CID000180</v>
          </cell>
        </row>
        <row r="32">
          <cell r="C32" t="str">
            <v>CCR Refinery - Glencore Canada Corporation</v>
          </cell>
          <cell r="E32" t="str">
            <v>CID000185</v>
          </cell>
        </row>
        <row r="33">
          <cell r="C33" t="str">
            <v>CCR Refinery - Glencore Canada Corporation</v>
          </cell>
          <cell r="E33" t="str">
            <v>CID000185</v>
          </cell>
        </row>
        <row r="34">
          <cell r="C34" t="str">
            <v>Cendres + Métaux S.A.</v>
          </cell>
          <cell r="E34" t="str">
            <v>CID000189</v>
          </cell>
        </row>
        <row r="35">
          <cell r="C35" t="str">
            <v>Cendres + Métaux S.A.</v>
          </cell>
          <cell r="E35" t="str">
            <v>CID000189</v>
          </cell>
        </row>
        <row r="36">
          <cell r="C36" t="str">
            <v>Bangko Sentral ng Pilipinas (Central Bank of the Philippines)</v>
          </cell>
          <cell r="E36" t="str">
            <v>CID000128</v>
          </cell>
        </row>
        <row r="37">
          <cell r="C37" t="str">
            <v>Yunnan Copper Industry Co., Ltd.</v>
          </cell>
          <cell r="E37" t="str">
            <v>CID000197</v>
          </cell>
        </row>
        <row r="38">
          <cell r="C38" t="str">
            <v>Chimet S.p.A.</v>
          </cell>
          <cell r="E38" t="str">
            <v>CID000233</v>
          </cell>
        </row>
        <row r="39">
          <cell r="C39" t="str">
            <v>Zhongyuan Gold Smelter of Zhongjin Gold Corporation</v>
          </cell>
          <cell r="E39" t="str">
            <v>CID002224</v>
          </cell>
        </row>
        <row r="40">
          <cell r="C40" t="str">
            <v>The Refinery of Shandong Gold Mining Co., Ltd.</v>
          </cell>
          <cell r="E40" t="str">
            <v>CID001916</v>
          </cell>
        </row>
        <row r="41">
          <cell r="C41" t="str">
            <v>Chugai Mining</v>
          </cell>
          <cell r="E41" t="str">
            <v>CID000264</v>
          </cell>
        </row>
        <row r="42">
          <cell r="C42" t="str">
            <v>Daejin Indus Co., Ltd.</v>
          </cell>
          <cell r="E42" t="str">
            <v>CID000328</v>
          </cell>
        </row>
        <row r="43">
          <cell r="C43" t="str">
            <v>Daejin Indus Co., Ltd.</v>
          </cell>
          <cell r="E43" t="str">
            <v>CID000328</v>
          </cell>
        </row>
        <row r="44">
          <cell r="C44" t="str">
            <v>Daye Non-Ferrous Metals Mining Ltd.</v>
          </cell>
          <cell r="E44" t="str">
            <v>CID000343</v>
          </cell>
        </row>
        <row r="45">
          <cell r="C45" t="str">
            <v>DSC (Do Sung Corporation)</v>
          </cell>
          <cell r="E45" t="str">
            <v>CID000359</v>
          </cell>
        </row>
        <row r="46">
          <cell r="C46" t="str">
            <v>DODUCO GmbH</v>
          </cell>
          <cell r="E46" t="str">
            <v>CID000362</v>
          </cell>
        </row>
        <row r="47">
          <cell r="C47" t="str">
            <v>DODUCO GmbH</v>
          </cell>
          <cell r="E47" t="str">
            <v>CID000362</v>
          </cell>
        </row>
        <row r="48">
          <cell r="C48" t="str">
            <v>DSC (Do Sung Corporation)</v>
          </cell>
          <cell r="E48" t="str">
            <v>CID000359</v>
          </cell>
        </row>
        <row r="49">
          <cell r="C49" t="str">
            <v>Dowa</v>
          </cell>
          <cell r="E49" t="str">
            <v>CID000401</v>
          </cell>
        </row>
        <row r="50">
          <cell r="C50" t="str">
            <v>Dowa</v>
          </cell>
          <cell r="E50" t="str">
            <v>CID000401</v>
          </cell>
        </row>
        <row r="51">
          <cell r="C51" t="str">
            <v>Dowa</v>
          </cell>
          <cell r="E51" t="str">
            <v>CID000401</v>
          </cell>
        </row>
        <row r="52">
          <cell r="C52" t="str">
            <v>Dowa</v>
          </cell>
          <cell r="E52" t="str">
            <v>CID000401</v>
          </cell>
        </row>
        <row r="53">
          <cell r="C53" t="str">
            <v>DSC (Do Sung Corporation)</v>
          </cell>
          <cell r="E53" t="str">
            <v>CID000359</v>
          </cell>
        </row>
        <row r="54">
          <cell r="C54" t="str">
            <v>Eco-System Recycling Co., Ltd.</v>
          </cell>
          <cell r="E54" t="str">
            <v>CID000425</v>
          </cell>
        </row>
        <row r="55">
          <cell r="C55" t="str">
            <v>Elemetal Refining, LLC</v>
          </cell>
          <cell r="E55" t="str">
            <v>CID001322</v>
          </cell>
        </row>
        <row r="56">
          <cell r="C56" t="str">
            <v>Emirates Gold DMCC</v>
          </cell>
          <cell r="E56" t="str">
            <v>CID002561</v>
          </cell>
        </row>
        <row r="57">
          <cell r="C57" t="str">
            <v>Faggi Enrico S.p.A.</v>
          </cell>
          <cell r="E57" t="str">
            <v>CID002355</v>
          </cell>
        </row>
        <row r="58">
          <cell r="C58" t="str">
            <v>Fidelity Printers and Refiners Ltd.</v>
          </cell>
          <cell r="E58" t="str">
            <v>CID002515</v>
          </cell>
        </row>
        <row r="59">
          <cell r="C59" t="str">
            <v>OJSC Novosibirsk Refinery</v>
          </cell>
          <cell r="E59" t="str">
            <v>CID000493</v>
          </cell>
        </row>
        <row r="60">
          <cell r="C60" t="str">
            <v>Zijin Mining Group Co., Ltd. Gold Refinery</v>
          </cell>
          <cell r="E60" t="str">
            <v>CID002243</v>
          </cell>
        </row>
        <row r="61">
          <cell r="C61" t="str">
            <v>Gansu Seemine Material Hi-Tech Co., Ltd.</v>
          </cell>
          <cell r="E61" t="str">
            <v>CID000522</v>
          </cell>
        </row>
        <row r="62">
          <cell r="C62" t="str">
            <v>Geib Refining Corporation</v>
          </cell>
          <cell r="E62" t="str">
            <v>CID002459</v>
          </cell>
        </row>
        <row r="63">
          <cell r="C63" t="str">
            <v>The Refinery of Shandong Gold Mining Co., Ltd.</v>
          </cell>
          <cell r="E63" t="str">
            <v>CID001916</v>
          </cell>
        </row>
        <row r="64">
          <cell r="C64" t="str">
            <v>Great Wall Precious Metals Co., Ltd. of CBPM</v>
          </cell>
          <cell r="E64" t="str">
            <v>CID001909</v>
          </cell>
        </row>
        <row r="65">
          <cell r="C65" t="str">
            <v>Great Wall Precious Metals Co., Ltd. of CBPM</v>
          </cell>
          <cell r="E65" t="str">
            <v>CID001909</v>
          </cell>
        </row>
        <row r="66">
          <cell r="C66" t="str">
            <v>Guangdong Jinding Gold Limited</v>
          </cell>
          <cell r="E66" t="str">
            <v>CID002312</v>
          </cell>
        </row>
        <row r="67">
          <cell r="C67" t="str">
            <v>Guangdong Jinding Gold Limited</v>
          </cell>
          <cell r="E67" t="str">
            <v>CID002312</v>
          </cell>
        </row>
        <row r="68">
          <cell r="C68" t="str">
            <v>Gujarat Gold Centre</v>
          </cell>
          <cell r="E68" t="str">
            <v>CID002852</v>
          </cell>
        </row>
        <row r="69">
          <cell r="C69" t="str">
            <v>Guoda Safina High-Tech Environmental Refinery Co., Ltd.</v>
          </cell>
          <cell r="E69" t="str">
            <v>CID000651</v>
          </cell>
        </row>
        <row r="70">
          <cell r="C70" t="str">
            <v>Hangzhou Fuchunjiang Smelting Co., Ltd.</v>
          </cell>
          <cell r="E70" t="str">
            <v>CID000671</v>
          </cell>
        </row>
        <row r="71">
          <cell r="C71" t="str">
            <v>Heimerle + Meule GmbH</v>
          </cell>
          <cell r="E71" t="str">
            <v>CID000694</v>
          </cell>
        </row>
        <row r="72">
          <cell r="C72" t="str">
            <v>Zhongyuan Gold Smelter of Zhongjin Gold Corporation</v>
          </cell>
          <cell r="E72" t="str">
            <v>CID002224</v>
          </cell>
        </row>
        <row r="73">
          <cell r="C73" t="str">
            <v>Zhongyuan Gold Smelter of Zhongjin Gold Corporation</v>
          </cell>
          <cell r="E73" t="str">
            <v>CID002224</v>
          </cell>
        </row>
        <row r="74">
          <cell r="C74" t="str">
            <v>Zhongyuan Gold Smelter of Zhongjin Gold Corporation</v>
          </cell>
          <cell r="E74" t="str">
            <v>CID002224</v>
          </cell>
        </row>
        <row r="75">
          <cell r="C75" t="str">
            <v>Heraeus Ltd. Hong Kong</v>
          </cell>
          <cell r="E75" t="str">
            <v>CID000707</v>
          </cell>
        </row>
        <row r="76">
          <cell r="C76" t="str">
            <v>Heraeus Precious Metals GmbH &amp; Co. KG</v>
          </cell>
          <cell r="E76" t="str">
            <v>CID000711</v>
          </cell>
        </row>
        <row r="77">
          <cell r="C77" t="str">
            <v>Hunan Chenzhou Mining Co., Ltd.</v>
          </cell>
          <cell r="E77" t="str">
            <v>CID000767</v>
          </cell>
        </row>
        <row r="78">
          <cell r="C78" t="str">
            <v>Hunan Chenzhou Mining Co., Ltd.</v>
          </cell>
          <cell r="E78" t="str">
            <v>CID000767</v>
          </cell>
        </row>
        <row r="79">
          <cell r="C79" t="str">
            <v>Hunan Chenzhou Mining Co., Ltd.</v>
          </cell>
          <cell r="E79" t="str">
            <v>CID000767</v>
          </cell>
        </row>
        <row r="80">
          <cell r="C80" t="str">
            <v>Hwasung CJ Co., Ltd.</v>
          </cell>
          <cell r="E80" t="str">
            <v>CID000778</v>
          </cell>
        </row>
        <row r="81">
          <cell r="C81" t="str">
            <v>Inner Mongolia Qiankun Gold and Silver Refinery Share Co., Ltd.</v>
          </cell>
          <cell r="E81" t="str">
            <v>CID000801</v>
          </cell>
        </row>
        <row r="82">
          <cell r="C82" t="str">
            <v>Ishifuku Metal Industry Co., Ltd.</v>
          </cell>
          <cell r="E82" t="str">
            <v>CID000807</v>
          </cell>
        </row>
        <row r="83">
          <cell r="C83" t="str">
            <v>Istanbul Gold Refinery</v>
          </cell>
          <cell r="E83" t="str">
            <v>CID000814</v>
          </cell>
        </row>
        <row r="84">
          <cell r="C84" t="str">
            <v>Japan Mint</v>
          </cell>
          <cell r="E84" t="str">
            <v>CID000823</v>
          </cell>
        </row>
        <row r="85">
          <cell r="C85" t="str">
            <v>Jiangxi Copper Co., Ltd.</v>
          </cell>
          <cell r="E85" t="str">
            <v>CID000855</v>
          </cell>
        </row>
        <row r="86">
          <cell r="C86" t="str">
            <v>Jiangxi Copper Co., Ltd.</v>
          </cell>
          <cell r="E86" t="str">
            <v>CID000855</v>
          </cell>
        </row>
        <row r="87">
          <cell r="C87" t="str">
            <v>Asahi Refining Canada Ltd.</v>
          </cell>
          <cell r="E87" t="str">
            <v>CID000924</v>
          </cell>
        </row>
        <row r="88">
          <cell r="C88" t="str">
            <v>Asahi Refining USA Inc.</v>
          </cell>
          <cell r="E88" t="str">
            <v>CID000920</v>
          </cell>
        </row>
        <row r="89">
          <cell r="C89" t="str">
            <v>Asahi Refining USA Inc.</v>
          </cell>
          <cell r="E89" t="str">
            <v>CID000920</v>
          </cell>
        </row>
        <row r="90">
          <cell r="C90" t="str">
            <v>Asahi Refining Canada Ltd.</v>
          </cell>
          <cell r="E90" t="str">
            <v>CID000924</v>
          </cell>
        </row>
        <row r="91">
          <cell r="C91" t="str">
            <v>JSC Ekaterinburg Non-Ferrous Metal Processing Plant</v>
          </cell>
          <cell r="E91" t="str">
            <v>CID000927</v>
          </cell>
        </row>
        <row r="92">
          <cell r="C92" t="str">
            <v>JSC Uralelectromed</v>
          </cell>
          <cell r="E92" t="str">
            <v>CID000929</v>
          </cell>
        </row>
        <row r="93">
          <cell r="C93" t="str">
            <v>JX Nippon Mining &amp; Metals Co., Ltd.</v>
          </cell>
          <cell r="E93" t="str">
            <v>CID000937</v>
          </cell>
        </row>
        <row r="94">
          <cell r="C94" t="str">
            <v>Kaloti Precious Metals</v>
          </cell>
          <cell r="E94" t="str">
            <v>CID002563</v>
          </cell>
        </row>
        <row r="95">
          <cell r="C95" t="str">
            <v>Kazakhmys Smelting LLC</v>
          </cell>
          <cell r="E95" t="str">
            <v>CID000956</v>
          </cell>
        </row>
        <row r="96">
          <cell r="C96" t="str">
            <v>Kazzinc</v>
          </cell>
          <cell r="E96" t="str">
            <v>CID000957</v>
          </cell>
        </row>
        <row r="97">
          <cell r="C97" t="str">
            <v>Kennecott Utah Copper LLC</v>
          </cell>
          <cell r="E97" t="str">
            <v>CID000969</v>
          </cell>
        </row>
        <row r="98">
          <cell r="C98" t="str">
            <v>KGHM Polska Miedź Spółka Akcyjna</v>
          </cell>
          <cell r="E98" t="str">
            <v>CID002511</v>
          </cell>
        </row>
        <row r="99">
          <cell r="C99" t="str">
            <v>Kojima Chemicals Co., Ltd.</v>
          </cell>
          <cell r="E99" t="str">
            <v>CID000981</v>
          </cell>
        </row>
        <row r="100">
          <cell r="C100" t="str">
            <v>Kojima Chemicals Co., Ltd.</v>
          </cell>
          <cell r="E100" t="str">
            <v>CID000981</v>
          </cell>
        </row>
        <row r="101">
          <cell r="C101" t="str">
            <v>KGHM Polska Miedź Spółka Akcyjna</v>
          </cell>
          <cell r="E101" t="str">
            <v>CID002511</v>
          </cell>
        </row>
        <row r="102">
          <cell r="C102" t="str">
            <v>Korea Metal Co., Ltd.</v>
          </cell>
          <cell r="E102" t="str">
            <v>CID000988</v>
          </cell>
        </row>
        <row r="103">
          <cell r="C103" t="str">
            <v>Korea Zinc Co., Ltd.</v>
          </cell>
          <cell r="E103" t="str">
            <v>CID002605</v>
          </cell>
        </row>
        <row r="104">
          <cell r="C104" t="str">
            <v>Kyrgyzaltyn JSC</v>
          </cell>
          <cell r="E104" t="str">
            <v>CID001029</v>
          </cell>
        </row>
        <row r="105">
          <cell r="C105" t="str">
            <v>Kyshtym Copper-Electrolytic Plant ZAO</v>
          </cell>
          <cell r="E105" t="str">
            <v>CID002865</v>
          </cell>
        </row>
        <row r="106">
          <cell r="C106" t="str">
            <v>Caridad</v>
          </cell>
          <cell r="E106" t="str">
            <v>CID000180</v>
          </cell>
        </row>
        <row r="107">
          <cell r="C107" t="str">
            <v>The Refinery of Shandong Gold Mining Co., Ltd.</v>
          </cell>
          <cell r="E107" t="str">
            <v>CID001916</v>
          </cell>
        </row>
        <row r="108">
          <cell r="C108" t="str">
            <v>L'azurde Company For Jewelry</v>
          </cell>
          <cell r="E108" t="str">
            <v>CID001032</v>
          </cell>
        </row>
        <row r="109">
          <cell r="C109" t="str">
            <v>Lingbao Gold Co., Ltd.</v>
          </cell>
          <cell r="E109" t="str">
            <v>CID001056</v>
          </cell>
        </row>
        <row r="110">
          <cell r="C110" t="str">
            <v>Lingbao Jinyuan Tonghui Refinery Co., Ltd.</v>
          </cell>
          <cell r="E110" t="str">
            <v>CID001058</v>
          </cell>
        </row>
        <row r="111">
          <cell r="C111" t="str">
            <v>LS-NIKKO Copper Inc.</v>
          </cell>
          <cell r="E111" t="str">
            <v>CID001078</v>
          </cell>
        </row>
        <row r="112">
          <cell r="C112" t="str">
            <v>Luoyang Zijin Yinhui Gold Refinery Co., Ltd.</v>
          </cell>
          <cell r="E112" t="str">
            <v>CID001093</v>
          </cell>
        </row>
        <row r="113">
          <cell r="C113" t="str">
            <v>Luoyang Zijin Yinhui Gold Refinery Co., Ltd.</v>
          </cell>
          <cell r="E113" t="str">
            <v>CID001093</v>
          </cell>
        </row>
        <row r="114">
          <cell r="C114" t="str">
            <v>Luoyang Zijin Yinhui Gold Refinery Co., Ltd.</v>
          </cell>
          <cell r="E114" t="str">
            <v>CID001093</v>
          </cell>
        </row>
        <row r="115">
          <cell r="C115" t="str">
            <v>Materion</v>
          </cell>
          <cell r="E115" t="str">
            <v>CID001113</v>
          </cell>
        </row>
        <row r="116">
          <cell r="C116" t="str">
            <v>Matsuda Sangyo Co., Ltd.</v>
          </cell>
          <cell r="E116" t="str">
            <v>CID001119</v>
          </cell>
        </row>
        <row r="117">
          <cell r="C117" t="str">
            <v>Sumitomo Metal Mining Co., Ltd.</v>
          </cell>
          <cell r="E117" t="str">
            <v>CID001798</v>
          </cell>
        </row>
        <row r="118">
          <cell r="C118" t="str">
            <v>Metalúrgica Met-Mex Peñoles S.A. De C.V.</v>
          </cell>
          <cell r="E118" t="str">
            <v>CID001161</v>
          </cell>
        </row>
        <row r="119">
          <cell r="C119" t="str">
            <v>Metalor Technologies S.A.</v>
          </cell>
          <cell r="E119" t="str">
            <v>CID001153</v>
          </cell>
        </row>
        <row r="120">
          <cell r="C120" t="str">
            <v>Metalor Technologies (Hong Kong) Ltd.</v>
          </cell>
          <cell r="E120" t="str">
            <v>CID001149</v>
          </cell>
        </row>
        <row r="121">
          <cell r="C121" t="str">
            <v>Metalor Technologies (Singapore) Pte., Ltd.</v>
          </cell>
          <cell r="E121" t="str">
            <v>CID001152</v>
          </cell>
        </row>
        <row r="122">
          <cell r="C122" t="str">
            <v>Metalor Technologies (Suzhou) Ltd.</v>
          </cell>
          <cell r="E122" t="str">
            <v>CID001147</v>
          </cell>
        </row>
        <row r="123">
          <cell r="C123" t="str">
            <v>Metalor Technologies S.A.</v>
          </cell>
          <cell r="E123" t="str">
            <v>CID001153</v>
          </cell>
        </row>
        <row r="124">
          <cell r="C124" t="str">
            <v>Metalor USA Refining Corporation</v>
          </cell>
          <cell r="E124" t="str">
            <v>CID001157</v>
          </cell>
        </row>
        <row r="125">
          <cell r="C125" t="str">
            <v>Metalúrgica Met-Mex Peñoles S.A. De C.V.</v>
          </cell>
          <cell r="E125" t="str">
            <v>CID001161</v>
          </cell>
        </row>
        <row r="126">
          <cell r="C126" t="str">
            <v>Metalúrgica Met-Mex Peñoles S.A. De C.V.</v>
          </cell>
          <cell r="E126" t="str">
            <v>CID001161</v>
          </cell>
        </row>
        <row r="127">
          <cell r="C127" t="str">
            <v>Metalúrgica Met-Mex Peñoles S.A. De C.V.</v>
          </cell>
          <cell r="E127" t="str">
            <v>CID001161</v>
          </cell>
        </row>
        <row r="128">
          <cell r="C128" t="str">
            <v>Mitsubishi Materials Corporation</v>
          </cell>
          <cell r="E128" t="str">
            <v>CID001188</v>
          </cell>
        </row>
        <row r="129">
          <cell r="C129" t="str">
            <v>Mitsui Mining and Smelting Co., Ltd.</v>
          </cell>
          <cell r="E129" t="str">
            <v>CID001193</v>
          </cell>
        </row>
        <row r="130">
          <cell r="C130" t="str">
            <v>Mitsui Mining and Smelting Co., Ltd.</v>
          </cell>
          <cell r="E130" t="str">
            <v>CID001193</v>
          </cell>
        </row>
        <row r="131">
          <cell r="C131" t="str">
            <v>MMTC-PAMP India Pvt., Ltd.</v>
          </cell>
          <cell r="E131" t="str">
            <v>CID002509</v>
          </cell>
        </row>
        <row r="132">
          <cell r="C132" t="str">
            <v>Modeltech Sdn Bhd</v>
          </cell>
          <cell r="E132" t="str">
            <v>CID002857</v>
          </cell>
        </row>
        <row r="133">
          <cell r="C133" t="str">
            <v>Morris and Watson</v>
          </cell>
          <cell r="E133" t="str">
            <v>CID002282</v>
          </cell>
        </row>
        <row r="134">
          <cell r="C134" t="str">
            <v>Moscow Special Alloys Processing Plant</v>
          </cell>
          <cell r="E134" t="str">
            <v>CID001204</v>
          </cell>
        </row>
        <row r="135">
          <cell r="C135" t="str">
            <v>Nadir Metal Rafineri San. Ve Tic. A.Ş.</v>
          </cell>
          <cell r="E135" t="str">
            <v>CID001220</v>
          </cell>
        </row>
        <row r="136">
          <cell r="C136" t="str">
            <v>Navoi Mining and Metallurgical Combinat</v>
          </cell>
          <cell r="E136" t="str">
            <v>CID001236</v>
          </cell>
        </row>
        <row r="137">
          <cell r="C137" t="str">
            <v>Nihon Material Co., Ltd.</v>
          </cell>
          <cell r="E137" t="str">
            <v>CID001259</v>
          </cell>
        </row>
        <row r="138">
          <cell r="C138" t="str">
            <v>Aurubis AG</v>
          </cell>
          <cell r="E138" t="str">
            <v>CID000113</v>
          </cell>
        </row>
        <row r="139">
          <cell r="C139" t="str">
            <v>Ögussa Österreichische Gold- und Silber-Scheideanstalt GmbH</v>
          </cell>
          <cell r="E139" t="str">
            <v>CID002779</v>
          </cell>
        </row>
        <row r="140">
          <cell r="C140" t="str">
            <v>Elemetal Refining, LLC</v>
          </cell>
          <cell r="E140" t="str">
            <v>CID001322</v>
          </cell>
        </row>
        <row r="141">
          <cell r="C141" t="str">
            <v>Ohura Precious Metal Industry Co., Ltd.</v>
          </cell>
          <cell r="E141" t="str">
            <v>CID001325</v>
          </cell>
        </row>
        <row r="142">
          <cell r="C142" t="str">
            <v>OJSC "The Gulidov Krasnoyarsk Non-Ferrous Metals Plant" (OJSC Krastsvetmet)</v>
          </cell>
          <cell r="E142" t="str">
            <v>CID001326</v>
          </cell>
        </row>
        <row r="143">
          <cell r="C143" t="str">
            <v>OJSC "The Gulidov Krasnoyarsk Non-Ferrous Metals Plant" (OJSC Krastsvetmet)</v>
          </cell>
          <cell r="E143" t="str">
            <v>CID001326</v>
          </cell>
        </row>
        <row r="144">
          <cell r="C144" t="str">
            <v>OJSC Novosibirsk Refinery</v>
          </cell>
          <cell r="E144" t="str">
            <v>CID000493</v>
          </cell>
        </row>
        <row r="145">
          <cell r="C145" t="str">
            <v>Elemetal Refining, LLC</v>
          </cell>
          <cell r="E145" t="str">
            <v>CID001322</v>
          </cell>
        </row>
        <row r="146">
          <cell r="C146" t="str">
            <v>PAMP S.A.</v>
          </cell>
          <cell r="E146" t="str">
            <v>CID001352</v>
          </cell>
        </row>
        <row r="147">
          <cell r="C147" t="str">
            <v>JX Nippon Mining &amp; Metals Co., Ltd.</v>
          </cell>
          <cell r="E147" t="str">
            <v>CID000937</v>
          </cell>
        </row>
        <row r="148">
          <cell r="C148" t="str">
            <v>Penglai Penggang Gold Industry Co., Ltd.</v>
          </cell>
          <cell r="E148" t="str">
            <v>CID001362</v>
          </cell>
        </row>
        <row r="149">
          <cell r="C149" t="str">
            <v>Western Australian Mint trading as The Perth Mint</v>
          </cell>
          <cell r="E149" t="str">
            <v>CID002030</v>
          </cell>
        </row>
        <row r="150">
          <cell r="C150" t="str">
            <v>Western Australian Mint trading as The Perth Mint</v>
          </cell>
          <cell r="E150" t="str">
            <v>CID002030</v>
          </cell>
        </row>
        <row r="151">
          <cell r="C151" t="str">
            <v>Prioksky Plant of Non-Ferrous Metals</v>
          </cell>
          <cell r="E151" t="str">
            <v>CID001386</v>
          </cell>
        </row>
        <row r="152">
          <cell r="C152" t="str">
            <v>PAMP S.A.</v>
          </cell>
          <cell r="E152" t="str">
            <v>CID001352</v>
          </cell>
        </row>
        <row r="153">
          <cell r="C153" t="str">
            <v>PT Aneka Tambang (Persero) Tbk</v>
          </cell>
          <cell r="E153" t="str">
            <v>CID001397</v>
          </cell>
        </row>
        <row r="154">
          <cell r="C154" t="str">
            <v>PX Précinox S.A.</v>
          </cell>
          <cell r="E154" t="str">
            <v>CID001498</v>
          </cell>
        </row>
        <row r="155">
          <cell r="C155" t="str">
            <v>Rand Refinery (Pty) Ltd.</v>
          </cell>
          <cell r="E155" t="str">
            <v>CID001512</v>
          </cell>
        </row>
        <row r="156">
          <cell r="C156" t="str">
            <v>LS-NIKKO Copper Inc.</v>
          </cell>
          <cell r="E156" t="str">
            <v>CID001078</v>
          </cell>
        </row>
        <row r="157">
          <cell r="C157" t="str">
            <v>Remondis Argentia B.V.</v>
          </cell>
          <cell r="E157" t="str">
            <v>CID002582</v>
          </cell>
        </row>
        <row r="158">
          <cell r="C158" t="str">
            <v>Republic Metals Corporation</v>
          </cell>
          <cell r="E158" t="str">
            <v>CID002510</v>
          </cell>
        </row>
        <row r="159">
          <cell r="C159" t="str">
            <v>Royal Canadian Mint</v>
          </cell>
          <cell r="E159" t="str">
            <v>CID001534</v>
          </cell>
        </row>
        <row r="160">
          <cell r="C160" t="str">
            <v>SAAMP</v>
          </cell>
          <cell r="E160" t="str">
            <v>CID002761</v>
          </cell>
        </row>
        <row r="161">
          <cell r="C161" t="str">
            <v>Sabin Metal Corp.</v>
          </cell>
          <cell r="E161" t="str">
            <v>CID001546</v>
          </cell>
        </row>
        <row r="162">
          <cell r="C162" t="str">
            <v>SAFINA A.S.</v>
          </cell>
          <cell r="E162" t="str">
            <v>CID002290</v>
          </cell>
        </row>
        <row r="163">
          <cell r="C163" t="str">
            <v>JX Nippon Mining &amp; Metals Co., Ltd.</v>
          </cell>
          <cell r="E163" t="str">
            <v>CID000937</v>
          </cell>
        </row>
        <row r="164">
          <cell r="C164" t="str">
            <v>Sai Refinery</v>
          </cell>
          <cell r="E164" t="str">
            <v>CID002853</v>
          </cell>
        </row>
        <row r="165">
          <cell r="C165" t="str">
            <v>Samduck Precious Metals</v>
          </cell>
          <cell r="E165" t="str">
            <v>CID001555</v>
          </cell>
        </row>
        <row r="166">
          <cell r="C166" t="str">
            <v>Samduck Precious Metals</v>
          </cell>
          <cell r="E166" t="str">
            <v>CID001555</v>
          </cell>
        </row>
        <row r="167">
          <cell r="C167" t="str">
            <v>SAMWON Metals Corp.</v>
          </cell>
          <cell r="E167" t="str">
            <v>CID001562</v>
          </cell>
        </row>
        <row r="168">
          <cell r="C168" t="str">
            <v>SAXONIA Edelmetalle GmbH</v>
          </cell>
          <cell r="E168" t="str">
            <v>CID002777</v>
          </cell>
        </row>
        <row r="169">
          <cell r="C169" t="str">
            <v>Schone Edelmetaal B.V.</v>
          </cell>
          <cell r="E169" t="str">
            <v>CID001573</v>
          </cell>
        </row>
        <row r="170">
          <cell r="C170" t="str">
            <v>Samduck Precious Metals</v>
          </cell>
          <cell r="E170" t="str">
            <v>CID001555</v>
          </cell>
        </row>
        <row r="171">
          <cell r="C171" t="str">
            <v>SEMPSA Joyería Platería S.A.</v>
          </cell>
          <cell r="E171" t="str">
            <v>CID001585</v>
          </cell>
        </row>
        <row r="172">
          <cell r="C172" t="str">
            <v>SEMPSA Joyería Platería S.A.</v>
          </cell>
          <cell r="E172" t="str">
            <v>CID001585</v>
          </cell>
        </row>
        <row r="173">
          <cell r="C173" t="str">
            <v>The Refinery of Shandong Gold Mining Co., Ltd.</v>
          </cell>
          <cell r="E173" t="str">
            <v>CID001916</v>
          </cell>
        </row>
        <row r="174">
          <cell r="C174" t="str">
            <v>Shandong Tiancheng Biological Gold Industrial Co., Ltd.</v>
          </cell>
          <cell r="E174" t="str">
            <v>CID001619</v>
          </cell>
        </row>
        <row r="175">
          <cell r="C175" t="str">
            <v>Shandong Tiancheng Biological Gold Industrial Co., Ltd.</v>
          </cell>
          <cell r="E175" t="str">
            <v>CID001619</v>
          </cell>
        </row>
        <row r="176">
          <cell r="C176" t="str">
            <v>Shandong Zhaojin Gold &amp; Silver Refinery Co., Ltd.</v>
          </cell>
          <cell r="E176" t="str">
            <v>CID001622</v>
          </cell>
        </row>
        <row r="177">
          <cell r="C177" t="str">
            <v>The Refinery of Shandong Gold Mining Co., Ltd.</v>
          </cell>
          <cell r="E177" t="str">
            <v>CID001916</v>
          </cell>
        </row>
        <row r="178">
          <cell r="C178" t="str">
            <v>Tanaka Kikinzoku Kogyo K.K.</v>
          </cell>
          <cell r="E178" t="str">
            <v>CID001875</v>
          </cell>
        </row>
        <row r="179">
          <cell r="C179" t="str">
            <v>Sichuan Tianze Precious Metals Co., Ltd.</v>
          </cell>
          <cell r="E179" t="str">
            <v>CID001736</v>
          </cell>
        </row>
        <row r="180">
          <cell r="C180" t="str">
            <v>Tanaka Kikinzoku Kogyo K.K.</v>
          </cell>
          <cell r="E180" t="str">
            <v>CID001875</v>
          </cell>
        </row>
        <row r="181">
          <cell r="C181" t="str">
            <v>Singway Technology Co., Ltd.</v>
          </cell>
          <cell r="E181" t="str">
            <v>CID002516</v>
          </cell>
        </row>
        <row r="182">
          <cell r="C182" t="str">
            <v>Sumitomo Metal Mining Co., Ltd.</v>
          </cell>
          <cell r="E182" t="str">
            <v>CID001798</v>
          </cell>
        </row>
        <row r="183">
          <cell r="C183" t="str">
            <v>So Accurate Group, Inc.</v>
          </cell>
          <cell r="E183" t="str">
            <v>CID001754</v>
          </cell>
        </row>
        <row r="184">
          <cell r="C184" t="str">
            <v>SOE Shyolkovsky Factory of Secondary Precious Metals</v>
          </cell>
          <cell r="E184" t="str">
            <v>CID001756</v>
          </cell>
        </row>
        <row r="185">
          <cell r="C185" t="str">
            <v>Solar Applied Materials Technology Corp.</v>
          </cell>
          <cell r="E185" t="str">
            <v>CID001761</v>
          </cell>
        </row>
        <row r="186">
          <cell r="C186" t="str">
            <v>Solar Applied Materials Technology Corp.</v>
          </cell>
          <cell r="E186" t="str">
            <v>CID001761</v>
          </cell>
        </row>
        <row r="187">
          <cell r="C187" t="str">
            <v>Solar Applied Materials Technology Corp.</v>
          </cell>
          <cell r="E187" t="str">
            <v>CID001761</v>
          </cell>
        </row>
        <row r="188">
          <cell r="C188" t="str">
            <v>Sudan Gold Refinery</v>
          </cell>
          <cell r="E188" t="str">
            <v>CID002567</v>
          </cell>
        </row>
        <row r="189">
          <cell r="C189" t="str">
            <v>Sumitomo Metal Mining Co., Ltd.</v>
          </cell>
          <cell r="E189" t="str">
            <v>CID001798</v>
          </cell>
        </row>
        <row r="190">
          <cell r="C190" t="str">
            <v>Sumitomo Metal Mining Co., Ltd.</v>
          </cell>
          <cell r="E190" t="str">
            <v>CID001798</v>
          </cell>
        </row>
        <row r="191">
          <cell r="C191" t="str">
            <v>T.C.A S.p.A</v>
          </cell>
          <cell r="E191" t="str">
            <v>CID002580</v>
          </cell>
        </row>
        <row r="192">
          <cell r="C192" t="str">
            <v>Mitsui Mining and Smelting Co., Ltd.</v>
          </cell>
          <cell r="E192" t="str">
            <v>CID001193</v>
          </cell>
        </row>
        <row r="193">
          <cell r="C193" t="str">
            <v>JX Nippon Mining &amp; Metals Co., Ltd.</v>
          </cell>
          <cell r="E193" t="str">
            <v>CID000937</v>
          </cell>
        </row>
        <row r="194">
          <cell r="C194" t="str">
            <v>Tanaka Kikinzoku Kogyo K.K.</v>
          </cell>
          <cell r="E194" t="str">
            <v>CID001875</v>
          </cell>
        </row>
        <row r="195">
          <cell r="C195" t="str">
            <v>Tanaka Kikinzoku Kogyo K.K.</v>
          </cell>
          <cell r="E195" t="str">
            <v>CID001875</v>
          </cell>
        </row>
        <row r="196">
          <cell r="C196" t="str">
            <v>Tanaka Kikinzoku Kogyo K.K.</v>
          </cell>
          <cell r="E196" t="str">
            <v>CID001875</v>
          </cell>
        </row>
        <row r="197">
          <cell r="C197" t="str">
            <v>Tanaka Kikinzoku Kogyo K.K.</v>
          </cell>
          <cell r="E197" t="str">
            <v>CID001875</v>
          </cell>
        </row>
        <row r="198">
          <cell r="C198" t="str">
            <v>Tanaka Kikinzoku Kogyo K.K.</v>
          </cell>
          <cell r="E198" t="str">
            <v>CID001875</v>
          </cell>
        </row>
        <row r="199">
          <cell r="C199" t="str">
            <v>Tanaka Kikinzoku Kogyo K.K.</v>
          </cell>
          <cell r="E199" t="str">
            <v>CID001875</v>
          </cell>
        </row>
        <row r="200">
          <cell r="C200" t="str">
            <v>Tanaka Kikinzoku Kogyo K.K.</v>
          </cell>
          <cell r="E200" t="str">
            <v>CID001875</v>
          </cell>
        </row>
        <row r="201">
          <cell r="C201" t="str">
            <v>Tanaka Kikinzoku Kogyo K.K.</v>
          </cell>
          <cell r="E201" t="str">
            <v>CID001875</v>
          </cell>
        </row>
        <row r="202">
          <cell r="C202" t="str">
            <v>Great Wall Precious Metals Co., Ltd. of CBPM</v>
          </cell>
          <cell r="E202" t="str">
            <v>CID001909</v>
          </cell>
        </row>
        <row r="203">
          <cell r="C203" t="str">
            <v>Western Australian Mint trading as The Perth Mint</v>
          </cell>
          <cell r="E203" t="str">
            <v>CID002030</v>
          </cell>
        </row>
        <row r="204">
          <cell r="C204" t="str">
            <v>The Refinery of Shandong Gold Mining Co., Ltd.</v>
          </cell>
          <cell r="E204" t="str">
            <v>CID001916</v>
          </cell>
        </row>
        <row r="205">
          <cell r="C205" t="str">
            <v>Tokuriki Honten Co., Ltd.</v>
          </cell>
          <cell r="E205" t="str">
            <v>CID001938</v>
          </cell>
        </row>
        <row r="206">
          <cell r="C206" t="str">
            <v>Tongling Nonferrous Metals Group Co., Ltd.</v>
          </cell>
          <cell r="E206" t="str">
            <v>CID001947</v>
          </cell>
        </row>
        <row r="207">
          <cell r="C207" t="str">
            <v>Tongling Nonferrous Metals Group Co., Ltd.</v>
          </cell>
          <cell r="E207" t="str">
            <v>CID001947</v>
          </cell>
        </row>
        <row r="208">
          <cell r="C208" t="str">
            <v>Tony Goetz NV</v>
          </cell>
          <cell r="E208" t="str">
            <v>CID002587</v>
          </cell>
        </row>
        <row r="209">
          <cell r="C209" t="str">
            <v>TOO Tau-Ken-Altyn</v>
          </cell>
          <cell r="E209" t="str">
            <v>CID002615</v>
          </cell>
        </row>
        <row r="210">
          <cell r="C210" t="str">
            <v>Torecom</v>
          </cell>
          <cell r="E210" t="str">
            <v>CID001955</v>
          </cell>
        </row>
        <row r="211">
          <cell r="C211" t="str">
            <v>Sumitomo Metal Mining Co., Ltd.</v>
          </cell>
          <cell r="E211" t="str">
            <v>CID001798</v>
          </cell>
        </row>
        <row r="212">
          <cell r="C212" t="str">
            <v>Umicore Brasil Ltda.</v>
          </cell>
          <cell r="E212" t="str">
            <v>CID001977</v>
          </cell>
        </row>
        <row r="213">
          <cell r="C213" t="str">
            <v>Umicore Precious Metals Thailand</v>
          </cell>
          <cell r="E213" t="str">
            <v>CID002314</v>
          </cell>
        </row>
        <row r="214">
          <cell r="C214" t="str">
            <v>Umicore S.A. Business Unit Precious Metals Refining</v>
          </cell>
          <cell r="E214" t="str">
            <v>CID001980</v>
          </cell>
        </row>
        <row r="215">
          <cell r="C215" t="str">
            <v>United Precious Metal Refining, Inc.</v>
          </cell>
          <cell r="E215" t="str">
            <v>CID001993</v>
          </cell>
        </row>
        <row r="216">
          <cell r="C216" t="str">
            <v>Universal Precious Metals Refining Zambia</v>
          </cell>
          <cell r="E216" t="str">
            <v>CID002854</v>
          </cell>
        </row>
        <row r="217">
          <cell r="C217" t="str">
            <v>Valcambi S.A.</v>
          </cell>
          <cell r="E217" t="str">
            <v>CID002003</v>
          </cell>
        </row>
        <row r="218">
          <cell r="C218" t="str">
            <v>Western Australian Mint trading as The Perth Mint</v>
          </cell>
          <cell r="E218" t="str">
            <v>CID002030</v>
          </cell>
        </row>
        <row r="219">
          <cell r="C219" t="str">
            <v>WIELAND Edelmetalle GmbH</v>
          </cell>
          <cell r="E219" t="str">
            <v>CID002778</v>
          </cell>
        </row>
        <row r="220">
          <cell r="C220" t="str">
            <v>Materion</v>
          </cell>
          <cell r="E220" t="str">
            <v>CID001113</v>
          </cell>
        </row>
        <row r="221">
          <cell r="C221" t="str">
            <v>CCR Refinery - Glencore Canada Corporation</v>
          </cell>
          <cell r="E221" t="str">
            <v>CID000185</v>
          </cell>
        </row>
        <row r="222">
          <cell r="C222" t="str">
            <v>Yamamoto Precious Metal Co., Ltd.</v>
          </cell>
          <cell r="E222" t="str">
            <v>CID002100</v>
          </cell>
        </row>
        <row r="223">
          <cell r="C223" t="str">
            <v>Yamamoto Precious Metal Co., Ltd.</v>
          </cell>
          <cell r="E223" t="str">
            <v>CID002100</v>
          </cell>
        </row>
        <row r="224">
          <cell r="C224" t="str">
            <v>Guoda Safina High-Tech Environmental Refinery Co., Ltd.</v>
          </cell>
          <cell r="E224" t="str">
            <v>CID000651</v>
          </cell>
        </row>
        <row r="225">
          <cell r="C225" t="str">
            <v>Yokohama Metal Co., Ltd.</v>
          </cell>
          <cell r="E225" t="str">
            <v>CID002129</v>
          </cell>
        </row>
        <row r="226">
          <cell r="C226" t="str">
            <v>Yunnan Copper Industry Co., Ltd.</v>
          </cell>
          <cell r="E226" t="str">
            <v>CID000197</v>
          </cell>
        </row>
        <row r="227">
          <cell r="C227" t="str">
            <v>Shandong Zhaojin Gold &amp; Silver Refinery Co., Ltd.</v>
          </cell>
          <cell r="E227" t="str">
            <v>CID001622</v>
          </cell>
        </row>
        <row r="228">
          <cell r="C228" t="str">
            <v>Shandong Zhaojin Gold &amp; Silver Refinery Co., Ltd.</v>
          </cell>
          <cell r="E228" t="str">
            <v>CID001622</v>
          </cell>
        </row>
        <row r="229">
          <cell r="C229" t="str">
            <v>Shandong Zhaojin Gold &amp; Silver Refinery Co., Ltd.</v>
          </cell>
          <cell r="E229" t="str">
            <v>CID001622</v>
          </cell>
        </row>
        <row r="230">
          <cell r="C230" t="str">
            <v>Shandong Zhaojin Gold &amp; Silver Refinery Co., Ltd.</v>
          </cell>
          <cell r="E230" t="str">
            <v>CID001622</v>
          </cell>
        </row>
        <row r="231">
          <cell r="C231" t="str">
            <v>Shandong Zhaojin Gold &amp; Silver Refinery Co., Ltd.</v>
          </cell>
          <cell r="E231" t="str">
            <v>CID001622</v>
          </cell>
        </row>
        <row r="232">
          <cell r="C232" t="str">
            <v>Shandong Zhaojin Gold &amp; Silver Refinery Co., Ltd.</v>
          </cell>
          <cell r="E232" t="str">
            <v>CID001622</v>
          </cell>
        </row>
        <row r="233">
          <cell r="C233" t="str">
            <v>Zhongyuan Gold Smelter of Zhongjin Gold Corporation</v>
          </cell>
          <cell r="E233" t="str">
            <v>CID002224</v>
          </cell>
        </row>
        <row r="234">
          <cell r="C234" t="str">
            <v>Zhongyuan Gold Smelter of Zhongjin Gold Corporation</v>
          </cell>
          <cell r="E234" t="str">
            <v>CID002224</v>
          </cell>
        </row>
        <row r="235">
          <cell r="C235" t="str">
            <v>Zijin Mining Group Co., Ltd. Gold Refinery</v>
          </cell>
          <cell r="E235" t="str">
            <v>CID002243</v>
          </cell>
        </row>
        <row r="236">
          <cell r="C236" t="str">
            <v>Zijin Mining Group Co., Ltd. Gold Refinery</v>
          </cell>
          <cell r="E236" t="str">
            <v>CID002243</v>
          </cell>
        </row>
        <row r="237">
          <cell r="C237" t="str">
            <v>Zijin Mining Group Co., Ltd. Gold Refinery</v>
          </cell>
          <cell r="E237" t="str">
            <v>CID002243</v>
          </cell>
        </row>
        <row r="239">
          <cell r="C239" t="str">
            <v>Unknown</v>
          </cell>
        </row>
        <row r="240">
          <cell r="C240" t="str">
            <v>Changsha South Tantalum Niobium Co., Ltd.</v>
          </cell>
          <cell r="E240" t="str">
            <v>CID000211</v>
          </cell>
        </row>
        <row r="241">
          <cell r="C241" t="str">
            <v>Changsha South Tantalum Niobium Co., Ltd.</v>
          </cell>
          <cell r="E241" t="str">
            <v>CID000211</v>
          </cell>
        </row>
        <row r="242">
          <cell r="C242" t="str">
            <v>Conghua Tantalum and Niobium Smeltry</v>
          </cell>
          <cell r="E242" t="str">
            <v>CID000291</v>
          </cell>
        </row>
        <row r="243">
          <cell r="C243" t="str">
            <v>D Block Metals, LLC</v>
          </cell>
          <cell r="E243" t="str">
            <v>CID002504</v>
          </cell>
        </row>
        <row r="244">
          <cell r="C244" t="str">
            <v>Duoluoshan</v>
          </cell>
          <cell r="E244" t="str">
            <v>CID000410</v>
          </cell>
        </row>
        <row r="245">
          <cell r="C245" t="str">
            <v>Duoluoshan</v>
          </cell>
          <cell r="E245" t="str">
            <v>CID000410</v>
          </cell>
        </row>
        <row r="246">
          <cell r="C246" t="str">
            <v>E.S.R. Electronics</v>
          </cell>
          <cell r="E246" t="str">
            <v>CID002590</v>
          </cell>
        </row>
        <row r="247">
          <cell r="C247" t="str">
            <v>Exotech Inc.</v>
          </cell>
          <cell r="E247" t="str">
            <v>CID000456</v>
          </cell>
        </row>
        <row r="248">
          <cell r="C248" t="str">
            <v>F&amp;X Electro-Materials Ltd.</v>
          </cell>
          <cell r="E248" t="str">
            <v>CID000460</v>
          </cell>
        </row>
        <row r="249">
          <cell r="C249" t="str">
            <v>F&amp;X Electro-Materials Ltd.</v>
          </cell>
          <cell r="E249" t="str">
            <v>CID000460</v>
          </cell>
        </row>
        <row r="250">
          <cell r="C250" t="str">
            <v>FIR Metals &amp; Resource Ltd.</v>
          </cell>
          <cell r="E250" t="str">
            <v>CID002505</v>
          </cell>
        </row>
        <row r="251">
          <cell r="C251" t="str">
            <v>Global Advanced Metals Aizu</v>
          </cell>
          <cell r="E251" t="str">
            <v>CID002558</v>
          </cell>
        </row>
        <row r="252">
          <cell r="C252" t="str">
            <v>Global Advanced Metals Boyertown</v>
          </cell>
          <cell r="E252" t="str">
            <v>CID002557</v>
          </cell>
        </row>
        <row r="253">
          <cell r="C253" t="str">
            <v>Guangdong Zhiyuan New Material Co., Ltd.</v>
          </cell>
          <cell r="E253" t="str">
            <v>CID000616</v>
          </cell>
        </row>
        <row r="254">
          <cell r="C254" t="str">
            <v>H.C. Starck Co., Ltd.</v>
          </cell>
          <cell r="E254" t="str">
            <v>CID002544</v>
          </cell>
        </row>
        <row r="255">
          <cell r="C255" t="str">
            <v>H.C. Starck GmbH Goslar</v>
          </cell>
          <cell r="E255" t="str">
            <v>CID002545</v>
          </cell>
        </row>
        <row r="256">
          <cell r="C256" t="str">
            <v>H.C. Starck GmbH Laufenburg</v>
          </cell>
          <cell r="E256" t="str">
            <v>CID002546</v>
          </cell>
        </row>
        <row r="257">
          <cell r="C257" t="str">
            <v>H.C. Starck Hermsdorf GmbH</v>
          </cell>
          <cell r="E257" t="str">
            <v>CID002547</v>
          </cell>
        </row>
        <row r="258">
          <cell r="C258" t="str">
            <v>H.C. Starck Inc.</v>
          </cell>
          <cell r="E258" t="str">
            <v>CID002548</v>
          </cell>
        </row>
        <row r="259">
          <cell r="C259" t="str">
            <v>H.C. Starck Ltd.</v>
          </cell>
          <cell r="E259" t="str">
            <v>CID002549</v>
          </cell>
        </row>
        <row r="260">
          <cell r="C260" t="str">
            <v>H.C. Starck Smelting GmbH &amp; Co. KG</v>
          </cell>
          <cell r="E260" t="str">
            <v>CID002550</v>
          </cell>
        </row>
        <row r="261">
          <cell r="C261" t="str">
            <v>Hengyang King Xing Lifeng New Materials Co., Ltd.</v>
          </cell>
          <cell r="E261" t="str">
            <v>CID002492</v>
          </cell>
        </row>
        <row r="262">
          <cell r="C262" t="str">
            <v>Hi-Temp Specialty Metals, Inc.</v>
          </cell>
          <cell r="E262" t="str">
            <v>CID000731</v>
          </cell>
        </row>
        <row r="263">
          <cell r="C263" t="str">
            <v>Hi-Temp Specialty Metals, Inc.</v>
          </cell>
          <cell r="E263" t="str">
            <v>CID000731</v>
          </cell>
        </row>
        <row r="264">
          <cell r="C264" t="str">
            <v>Jiangxi Dinghai Tantalum &amp; Niobium Co., Ltd.</v>
          </cell>
          <cell r="E264" t="str">
            <v>CID002512</v>
          </cell>
        </row>
        <row r="265">
          <cell r="C265" t="str">
            <v>Jiangxi Tuohong New Raw Material</v>
          </cell>
          <cell r="E265" t="str">
            <v>CID002842</v>
          </cell>
        </row>
        <row r="266">
          <cell r="C266" t="str">
            <v>JiuJiang JinXin Nonferrous Metals Co., Ltd.</v>
          </cell>
          <cell r="E266" t="str">
            <v>CID000914</v>
          </cell>
        </row>
        <row r="267">
          <cell r="C267" t="str">
            <v>Jiujiang Tanbre Co., Ltd.</v>
          </cell>
          <cell r="E267" t="str">
            <v>CID000917</v>
          </cell>
        </row>
        <row r="268">
          <cell r="C268" t="str">
            <v>Jiujiang Zhongao Tantalum &amp; Niobium Co., Ltd.</v>
          </cell>
          <cell r="E268" t="str">
            <v>CID002506</v>
          </cell>
        </row>
        <row r="269">
          <cell r="C269" t="str">
            <v>KEMET Blue Metals</v>
          </cell>
          <cell r="E269" t="str">
            <v>CID002539</v>
          </cell>
        </row>
        <row r="270">
          <cell r="C270" t="str">
            <v>KEMET Blue Powder</v>
          </cell>
          <cell r="E270" t="str">
            <v>CID002568</v>
          </cell>
        </row>
        <row r="271">
          <cell r="C271" t="str">
            <v>King-Tan Tantalum Industry Ltd.</v>
          </cell>
          <cell r="E271" t="str">
            <v>CID000973</v>
          </cell>
        </row>
        <row r="272">
          <cell r="C272" t="str">
            <v>LSM Brasil S.A.</v>
          </cell>
          <cell r="E272" t="str">
            <v>CID001076</v>
          </cell>
        </row>
        <row r="273">
          <cell r="C273" t="str">
            <v>Metallurgical Products India Pvt., Ltd.</v>
          </cell>
          <cell r="E273" t="str">
            <v>CID001163</v>
          </cell>
        </row>
        <row r="274">
          <cell r="C274" t="str">
            <v>Metallurgical Products India Pvt., Ltd.</v>
          </cell>
          <cell r="E274" t="str">
            <v>CID001163</v>
          </cell>
        </row>
        <row r="275">
          <cell r="C275" t="str">
            <v>Mineração Taboca S.A.</v>
          </cell>
          <cell r="E275" t="str">
            <v>CID001175</v>
          </cell>
        </row>
        <row r="276">
          <cell r="C276" t="str">
            <v>Mitsui Mining &amp; Smelting</v>
          </cell>
          <cell r="E276" t="str">
            <v>CID001192</v>
          </cell>
        </row>
        <row r="277">
          <cell r="C277" t="str">
            <v>Molycorp Silmet A.S.</v>
          </cell>
          <cell r="E277" t="str">
            <v>CID001200</v>
          </cell>
        </row>
        <row r="278">
          <cell r="C278" t="str">
            <v>Ningxia Orient Tantalum Industry Co., Ltd.</v>
          </cell>
          <cell r="E278" t="str">
            <v>CID001277</v>
          </cell>
        </row>
        <row r="279">
          <cell r="C279" t="str">
            <v>Plansee SE Liezen</v>
          </cell>
          <cell r="E279" t="str">
            <v>CID002540</v>
          </cell>
        </row>
        <row r="280">
          <cell r="C280" t="str">
            <v>Plansee SE Reutte</v>
          </cell>
          <cell r="E280" t="str">
            <v>CID002556</v>
          </cell>
        </row>
        <row r="281">
          <cell r="C281" t="str">
            <v>Power Resources Ltd.</v>
          </cell>
          <cell r="E281" t="str">
            <v>CID002847</v>
          </cell>
        </row>
        <row r="282">
          <cell r="C282" t="str">
            <v>QuantumClean</v>
          </cell>
          <cell r="E282" t="str">
            <v>CID001508</v>
          </cell>
        </row>
        <row r="283">
          <cell r="C283" t="str">
            <v>Resind Indústria e Comércio Ltda.</v>
          </cell>
          <cell r="E283" t="str">
            <v>CID002707</v>
          </cell>
        </row>
        <row r="284">
          <cell r="C284" t="str">
            <v>RFH Tantalum Smeltry Co., Ltd.</v>
          </cell>
          <cell r="E284" t="str">
            <v>CID001522</v>
          </cell>
        </row>
        <row r="285">
          <cell r="C285" t="str">
            <v>RFH Tantalum Smeltry Co., Ltd.</v>
          </cell>
          <cell r="E285" t="str">
            <v>CID001522</v>
          </cell>
        </row>
        <row r="286">
          <cell r="C286" t="str">
            <v>RFH Tantalum Smeltry Co., Ltd.</v>
          </cell>
          <cell r="E286" t="str">
            <v>CID001522</v>
          </cell>
        </row>
        <row r="287">
          <cell r="C287" t="str">
            <v>Solikamsk Magnesium Works OAO</v>
          </cell>
          <cell r="E287" t="str">
            <v>CID001769</v>
          </cell>
        </row>
        <row r="288">
          <cell r="C288" t="str">
            <v>Solikamsk Magnesium Works OAO</v>
          </cell>
          <cell r="E288" t="str">
            <v>CID001769</v>
          </cell>
        </row>
        <row r="289">
          <cell r="C289" t="str">
            <v>Solikamsk Magnesium Works OAO</v>
          </cell>
          <cell r="E289" t="str">
            <v>CID001769</v>
          </cell>
        </row>
        <row r="290">
          <cell r="C290" t="str">
            <v>Taki Chemicals</v>
          </cell>
          <cell r="E290" t="str">
            <v>CID001869</v>
          </cell>
        </row>
        <row r="291">
          <cell r="C291" t="str">
            <v>Telex Metals</v>
          </cell>
          <cell r="E291" t="str">
            <v>CID001891</v>
          </cell>
        </row>
        <row r="292">
          <cell r="C292" t="str">
            <v>Tranzact, Inc.</v>
          </cell>
          <cell r="E292" t="str">
            <v>CID002571</v>
          </cell>
        </row>
        <row r="293">
          <cell r="C293" t="str">
            <v>Ulba Metallurgical Plant JSC</v>
          </cell>
          <cell r="E293" t="str">
            <v>CID001969</v>
          </cell>
        </row>
        <row r="294">
          <cell r="C294" t="str">
            <v>Ulba Metallurgical Plant JSC</v>
          </cell>
          <cell r="E294" t="str">
            <v>CID001969</v>
          </cell>
        </row>
        <row r="295">
          <cell r="C295" t="str">
            <v>XinXing HaoRong Electronic Material Co., Ltd.</v>
          </cell>
          <cell r="E295" t="str">
            <v>CID002508</v>
          </cell>
        </row>
        <row r="296">
          <cell r="C296" t="str">
            <v>Yichun Jin Yang Rare Metal Co., Ltd.</v>
          </cell>
          <cell r="E296" t="str">
            <v>CID002307</v>
          </cell>
        </row>
        <row r="297">
          <cell r="C297" t="str">
            <v>Duoluoshan</v>
          </cell>
          <cell r="E297" t="str">
            <v>CID000410</v>
          </cell>
        </row>
        <row r="298">
          <cell r="C298" t="str">
            <v>Zhuzhou Cemented Carbide</v>
          </cell>
          <cell r="E298" t="str">
            <v>CID002232</v>
          </cell>
        </row>
        <row r="299">
          <cell r="C299" t="str">
            <v>Zhuzhou Cemented Carbide</v>
          </cell>
          <cell r="E299" t="str">
            <v>CID002232</v>
          </cell>
        </row>
        <row r="300">
          <cell r="C300" t="str">
            <v>Zhuzhou Cemented Carbide</v>
          </cell>
          <cell r="E300" t="str">
            <v>CID002232</v>
          </cell>
        </row>
        <row r="302">
          <cell r="C302" t="str">
            <v>Unknown</v>
          </cell>
        </row>
        <row r="303">
          <cell r="C303" t="str">
            <v>Alpha</v>
          </cell>
          <cell r="E303" t="str">
            <v>CID000292</v>
          </cell>
        </row>
        <row r="304">
          <cell r="C304" t="str">
            <v>Alpha</v>
          </cell>
          <cell r="E304" t="str">
            <v>CID000292</v>
          </cell>
        </row>
        <row r="305">
          <cell r="C305" t="str">
            <v>Alpha</v>
          </cell>
          <cell r="E305" t="str">
            <v>CID000292</v>
          </cell>
        </row>
        <row r="306">
          <cell r="C306" t="str">
            <v>Alpha</v>
          </cell>
          <cell r="E306" t="str">
            <v>CID000292</v>
          </cell>
        </row>
        <row r="307">
          <cell r="C307" t="str">
            <v>Alpha</v>
          </cell>
          <cell r="E307" t="str">
            <v>CID000292</v>
          </cell>
        </row>
        <row r="308">
          <cell r="C308" t="str">
            <v>An Thai Minerals Co., Ltd.</v>
          </cell>
          <cell r="E308" t="str">
            <v>CID002825</v>
          </cell>
        </row>
        <row r="309">
          <cell r="C309" t="str">
            <v>An Vinh Joint Stock Mineral Processing Company</v>
          </cell>
          <cell r="E309" t="str">
            <v>CID002703</v>
          </cell>
        </row>
        <row r="310">
          <cell r="C310" t="str">
            <v>PT BilliTin Makmur Lestari</v>
          </cell>
          <cell r="E310" t="str">
            <v>CID001424</v>
          </cell>
        </row>
        <row r="311">
          <cell r="C311" t="str">
            <v>PT Bukit Timah</v>
          </cell>
          <cell r="E311" t="str">
            <v>CID001428</v>
          </cell>
        </row>
        <row r="312">
          <cell r="C312" t="str">
            <v>PT Refined Bangka Tin</v>
          </cell>
          <cell r="E312" t="str">
            <v>CID001460</v>
          </cell>
        </row>
        <row r="313">
          <cell r="C313" t="str">
            <v>Yunnan Chengfeng Non-ferrous Metals Co., Ltd.</v>
          </cell>
          <cell r="E313" t="str">
            <v>CID002158</v>
          </cell>
        </row>
        <row r="314">
          <cell r="C314" t="str">
            <v>Chenzhou Yunxiang Mining and Metallurgy Co., Ltd.</v>
          </cell>
          <cell r="E314" t="str">
            <v>CID000228</v>
          </cell>
        </row>
        <row r="315">
          <cell r="C315" t="str">
            <v>Chenzhou Yunxiang Mining and Metallurgy Co., Ltd.</v>
          </cell>
          <cell r="E315" t="str">
            <v>CID000228</v>
          </cell>
        </row>
        <row r="316">
          <cell r="C316" t="str">
            <v>Jiangxi Ketai Advanced Material Co., Ltd.</v>
          </cell>
          <cell r="E316" t="str">
            <v>CID000244</v>
          </cell>
        </row>
        <row r="317">
          <cell r="C317" t="str">
            <v>China Tin Group Co., Ltd.</v>
          </cell>
          <cell r="E317" t="str">
            <v>CID001070</v>
          </cell>
        </row>
        <row r="318">
          <cell r="C318" t="str">
            <v>China Tin Group Co., Ltd.</v>
          </cell>
          <cell r="E318" t="str">
            <v>CID001070</v>
          </cell>
        </row>
        <row r="319">
          <cell r="C319" t="str">
            <v>China Tin Group Co., Ltd.</v>
          </cell>
          <cell r="E319" t="str">
            <v>CID001070</v>
          </cell>
        </row>
        <row r="320">
          <cell r="C320" t="str">
            <v>Yunnan Tin Company Limited</v>
          </cell>
          <cell r="E320" t="str">
            <v>CID002180</v>
          </cell>
        </row>
        <row r="321">
          <cell r="C321" t="str">
            <v>CNMC (Guangxi) PGMA Co., Ltd.</v>
          </cell>
          <cell r="E321" t="str">
            <v>CID000278</v>
          </cell>
        </row>
        <row r="322">
          <cell r="C322" t="str">
            <v>Alpha</v>
          </cell>
          <cell r="E322" t="str">
            <v>CID000292</v>
          </cell>
        </row>
        <row r="323">
          <cell r="C323" t="str">
            <v>Alpha</v>
          </cell>
          <cell r="E323" t="str">
            <v>CID000292</v>
          </cell>
        </row>
        <row r="324">
          <cell r="C324" t="str">
            <v>Alpha</v>
          </cell>
          <cell r="E324" t="str">
            <v>CID000292</v>
          </cell>
        </row>
        <row r="325">
          <cell r="C325" t="str">
            <v>Cooperativa Metalurgica de Rondônia Ltda.</v>
          </cell>
          <cell r="E325" t="str">
            <v>CID000295</v>
          </cell>
        </row>
        <row r="326">
          <cell r="C326" t="str">
            <v>Cooperativa Metalurgica de Rondônia Ltda.</v>
          </cell>
          <cell r="E326" t="str">
            <v>CID000295</v>
          </cell>
        </row>
        <row r="327">
          <cell r="C327" t="str">
            <v>Cooperativa Metalurgica de Rondônia Ltda.</v>
          </cell>
          <cell r="E327" t="str">
            <v>CID000295</v>
          </cell>
        </row>
        <row r="328">
          <cell r="C328" t="str">
            <v>CV Ayi Jaya</v>
          </cell>
          <cell r="E328" t="str">
            <v>CID002570</v>
          </cell>
        </row>
        <row r="329">
          <cell r="C329" t="str">
            <v>CV Dua Sekawan</v>
          </cell>
          <cell r="E329" t="str">
            <v>CID002592</v>
          </cell>
        </row>
        <row r="330">
          <cell r="C330" t="str">
            <v>CV Gita Pesona</v>
          </cell>
          <cell r="E330" t="str">
            <v>CID000306</v>
          </cell>
        </row>
        <row r="331">
          <cell r="C331" t="str">
            <v>PT Justindo</v>
          </cell>
          <cell r="E331" t="str">
            <v>CID000307</v>
          </cell>
        </row>
        <row r="332">
          <cell r="C332" t="str">
            <v>PT Aries Kencana Sejahtera</v>
          </cell>
          <cell r="E332" t="str">
            <v>CID000309</v>
          </cell>
        </row>
        <row r="333">
          <cell r="C333" t="str">
            <v>CV Serumpun Sebalai</v>
          </cell>
          <cell r="E333" t="str">
            <v>CID000313</v>
          </cell>
        </row>
        <row r="334">
          <cell r="C334" t="str">
            <v>CV Tiga Sekawan</v>
          </cell>
          <cell r="E334" t="str">
            <v>CID002593</v>
          </cell>
        </row>
        <row r="335">
          <cell r="C335" t="str">
            <v>CV United Smelting</v>
          </cell>
          <cell r="E335" t="str">
            <v>CID000315</v>
          </cell>
        </row>
        <row r="336">
          <cell r="C336" t="str">
            <v>CV Venus Inti Perkasa</v>
          </cell>
          <cell r="E336" t="str">
            <v>CID002455</v>
          </cell>
        </row>
        <row r="337">
          <cell r="C337" t="str">
            <v>Dowa</v>
          </cell>
          <cell r="E337" t="str">
            <v>CID000402</v>
          </cell>
        </row>
        <row r="338">
          <cell r="C338" t="str">
            <v>Dowa</v>
          </cell>
          <cell r="E338" t="str">
            <v>CID000402</v>
          </cell>
        </row>
        <row r="339">
          <cell r="C339" t="str">
            <v>Electro-Mechanical Facility of the Cao Bang Minerals &amp; Metallurgy Joint Stock Company</v>
          </cell>
          <cell r="E339" t="str">
            <v>CID002572</v>
          </cell>
        </row>
        <row r="340">
          <cell r="C340" t="str">
            <v>Elmet S.L.U.</v>
          </cell>
          <cell r="E340" t="str">
            <v>CID002774</v>
          </cell>
        </row>
        <row r="341">
          <cell r="C341" t="str">
            <v>EM Vinto</v>
          </cell>
          <cell r="E341" t="str">
            <v>CID000438</v>
          </cell>
        </row>
        <row r="342">
          <cell r="C342" t="str">
            <v>EM Vinto</v>
          </cell>
          <cell r="E342" t="str">
            <v>CID000438</v>
          </cell>
        </row>
        <row r="343">
          <cell r="C343" t="str">
            <v>EM Vinto</v>
          </cell>
          <cell r="E343" t="str">
            <v>CID000438</v>
          </cell>
        </row>
        <row r="344">
          <cell r="C344" t="str">
            <v>EM Vinto</v>
          </cell>
          <cell r="E344" t="str">
            <v>CID000438</v>
          </cell>
        </row>
        <row r="345">
          <cell r="C345" t="str">
            <v>Estanho de Rondônia S.A.</v>
          </cell>
          <cell r="E345" t="str">
            <v>CID000448</v>
          </cell>
        </row>
        <row r="346">
          <cell r="C346" t="str">
            <v>Feinhütte Halsbrücke GmbH</v>
          </cell>
          <cell r="E346" t="str">
            <v>CID000466</v>
          </cell>
        </row>
        <row r="347">
          <cell r="C347" t="str">
            <v>Fenix Metals</v>
          </cell>
          <cell r="E347" t="str">
            <v>CID000468</v>
          </cell>
        </row>
        <row r="348">
          <cell r="C348" t="str">
            <v>Minsur</v>
          </cell>
          <cell r="E348" t="str">
            <v>CID001182</v>
          </cell>
        </row>
        <row r="349">
          <cell r="C349" t="str">
            <v>Yunnan Chengfeng Non-ferrous Metals Co., Ltd.</v>
          </cell>
          <cell r="E349" t="str">
            <v>CID002158</v>
          </cell>
        </row>
        <row r="350">
          <cell r="C350" t="str">
            <v>Gejiu Fengming Metallurgy Chemical Plant</v>
          </cell>
          <cell r="E350" t="str">
            <v>CID002848</v>
          </cell>
        </row>
        <row r="351">
          <cell r="C351" t="str">
            <v>Gejiu Jinye Mineral Company</v>
          </cell>
          <cell r="E351" t="str">
            <v>CID002859</v>
          </cell>
        </row>
        <row r="352">
          <cell r="C352" t="str">
            <v>Gejiu Kai Meng Industry and Trade LLC</v>
          </cell>
          <cell r="E352" t="str">
            <v>CID000942</v>
          </cell>
        </row>
        <row r="353">
          <cell r="C353" t="str">
            <v>Gejiu Non-Ferrous Metal Processing Co., Ltd.</v>
          </cell>
          <cell r="E353" t="str">
            <v>CID000538</v>
          </cell>
        </row>
        <row r="354">
          <cell r="C354" t="str">
            <v>Gejiu Yunxin Nonferrous Electrolysis Co., Ltd.</v>
          </cell>
          <cell r="E354" t="str">
            <v>CID001908</v>
          </cell>
        </row>
        <row r="355">
          <cell r="C355" t="str">
            <v>Gejiu Zili Mining And Metallurgy Co., Ltd.</v>
          </cell>
          <cell r="E355" t="str">
            <v>CID000555</v>
          </cell>
        </row>
        <row r="356">
          <cell r="C356" t="str">
            <v>Gejiu Zili Mining And Metallurgy Co., Ltd.</v>
          </cell>
          <cell r="E356" t="str">
            <v>CID000555</v>
          </cell>
        </row>
        <row r="357">
          <cell r="C357" t="str">
            <v>China Tin Group Co., Ltd.</v>
          </cell>
          <cell r="E357" t="str">
            <v>CID001070</v>
          </cell>
        </row>
        <row r="358">
          <cell r="C358" t="str">
            <v>China Tin Group Co., Ltd.</v>
          </cell>
          <cell r="E358" t="str">
            <v>CID001070</v>
          </cell>
        </row>
        <row r="359">
          <cell r="C359" t="str">
            <v>China Tin Group Co., Ltd.</v>
          </cell>
          <cell r="E359" t="str">
            <v>CID001070</v>
          </cell>
        </row>
        <row r="360">
          <cell r="C360" t="str">
            <v>CNMC (Guangxi) PGMA Co., Ltd.</v>
          </cell>
          <cell r="E360" t="str">
            <v>CID000278</v>
          </cell>
        </row>
        <row r="361">
          <cell r="C361" t="str">
            <v>Guanyang Guida Nonferrous Metal Smelting Plant</v>
          </cell>
          <cell r="E361" t="str">
            <v>CID002849</v>
          </cell>
        </row>
        <row r="362">
          <cell r="C362" t="str">
            <v>HuiChang Hill Tin Industry Co., Ltd.</v>
          </cell>
          <cell r="E362" t="str">
            <v>CID002844</v>
          </cell>
        </row>
        <row r="363">
          <cell r="C363" t="str">
            <v>Huichang Jinshunda Tin Co., Ltd.</v>
          </cell>
          <cell r="E363" t="str">
            <v>CID000760</v>
          </cell>
        </row>
        <row r="364">
          <cell r="C364" t="str">
            <v>Huichang Jinshunda Tin Co., Ltd.</v>
          </cell>
          <cell r="E364" t="str">
            <v>CID000760</v>
          </cell>
        </row>
        <row r="365">
          <cell r="C365" t="str">
            <v>PT Timah (Persero) Tbk Mentok</v>
          </cell>
          <cell r="E365" t="str">
            <v>CID001482</v>
          </cell>
        </row>
        <row r="366">
          <cell r="C366" t="str">
            <v>PT Bukit Timah</v>
          </cell>
          <cell r="E366" t="str">
            <v>CID001428</v>
          </cell>
        </row>
        <row r="367">
          <cell r="C367" t="str">
            <v>Jiangxi Ketai Advanced Material Co., Ltd.</v>
          </cell>
          <cell r="E367" t="str">
            <v>CID000244</v>
          </cell>
        </row>
        <row r="368">
          <cell r="C368" t="str">
            <v>Nankang Nanshan Tin Manufactory Co., Ltd.</v>
          </cell>
          <cell r="E368" t="str">
            <v>CID001231</v>
          </cell>
        </row>
        <row r="369">
          <cell r="C369" t="str">
            <v>Huichang Jinshunda Tin Co., Ltd.</v>
          </cell>
          <cell r="E369" t="str">
            <v>CID000760</v>
          </cell>
        </row>
        <row r="370">
          <cell r="C370" t="str">
            <v>Gejiu Kai Meng Industry and Trade LLC</v>
          </cell>
          <cell r="E370" t="str">
            <v>CID000942</v>
          </cell>
        </row>
        <row r="371">
          <cell r="C371" t="str">
            <v>Gejiu Kai Meng Industry and Trade LLC</v>
          </cell>
          <cell r="E371" t="str">
            <v>CID000942</v>
          </cell>
        </row>
        <row r="372">
          <cell r="C372" t="str">
            <v>PT Timah (Persero) Tbk Kundur</v>
          </cell>
          <cell r="E372" t="str">
            <v>CID001477</v>
          </cell>
        </row>
        <row r="373">
          <cell r="C373" t="str">
            <v>Linwu Xianggui Ore Smelting Co., Ltd.</v>
          </cell>
          <cell r="E373" t="str">
            <v>CID001063</v>
          </cell>
        </row>
        <row r="374">
          <cell r="C374" t="str">
            <v>Linwu Xianggui Ore Smelting Co., Ltd.</v>
          </cell>
          <cell r="E374" t="str">
            <v>CID001063</v>
          </cell>
        </row>
        <row r="375">
          <cell r="C375" t="str">
            <v>China Tin Group Co., Ltd.</v>
          </cell>
          <cell r="E375" t="str">
            <v>CID001070</v>
          </cell>
        </row>
        <row r="376">
          <cell r="C376" t="str">
            <v>Magnu's Minerais Metais e Ligas Ltda.</v>
          </cell>
          <cell r="E376" t="str">
            <v>CID002468</v>
          </cell>
        </row>
        <row r="377">
          <cell r="C377" t="str">
            <v>Malaysia Smelting Corporation (MSC)</v>
          </cell>
          <cell r="E377" t="str">
            <v>CID001105</v>
          </cell>
        </row>
        <row r="378">
          <cell r="C378" t="str">
            <v>Melt Metais e Ligas S.A.</v>
          </cell>
          <cell r="E378" t="str">
            <v>CID002500</v>
          </cell>
        </row>
        <row r="379">
          <cell r="C379" t="str">
            <v>PT Timah (Persero) Tbk Mentok</v>
          </cell>
          <cell r="E379" t="str">
            <v>CID001482</v>
          </cell>
        </row>
        <row r="380">
          <cell r="C380" t="str">
            <v>China Tin Group Co., Ltd.</v>
          </cell>
          <cell r="E380" t="str">
            <v>CID001070</v>
          </cell>
        </row>
        <row r="381">
          <cell r="C381" t="str">
            <v>Metallic Resources, Inc.</v>
          </cell>
          <cell r="E381" t="str">
            <v>CID001142</v>
          </cell>
        </row>
        <row r="382">
          <cell r="C382" t="str">
            <v>Metallo-Chimique N.V.</v>
          </cell>
          <cell r="E382" t="str">
            <v>CID002773</v>
          </cell>
        </row>
        <row r="383">
          <cell r="C383" t="str">
            <v>Mineração Taboca S.A.</v>
          </cell>
          <cell r="E383" t="str">
            <v>CID001173</v>
          </cell>
        </row>
        <row r="384">
          <cell r="C384" t="str">
            <v>Minsur</v>
          </cell>
          <cell r="E384" t="str">
            <v>CID001182</v>
          </cell>
        </row>
        <row r="385">
          <cell r="C385" t="str">
            <v>Mitsubishi Materials Corporation</v>
          </cell>
          <cell r="E385" t="str">
            <v>CID001191</v>
          </cell>
        </row>
        <row r="386">
          <cell r="C386" t="str">
            <v>Modeltech Sdn Bhd</v>
          </cell>
          <cell r="E386" t="str">
            <v>CID002858</v>
          </cell>
        </row>
        <row r="387">
          <cell r="C387" t="str">
            <v>Malaysia Smelting Corporation (MSC)</v>
          </cell>
          <cell r="E387" t="str">
            <v>CID001105</v>
          </cell>
        </row>
        <row r="388">
          <cell r="C388" t="str">
            <v>Nankang Nanshan Tin Manufactory Co., Ltd.</v>
          </cell>
          <cell r="E388" t="str">
            <v>CID001231</v>
          </cell>
        </row>
        <row r="389">
          <cell r="C389" t="str">
            <v>Nankang Nanshan Tin Manufactory Co., Ltd.</v>
          </cell>
          <cell r="E389" t="str">
            <v>CID001231</v>
          </cell>
        </row>
        <row r="390">
          <cell r="C390" t="str">
            <v>Nghe Tinh Non-Ferrous Metals Joint Stock Company</v>
          </cell>
          <cell r="E390" t="str">
            <v>CID002573</v>
          </cell>
        </row>
        <row r="391">
          <cell r="C391" t="str">
            <v>O.M. Manufacturing (Thailand) Co., Ltd.</v>
          </cell>
          <cell r="E391" t="str">
            <v>CID001314</v>
          </cell>
        </row>
        <row r="392">
          <cell r="C392" t="str">
            <v>O.M. Manufacturing Philippines, Inc.</v>
          </cell>
          <cell r="E392" t="str">
            <v>CID002517</v>
          </cell>
        </row>
        <row r="393">
          <cell r="C393" t="str">
            <v>Operaciones Metalurgical S.A.</v>
          </cell>
          <cell r="E393" t="str">
            <v>CID001337</v>
          </cell>
        </row>
        <row r="394">
          <cell r="C394" t="str">
            <v>Operaciones Metalurgical S.A.</v>
          </cell>
          <cell r="E394" t="str">
            <v>CID001337</v>
          </cell>
        </row>
        <row r="395">
          <cell r="C395" t="str">
            <v>CNMC (Guangxi) PGMA Co., Ltd.</v>
          </cell>
          <cell r="E395" t="str">
            <v>CID000278</v>
          </cell>
        </row>
        <row r="396">
          <cell r="C396" t="str">
            <v>Phoenix Metal Ltd.</v>
          </cell>
          <cell r="E396" t="str">
            <v>CID002507</v>
          </cell>
        </row>
        <row r="397">
          <cell r="C397" t="str">
            <v>PT Alam Lestari Kencana</v>
          </cell>
          <cell r="E397" t="str">
            <v>CID001393</v>
          </cell>
        </row>
        <row r="398">
          <cell r="C398" t="str">
            <v>PT Aries Kencana Sejahtera</v>
          </cell>
          <cell r="E398" t="str">
            <v>CID000309</v>
          </cell>
        </row>
        <row r="399">
          <cell r="C399" t="str">
            <v>PT Artha Cipta Langgeng</v>
          </cell>
          <cell r="E399" t="str">
            <v>CID001399</v>
          </cell>
        </row>
        <row r="400">
          <cell r="C400" t="str">
            <v>PT ATD Makmur Mandiri Jaya</v>
          </cell>
          <cell r="E400" t="str">
            <v>CID002503</v>
          </cell>
        </row>
        <row r="401">
          <cell r="C401" t="str">
            <v>PT Babel Inti Perkasa</v>
          </cell>
          <cell r="E401" t="str">
            <v>CID001402</v>
          </cell>
        </row>
        <row r="402">
          <cell r="C402" t="str">
            <v>PT Bangka Kudai Tin</v>
          </cell>
          <cell r="E402" t="str">
            <v>CID001409</v>
          </cell>
        </row>
        <row r="403">
          <cell r="C403" t="str">
            <v>PT Bangka Prima Tin</v>
          </cell>
          <cell r="E403" t="str">
            <v>CID002776</v>
          </cell>
        </row>
        <row r="404">
          <cell r="C404" t="str">
            <v>PT Bangka Timah Utama Sejahtera</v>
          </cell>
          <cell r="E404" t="str">
            <v>CID001416</v>
          </cell>
        </row>
        <row r="405">
          <cell r="C405" t="str">
            <v>PT Bangka Tin Industry</v>
          </cell>
          <cell r="E405" t="str">
            <v>CID001419</v>
          </cell>
        </row>
        <row r="406">
          <cell r="C406" t="str">
            <v>PT Belitung Industri Sejahtera</v>
          </cell>
          <cell r="E406" t="str">
            <v>CID001421</v>
          </cell>
        </row>
        <row r="407">
          <cell r="C407" t="str">
            <v>PT BilliTin Makmur Lestari</v>
          </cell>
          <cell r="E407" t="str">
            <v>CID001424</v>
          </cell>
        </row>
        <row r="408">
          <cell r="C408" t="str">
            <v>PT Bukit Timah</v>
          </cell>
          <cell r="E408" t="str">
            <v>CID001428</v>
          </cell>
        </row>
        <row r="409">
          <cell r="C409" t="str">
            <v>PT Cipta Persada Mulia</v>
          </cell>
          <cell r="E409" t="str">
            <v>CID002696</v>
          </cell>
        </row>
        <row r="410">
          <cell r="C410" t="str">
            <v>PT DS Jaya Abadi</v>
          </cell>
          <cell r="E410" t="str">
            <v>CID001434</v>
          </cell>
        </row>
        <row r="411">
          <cell r="C411" t="str">
            <v>PT Eunindo Usaha Mandiri</v>
          </cell>
          <cell r="E411" t="str">
            <v>CID001438</v>
          </cell>
        </row>
        <row r="412">
          <cell r="C412" t="str">
            <v>PT Fang Di MulTindo</v>
          </cell>
          <cell r="E412" t="str">
            <v>CID001442</v>
          </cell>
        </row>
        <row r="413">
          <cell r="C413" t="str">
            <v>PT Bukit Timah</v>
          </cell>
          <cell r="E413" t="str">
            <v>CID001428</v>
          </cell>
        </row>
        <row r="414">
          <cell r="C414" t="str">
            <v>PT Bukit Timah</v>
          </cell>
          <cell r="E414" t="str">
            <v>CID001428</v>
          </cell>
        </row>
        <row r="415">
          <cell r="C415" t="str">
            <v>PT Inti Stania Prima</v>
          </cell>
          <cell r="E415" t="str">
            <v>CID002530</v>
          </cell>
        </row>
        <row r="416">
          <cell r="C416" t="str">
            <v>PT Justindo</v>
          </cell>
          <cell r="E416" t="str">
            <v>CID000307</v>
          </cell>
        </row>
        <row r="417">
          <cell r="C417" t="str">
            <v>PT Karimun Mining</v>
          </cell>
          <cell r="E417" t="str">
            <v>CID001448</v>
          </cell>
        </row>
        <row r="418">
          <cell r="C418" t="str">
            <v>PT Kijang Jaya Mandiri</v>
          </cell>
          <cell r="E418" t="str">
            <v>CID002829</v>
          </cell>
        </row>
        <row r="419">
          <cell r="C419" t="str">
            <v>PT Mitra Stania Prima</v>
          </cell>
          <cell r="E419" t="str">
            <v>CID001453</v>
          </cell>
        </row>
        <row r="420">
          <cell r="C420" t="str">
            <v>PT O.M. Indonesia</v>
          </cell>
          <cell r="E420" t="str">
            <v>CID002757</v>
          </cell>
        </row>
        <row r="421">
          <cell r="C421" t="str">
            <v>PT Panca Mega Persada</v>
          </cell>
          <cell r="E421" t="str">
            <v>CID001457</v>
          </cell>
        </row>
        <row r="422">
          <cell r="C422" t="str">
            <v>PT Pelat Timah Nusantara Tbk</v>
          </cell>
          <cell r="E422" t="str">
            <v>CID001486</v>
          </cell>
        </row>
        <row r="423">
          <cell r="C423" t="str">
            <v>PT Prima Timah Utama</v>
          </cell>
          <cell r="E423" t="str">
            <v>CID001458</v>
          </cell>
        </row>
        <row r="424">
          <cell r="C424" t="str">
            <v>PT Refined Bangka Tin</v>
          </cell>
          <cell r="E424" t="str">
            <v>CID001460</v>
          </cell>
        </row>
        <row r="425">
          <cell r="C425" t="str">
            <v>PT Sariwiguna Binasentosa</v>
          </cell>
          <cell r="E425" t="str">
            <v>CID001463</v>
          </cell>
        </row>
        <row r="426">
          <cell r="C426" t="str">
            <v>PT Seirama Tin Investment</v>
          </cell>
          <cell r="E426" t="str">
            <v>CID001466</v>
          </cell>
        </row>
        <row r="427">
          <cell r="C427" t="str">
            <v>PT Stanindo Inti Perkasa</v>
          </cell>
          <cell r="E427" t="str">
            <v>CID001468</v>
          </cell>
        </row>
        <row r="428">
          <cell r="C428" t="str">
            <v>PT Sukses Inti Makmur</v>
          </cell>
          <cell r="E428" t="str">
            <v>CID002816</v>
          </cell>
        </row>
        <row r="429">
          <cell r="C429" t="str">
            <v>PT Sumber Jaya Indah</v>
          </cell>
          <cell r="E429" t="str">
            <v>CID001471</v>
          </cell>
        </row>
        <row r="430">
          <cell r="C430" t="str">
            <v>PT Timah (Persero) Tbk Kundur</v>
          </cell>
          <cell r="E430" t="str">
            <v>CID001477</v>
          </cell>
        </row>
        <row r="431">
          <cell r="C431" t="str">
            <v>PT Timah (Persero) Tbk Kundur</v>
          </cell>
          <cell r="E431" t="str">
            <v>CID001477</v>
          </cell>
        </row>
        <row r="432">
          <cell r="C432" t="str">
            <v>PT Timah (Persero) Tbk Mentok</v>
          </cell>
          <cell r="E432" t="str">
            <v>CID001482</v>
          </cell>
        </row>
        <row r="433">
          <cell r="C433" t="str">
            <v>PT Pelat Timah Nusantara Tbk</v>
          </cell>
          <cell r="E433" t="str">
            <v>CID001486</v>
          </cell>
        </row>
        <row r="434">
          <cell r="C434" t="str">
            <v>PT Tinindo Inter Nusa</v>
          </cell>
          <cell r="E434" t="str">
            <v>CID001490</v>
          </cell>
        </row>
        <row r="435">
          <cell r="C435" t="str">
            <v>PT Tirus Putra Mandiri</v>
          </cell>
          <cell r="E435" t="str">
            <v>CID002478</v>
          </cell>
        </row>
        <row r="436">
          <cell r="C436" t="str">
            <v>PT Tommy Utama</v>
          </cell>
          <cell r="E436" t="str">
            <v>CID001493</v>
          </cell>
        </row>
        <row r="437">
          <cell r="C437" t="str">
            <v>PT Wahana Perkit Jaya</v>
          </cell>
          <cell r="E437" t="str">
            <v>CID002479</v>
          </cell>
        </row>
        <row r="438">
          <cell r="C438" t="str">
            <v>Resind Indústria e Comércio Ltda.</v>
          </cell>
          <cell r="E438" t="str">
            <v>CID002706</v>
          </cell>
        </row>
        <row r="439">
          <cell r="C439" t="str">
            <v>Rui Da Hung</v>
          </cell>
          <cell r="E439" t="str">
            <v>CID001539</v>
          </cell>
        </row>
        <row r="440">
          <cell r="C440" t="str">
            <v>Huichang Jinshunda Tin Co., Ltd.</v>
          </cell>
          <cell r="E440" t="str">
            <v>CID000760</v>
          </cell>
        </row>
        <row r="441">
          <cell r="C441" t="str">
            <v>Yunnan Tin Company Limited</v>
          </cell>
          <cell r="E441" t="str">
            <v>CID002180</v>
          </cell>
        </row>
        <row r="442">
          <cell r="C442" t="str">
            <v>Soft Metais Ltda.</v>
          </cell>
          <cell r="E442" t="str">
            <v>CID001758</v>
          </cell>
        </row>
        <row r="443">
          <cell r="C443" t="str">
            <v>Thaisarco</v>
          </cell>
          <cell r="E443" t="str">
            <v>CID001898</v>
          </cell>
        </row>
        <row r="444">
          <cell r="C444" t="str">
            <v>Thaisarco</v>
          </cell>
          <cell r="E444" t="str">
            <v>CID001898</v>
          </cell>
        </row>
        <row r="445">
          <cell r="C445" t="str">
            <v>Thaisarco</v>
          </cell>
          <cell r="E445" t="str">
            <v>CID001898</v>
          </cell>
        </row>
        <row r="446">
          <cell r="C446" t="str">
            <v>Gejiu Yunxin Nonferrous Electrolysis Co., Ltd.</v>
          </cell>
          <cell r="E446" t="str">
            <v>CID001908</v>
          </cell>
        </row>
        <row r="447">
          <cell r="C447" t="str">
            <v>Yunnan Tin Company Limited</v>
          </cell>
          <cell r="E447" t="str">
            <v>CID002180</v>
          </cell>
        </row>
        <row r="448">
          <cell r="C448" t="str">
            <v>Mineração Taboca S.A.</v>
          </cell>
          <cell r="E448" t="str">
            <v>CID001173</v>
          </cell>
        </row>
        <row r="449">
          <cell r="C449" t="str">
            <v>Tuyen Quang Non-Ferrous Metals Joint Stock Company</v>
          </cell>
          <cell r="E449" t="str">
            <v>CID002574</v>
          </cell>
        </row>
        <row r="450">
          <cell r="C450" t="str">
            <v>PT Timah (Persero) Tbk Kundur</v>
          </cell>
          <cell r="E450" t="str">
            <v>CID001477</v>
          </cell>
        </row>
        <row r="451">
          <cell r="C451" t="str">
            <v>VQB Mineral and Trading Group JSC</v>
          </cell>
          <cell r="E451" t="str">
            <v>CID002015</v>
          </cell>
        </row>
        <row r="452">
          <cell r="C452" t="str">
            <v>White Solder Metalurgia e Mineração Ltda.</v>
          </cell>
          <cell r="E452" t="str">
            <v>CID002036</v>
          </cell>
        </row>
        <row r="453">
          <cell r="C453" t="str">
            <v>White Solder Metalurgia e Mineração Ltda.</v>
          </cell>
          <cell r="E453" t="str">
            <v>CID002036</v>
          </cell>
        </row>
        <row r="454">
          <cell r="C454" t="str">
            <v>China Tin Group Co., Ltd.</v>
          </cell>
          <cell r="E454" t="str">
            <v>CID001070</v>
          </cell>
        </row>
        <row r="455">
          <cell r="C455" t="str">
            <v>Yunnan Tin Company Limited</v>
          </cell>
          <cell r="E455" t="str">
            <v>CID002180</v>
          </cell>
        </row>
        <row r="456">
          <cell r="C456" t="str">
            <v>Gejiu Yunxin Nonferrous Electrolysis Co., Ltd.</v>
          </cell>
          <cell r="E456" t="str">
            <v>CID001908</v>
          </cell>
        </row>
        <row r="457">
          <cell r="C457" t="str">
            <v>Yunnan Chengfeng Non-ferrous Metals Co., Ltd.</v>
          </cell>
          <cell r="E457" t="str">
            <v>CID002158</v>
          </cell>
        </row>
        <row r="458">
          <cell r="C458" t="str">
            <v>Yunnan Chengfeng Non-ferrous Metals Co., Ltd.</v>
          </cell>
          <cell r="E458" t="str">
            <v>CID002158</v>
          </cell>
        </row>
        <row r="459">
          <cell r="C459" t="str">
            <v>Yunnan Chengfeng Non-ferrous Metals Co., Ltd.</v>
          </cell>
          <cell r="E459" t="str">
            <v>CID002158</v>
          </cell>
        </row>
        <row r="460">
          <cell r="C460" t="str">
            <v>Gejiu Zili Mining And Metallurgy Co., Ltd.</v>
          </cell>
          <cell r="E460" t="str">
            <v>CID000555</v>
          </cell>
        </row>
        <row r="461">
          <cell r="C461" t="str">
            <v>Gejiu Yunxin Nonferrous Electrolysis Co., Ltd.</v>
          </cell>
          <cell r="E461" t="str">
            <v>CID001908</v>
          </cell>
        </row>
        <row r="462">
          <cell r="C462" t="str">
            <v>Yunnan Tin Company Limited</v>
          </cell>
          <cell r="E462" t="str">
            <v>CID002180</v>
          </cell>
        </row>
        <row r="463">
          <cell r="C463" t="str">
            <v>Yunnan Tin Company Limited</v>
          </cell>
          <cell r="E463" t="str">
            <v>CID002180</v>
          </cell>
        </row>
        <row r="464">
          <cell r="C464" t="str">
            <v>Yunnan Chengfeng Non-ferrous Metals Co., Ltd.</v>
          </cell>
          <cell r="E464" t="str">
            <v>CID002158</v>
          </cell>
        </row>
        <row r="465">
          <cell r="C465" t="str">
            <v>Yunnan Tin Company Limited</v>
          </cell>
          <cell r="E465" t="str">
            <v>CID002180</v>
          </cell>
        </row>
        <row r="466">
          <cell r="C466" t="str">
            <v>Gejiu Yunxin Nonferrous Electrolysis Co., Ltd.</v>
          </cell>
          <cell r="E466" t="str">
            <v>CID001908</v>
          </cell>
        </row>
        <row r="468">
          <cell r="C468" t="str">
            <v>Unknown</v>
          </cell>
        </row>
        <row r="469">
          <cell r="C469" t="str">
            <v>A.L.M.T. TUNGSTEN Corp.</v>
          </cell>
          <cell r="E469" t="str">
            <v>CID000004</v>
          </cell>
        </row>
        <row r="470">
          <cell r="C470" t="str">
            <v>ACL Metais Eireli</v>
          </cell>
          <cell r="E470" t="str">
            <v>CID002833</v>
          </cell>
        </row>
        <row r="471">
          <cell r="C471" t="str">
            <v>A.L.M.T. TUNGSTEN Corp.</v>
          </cell>
          <cell r="E471" t="str">
            <v>CID000004</v>
          </cell>
        </row>
        <row r="472">
          <cell r="C472" t="str">
            <v>A.L.M.T. TUNGSTEN Corp.</v>
          </cell>
          <cell r="E472" t="str">
            <v>CID000004</v>
          </cell>
        </row>
        <row r="473">
          <cell r="C473" t="str">
            <v>A.L.M.T. TUNGSTEN Corp.</v>
          </cell>
          <cell r="E473" t="str">
            <v>CID000004</v>
          </cell>
        </row>
        <row r="474">
          <cell r="C474" t="str">
            <v>Asia Tungsten Products Vietnam Ltd.</v>
          </cell>
          <cell r="E474" t="str">
            <v>CID002502</v>
          </cell>
        </row>
        <row r="475">
          <cell r="C475" t="str">
            <v>Kennametal Huntsville</v>
          </cell>
          <cell r="E475" t="str">
            <v>CID000105</v>
          </cell>
        </row>
        <row r="476">
          <cell r="C476" t="str">
            <v>Kennametal Huntsville</v>
          </cell>
          <cell r="E476" t="str">
            <v>CID000105</v>
          </cell>
        </row>
        <row r="477">
          <cell r="C477" t="str">
            <v>Guangdong Xianglu Tungsten Co., Ltd.</v>
          </cell>
          <cell r="E477" t="str">
            <v>CID000218</v>
          </cell>
        </row>
        <row r="478">
          <cell r="C478" t="str">
            <v>Chenzhou Diamond Tungsten Products Co., Ltd.</v>
          </cell>
          <cell r="E478" t="str">
            <v>CID002513</v>
          </cell>
        </row>
        <row r="479">
          <cell r="C479" t="str">
            <v>Ganzhou Huaxing Tungsten Products Co., Ltd.</v>
          </cell>
          <cell r="E479" t="str">
            <v>CID000875</v>
          </cell>
        </row>
        <row r="480">
          <cell r="C480" t="str">
            <v>Chongyi Zhangyuan Tungsten Co., Ltd.</v>
          </cell>
          <cell r="E480" t="str">
            <v>CID000258</v>
          </cell>
        </row>
        <row r="481">
          <cell r="C481" t="str">
            <v>Dayu Jincheng Tungsten Industry Co., Ltd.</v>
          </cell>
          <cell r="E481" t="str">
            <v>CID002518</v>
          </cell>
        </row>
        <row r="482">
          <cell r="C482" t="str">
            <v>Dayu Weiliang Tungsten Co., Ltd.</v>
          </cell>
          <cell r="E482" t="str">
            <v>CID000345</v>
          </cell>
        </row>
        <row r="483">
          <cell r="C483" t="str">
            <v>Fujian Jinxin Tungsten Co., Ltd.</v>
          </cell>
          <cell r="E483" t="str">
            <v>CID000499</v>
          </cell>
        </row>
        <row r="484">
          <cell r="C484" t="str">
            <v>Ganxian Shirui New Material Co., Ltd.</v>
          </cell>
          <cell r="E484" t="str">
            <v>CID002531</v>
          </cell>
        </row>
        <row r="485">
          <cell r="C485" t="str">
            <v>Ganzhou Huaxing Tungsten Products Co., Ltd.</v>
          </cell>
          <cell r="E485" t="str">
            <v>CID000875</v>
          </cell>
        </row>
        <row r="486">
          <cell r="C486" t="str">
            <v>Ganzhou Jiangwu Ferrotungsten Co., Ltd.</v>
          </cell>
          <cell r="E486" t="str">
            <v>CID002315</v>
          </cell>
        </row>
        <row r="487">
          <cell r="C487" t="str">
            <v>Ganzhou Non-ferrous Metals Smelting Co., Ltd.</v>
          </cell>
          <cell r="E487" t="str">
            <v>CID000868</v>
          </cell>
        </row>
        <row r="488">
          <cell r="C488" t="str">
            <v>Ganzhou Seadragon W &amp; Mo Co., Ltd.</v>
          </cell>
          <cell r="E488" t="str">
            <v>CID002494</v>
          </cell>
        </row>
        <row r="489">
          <cell r="C489" t="str">
            <v>Ganzhou Yatai Tungsten Co., Ltd.</v>
          </cell>
          <cell r="E489" t="str">
            <v>CID002536</v>
          </cell>
        </row>
        <row r="490">
          <cell r="C490" t="str">
            <v>Global Tungsten &amp; Powders Corp.</v>
          </cell>
          <cell r="E490" t="str">
            <v>CID000568</v>
          </cell>
        </row>
        <row r="491">
          <cell r="C491" t="str">
            <v>Global Tungsten &amp; Powders Corp.</v>
          </cell>
          <cell r="E491" t="str">
            <v>CID000568</v>
          </cell>
        </row>
        <row r="492">
          <cell r="C492" t="str">
            <v>Guangdong Xianglu Tungsten Co., Ltd.</v>
          </cell>
          <cell r="E492" t="str">
            <v>CID000218</v>
          </cell>
        </row>
        <row r="493">
          <cell r="C493" t="str">
            <v>H.C. Starck GmbH</v>
          </cell>
          <cell r="E493" t="str">
            <v>CID002541</v>
          </cell>
        </row>
        <row r="494">
          <cell r="C494" t="str">
            <v>H.C. Starck Smelting GmbH &amp; Co.KG</v>
          </cell>
          <cell r="E494" t="str">
            <v>CID002542</v>
          </cell>
        </row>
        <row r="495">
          <cell r="C495" t="str">
            <v>Hunan Chunchang Nonferrous Metals Co., Ltd.</v>
          </cell>
          <cell r="E495" t="str">
            <v>CID000769</v>
          </cell>
        </row>
        <row r="496">
          <cell r="C496" t="str">
            <v>Hunan Chenzhou Mining Co., Ltd.</v>
          </cell>
          <cell r="E496" t="str">
            <v>CID000766</v>
          </cell>
        </row>
        <row r="497">
          <cell r="C497" t="str">
            <v>Hunan Chenzhou Mining Co., Ltd.</v>
          </cell>
          <cell r="E497" t="str">
            <v>CID000766</v>
          </cell>
        </row>
        <row r="498">
          <cell r="C498" t="str">
            <v>Hunan Chuangda Vanadium Tungsten Co., Ltd. Wuji</v>
          </cell>
          <cell r="E498" t="str">
            <v>CID002579</v>
          </cell>
        </row>
        <row r="499">
          <cell r="C499" t="str">
            <v>Hunan Chuangda Vanadium Tungsten Co., Ltd. Yanglin</v>
          </cell>
          <cell r="E499" t="str">
            <v>CID002578</v>
          </cell>
        </row>
        <row r="500">
          <cell r="C500" t="str">
            <v>Hunan Chunchang Nonferrous Metals Co., Ltd.</v>
          </cell>
          <cell r="E500" t="str">
            <v>CID000769</v>
          </cell>
        </row>
        <row r="501">
          <cell r="C501" t="str">
            <v>Hydrometallurg, JSC</v>
          </cell>
          <cell r="E501" t="str">
            <v>CID002649</v>
          </cell>
        </row>
        <row r="502">
          <cell r="C502" t="str">
            <v>Japan New Metals Co., Ltd.</v>
          </cell>
          <cell r="E502" t="str">
            <v>CID000825</v>
          </cell>
        </row>
        <row r="503">
          <cell r="C503" t="str">
            <v>Jiangwu H.C. Starck Tungsten Products Co., Ltd.</v>
          </cell>
          <cell r="E503" t="str">
            <v>CID002551</v>
          </cell>
        </row>
        <row r="504">
          <cell r="C504" t="str">
            <v>Jiangxi Dayu Longxintai Tungsten Co., Ltd.</v>
          </cell>
          <cell r="E504" t="str">
            <v>CID002647</v>
          </cell>
        </row>
        <row r="505">
          <cell r="C505" t="str">
            <v>Jiangxi Gan Bei Tungsten Co., Ltd.</v>
          </cell>
          <cell r="E505" t="str">
            <v>CID002321</v>
          </cell>
        </row>
        <row r="506">
          <cell r="C506" t="str">
            <v>Jiangxi Minmetals Gao'an Non-ferrous Metals Co., Ltd.</v>
          </cell>
          <cell r="E506" t="str">
            <v>CID002313</v>
          </cell>
        </row>
        <row r="507">
          <cell r="C507" t="str">
            <v>Jiangxi Tonggu Non-ferrous Metallurgical &amp; Chemical Co., Ltd.</v>
          </cell>
          <cell r="E507" t="str">
            <v>CID002318</v>
          </cell>
        </row>
        <row r="508">
          <cell r="C508" t="str">
            <v>Ganzhou Huaxing Tungsten Products Co., Ltd.</v>
          </cell>
          <cell r="E508" t="str">
            <v>CID000875</v>
          </cell>
        </row>
        <row r="509">
          <cell r="C509" t="str">
            <v>Ganzhou Huaxing Tungsten Products Co., Ltd.</v>
          </cell>
          <cell r="E509" t="str">
            <v>CID000875</v>
          </cell>
        </row>
        <row r="510">
          <cell r="C510" t="str">
            <v>Jiangxi Xinsheng Tungsten Industry Co., Ltd.</v>
          </cell>
          <cell r="E510" t="str">
            <v>CID002317</v>
          </cell>
        </row>
        <row r="511">
          <cell r="C511" t="str">
            <v>Jiangxi Xiushui Xianggan Nonferrous Metals Co., Ltd.</v>
          </cell>
          <cell r="E511" t="str">
            <v>CID002535</v>
          </cell>
        </row>
        <row r="512">
          <cell r="C512" t="str">
            <v>Jiangxi Yaosheng Tungsten Co., Ltd.</v>
          </cell>
          <cell r="E512" t="str">
            <v>CID002316</v>
          </cell>
        </row>
        <row r="513">
          <cell r="C513" t="str">
            <v>Kennametal Fallon</v>
          </cell>
          <cell r="E513" t="str">
            <v>CID000966</v>
          </cell>
        </row>
        <row r="514">
          <cell r="C514" t="str">
            <v>Kennametal Huntsville</v>
          </cell>
          <cell r="E514" t="str">
            <v>CID000105</v>
          </cell>
        </row>
        <row r="515">
          <cell r="C515" t="str">
            <v>Malipo Haiyu Tungsten Co., Ltd.</v>
          </cell>
          <cell r="E515" t="str">
            <v>CID002319</v>
          </cell>
        </row>
        <row r="516">
          <cell r="C516" t="str">
            <v>Moliren Ltd</v>
          </cell>
          <cell r="E516" t="str">
            <v>CID002845</v>
          </cell>
        </row>
        <row r="517">
          <cell r="C517" t="str">
            <v>Niagara Refining LLC</v>
          </cell>
          <cell r="E517" t="str">
            <v>CID002589</v>
          </cell>
        </row>
        <row r="518">
          <cell r="C518" t="str">
            <v>Nui Phao H.C. Starck Tungsten Chemicals Manufacturing LLC</v>
          </cell>
          <cell r="E518" t="str">
            <v>CID002543</v>
          </cell>
        </row>
        <row r="519">
          <cell r="C519" t="str">
            <v>Philippine Chuangxin Industrial Co., Inc.</v>
          </cell>
          <cell r="E519" t="str">
            <v>CID002827</v>
          </cell>
        </row>
        <row r="520">
          <cell r="C520" t="str">
            <v>Pobedit, JSC</v>
          </cell>
          <cell r="E520" t="str">
            <v>CID002532</v>
          </cell>
        </row>
        <row r="521">
          <cell r="C521" t="str">
            <v>Sanher Tungsten Vietnam Co., Ltd.</v>
          </cell>
          <cell r="E521" t="str">
            <v>CID002538</v>
          </cell>
        </row>
        <row r="522">
          <cell r="C522" t="str">
            <v>Xinhai Rendan Shaoguan Tungsten Co., Ltd.</v>
          </cell>
          <cell r="E522" t="str">
            <v>CID002095</v>
          </cell>
        </row>
        <row r="523">
          <cell r="C523" t="str">
            <v>South-East Nonferrous Metal Company Limited of Hengyang City</v>
          </cell>
          <cell r="E523" t="str">
            <v>CID002815</v>
          </cell>
        </row>
        <row r="524">
          <cell r="C524" t="str">
            <v>Tejing (Vietnam) Tungsten Co., Ltd.</v>
          </cell>
          <cell r="E524" t="str">
            <v>CID001889</v>
          </cell>
        </row>
        <row r="525">
          <cell r="C525" t="str">
            <v>Vietnam Youngsun Tungsten Industry Co., Ltd.</v>
          </cell>
          <cell r="E525" t="str">
            <v>CID002011</v>
          </cell>
        </row>
        <row r="526">
          <cell r="C526" t="str">
            <v>Wolfram Bergbau und Hütten AG</v>
          </cell>
          <cell r="E526" t="str">
            <v>CID002044</v>
          </cell>
        </row>
        <row r="527">
          <cell r="C527" t="str">
            <v>Wolfram Bergbau und Hütten AG</v>
          </cell>
          <cell r="E527" t="str">
            <v>CID002044</v>
          </cell>
        </row>
        <row r="528">
          <cell r="C528" t="str">
            <v>Wolfram Bergbau und Hütten AG</v>
          </cell>
          <cell r="E528" t="str">
            <v>CID002044</v>
          </cell>
        </row>
        <row r="529">
          <cell r="C529" t="str">
            <v>Woltech Korea Co., Ltd.</v>
          </cell>
          <cell r="E529" t="str">
            <v>CID002843</v>
          </cell>
        </row>
        <row r="530">
          <cell r="C530" t="str">
            <v>Xiamen Tungsten (H.C.) Co., Ltd.</v>
          </cell>
          <cell r="E530" t="str">
            <v>CID002320</v>
          </cell>
        </row>
        <row r="531">
          <cell r="C531" t="str">
            <v>Xiamen Tungsten (H.C.) Co., Ltd.</v>
          </cell>
          <cell r="E531" t="str">
            <v>CID002320</v>
          </cell>
        </row>
        <row r="532">
          <cell r="C532" t="str">
            <v>Xiamen Tungsten Co., Ltd.</v>
          </cell>
          <cell r="E532" t="str">
            <v>CID002082</v>
          </cell>
        </row>
        <row r="533">
          <cell r="C533" t="str">
            <v>Xinfeng Huarui Tungsten &amp; Molybdenum New Material Co., Ltd.</v>
          </cell>
          <cell r="E533" t="str">
            <v>CID002830</v>
          </cell>
        </row>
        <row r="534">
          <cell r="C534" t="str">
            <v>Xinhai Rendan Shaoguan Tungsten Co., Ltd.</v>
          </cell>
          <cell r="E534" t="str">
            <v>CID002095</v>
          </cell>
        </row>
        <row r="535">
          <cell r="C535" t="str">
            <v>Chongyi Zhangyuan Tungsten Co., Ltd.</v>
          </cell>
          <cell r="E535" t="str">
            <v>CID000258</v>
          </cell>
        </row>
        <row r="537">
          <cell r="C537" t="str">
            <v>Unknown</v>
          </cell>
        </row>
      </sheetData>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5"/>
  <sheetViews>
    <sheetView showGridLines="0" topLeftCell="A2" zoomScaleNormal="100" workbookViewId="0">
      <pane xSplit="1" ySplit="11" topLeftCell="B43" activePane="bottomRight" state="frozen"/>
      <selection activeCell="A2" sqref="A2"/>
      <selection pane="topRight" activeCell="B2" sqref="B2"/>
      <selection pane="bottomLeft" activeCell="A13" sqref="A13"/>
      <selection pane="bottomRight" activeCell="B43" sqref="B43"/>
    </sheetView>
  </sheetViews>
  <sheetFormatPr baseColWidth="10" defaultColWidth="9" defaultRowHeight="12.75"/>
  <cols>
    <col min="1" max="1" width="0.875" style="127" customWidth="1"/>
    <col min="2" max="2" width="6.875" style="127" customWidth="1"/>
    <col min="3" max="3" width="8.5" style="127" customWidth="1"/>
    <col min="4" max="4" width="9.25" style="127" customWidth="1"/>
    <col min="5" max="5" width="42.375" style="127" customWidth="1"/>
    <col min="6" max="6" width="53.375" style="127" customWidth="1"/>
    <col min="7" max="7" width="0.875" style="127" customWidth="1"/>
    <col min="8" max="16384" width="9" style="127"/>
  </cols>
  <sheetData>
    <row r="1" spans="1:7" ht="13.5" thickTop="1">
      <c r="A1" s="9"/>
      <c r="B1" s="10"/>
      <c r="C1" s="10"/>
      <c r="D1" s="10"/>
      <c r="E1" s="10"/>
      <c r="F1" s="10"/>
      <c r="G1" s="11"/>
    </row>
    <row r="2" spans="1:7">
      <c r="A2" s="298"/>
      <c r="B2" s="38" t="s">
        <v>1512</v>
      </c>
      <c r="C2" s="36"/>
      <c r="D2" s="36"/>
      <c r="E2" s="3"/>
      <c r="F2" s="36"/>
      <c r="G2" s="34"/>
    </row>
    <row r="3" spans="1:7">
      <c r="A3" s="298"/>
      <c r="B3" s="5" t="s">
        <v>1501</v>
      </c>
      <c r="C3" s="6"/>
      <c r="D3" s="6"/>
      <c r="E3" s="3"/>
      <c r="F3" s="6"/>
      <c r="G3" s="34"/>
    </row>
    <row r="4" spans="1:7" ht="15.75">
      <c r="A4" s="298"/>
      <c r="B4" s="41" t="s">
        <v>1514</v>
      </c>
      <c r="C4" s="7"/>
      <c r="D4" s="7"/>
      <c r="E4" s="3"/>
      <c r="F4" s="7"/>
      <c r="G4" s="34"/>
    </row>
    <row r="5" spans="1:7">
      <c r="A5" s="298"/>
      <c r="B5" s="40" t="s">
        <v>1960</v>
      </c>
      <c r="C5" s="4"/>
      <c r="D5" s="4"/>
      <c r="E5" s="3"/>
      <c r="F5" s="4"/>
      <c r="G5" s="34"/>
    </row>
    <row r="6" spans="1:7">
      <c r="A6" s="298"/>
      <c r="B6" s="8"/>
      <c r="C6" s="8"/>
      <c r="D6" s="8"/>
      <c r="E6" s="8"/>
      <c r="F6" s="8"/>
      <c r="G6" s="34"/>
    </row>
    <row r="7" spans="1:7">
      <c r="A7" s="298"/>
      <c r="B7" s="8"/>
      <c r="C7" s="8"/>
      <c r="D7" s="8"/>
      <c r="E7" s="8"/>
      <c r="F7" s="8"/>
      <c r="G7" s="34"/>
    </row>
    <row r="8" spans="1:7">
      <c r="A8" s="298"/>
      <c r="B8" s="8"/>
      <c r="C8" s="8"/>
      <c r="D8" s="8"/>
      <c r="E8" s="8"/>
      <c r="F8" s="8"/>
      <c r="G8" s="34"/>
    </row>
    <row r="9" spans="1:7">
      <c r="A9" s="298"/>
      <c r="B9" s="301" t="s">
        <v>1515</v>
      </c>
      <c r="C9" s="301"/>
      <c r="D9" s="301"/>
      <c r="E9" s="301"/>
      <c r="F9" s="301"/>
      <c r="G9" s="34"/>
    </row>
    <row r="10" spans="1:7" ht="27" customHeight="1">
      <c r="A10" s="298"/>
      <c r="B10" s="302" t="s">
        <v>867</v>
      </c>
      <c r="C10" s="302"/>
      <c r="D10" s="302"/>
      <c r="E10" s="302"/>
      <c r="F10" s="302"/>
      <c r="G10" s="34"/>
    </row>
    <row r="11" spans="1:7" ht="27" customHeight="1">
      <c r="A11" s="298"/>
      <c r="B11" s="303"/>
      <c r="C11" s="303"/>
      <c r="D11" s="303"/>
      <c r="E11" s="303"/>
      <c r="F11" s="303"/>
      <c r="G11" s="34"/>
    </row>
    <row r="12" spans="1:7" ht="16.5">
      <c r="A12" s="298"/>
      <c r="B12" s="42" t="s">
        <v>1513</v>
      </c>
      <c r="C12" s="43" t="s">
        <v>1516</v>
      </c>
      <c r="D12" s="44" t="s">
        <v>1517</v>
      </c>
      <c r="E12" s="43" t="s">
        <v>1177</v>
      </c>
      <c r="F12" s="43" t="s">
        <v>1178</v>
      </c>
      <c r="G12" s="34"/>
    </row>
    <row r="13" spans="1:7" ht="33.75">
      <c r="A13" s="298"/>
      <c r="B13" s="2">
        <v>1</v>
      </c>
      <c r="C13" s="37" t="s">
        <v>2038</v>
      </c>
      <c r="D13" s="39" t="s">
        <v>1551</v>
      </c>
      <c r="E13" s="264" t="s">
        <v>1518</v>
      </c>
      <c r="F13" s="264"/>
      <c r="G13" s="34"/>
    </row>
    <row r="14" spans="1:7" ht="33.75">
      <c r="A14" s="298"/>
      <c r="B14" s="2">
        <v>2</v>
      </c>
      <c r="C14" s="37" t="s">
        <v>2038</v>
      </c>
      <c r="D14" s="39" t="s">
        <v>1939</v>
      </c>
      <c r="E14" s="264" t="s">
        <v>974</v>
      </c>
      <c r="F14" s="264" t="s">
        <v>975</v>
      </c>
      <c r="G14" s="34"/>
    </row>
    <row r="15" spans="1:7" ht="88.9" customHeight="1">
      <c r="A15" s="298"/>
      <c r="B15" s="304">
        <v>2.0099999999999998</v>
      </c>
      <c r="C15" s="307" t="s">
        <v>2038</v>
      </c>
      <c r="D15" s="310" t="s">
        <v>4331</v>
      </c>
      <c r="E15" s="265" t="s">
        <v>1179</v>
      </c>
      <c r="F15" s="265" t="s">
        <v>1182</v>
      </c>
      <c r="G15" s="34"/>
    </row>
    <row r="16" spans="1:7" ht="99" customHeight="1">
      <c r="A16" s="298"/>
      <c r="B16" s="305"/>
      <c r="C16" s="308"/>
      <c r="D16" s="311"/>
      <c r="E16" s="266"/>
      <c r="F16" s="266" t="s">
        <v>1180</v>
      </c>
      <c r="G16" s="34"/>
    </row>
    <row r="17" spans="1:7" ht="63" customHeight="1">
      <c r="A17" s="298"/>
      <c r="B17" s="306"/>
      <c r="C17" s="309"/>
      <c r="D17" s="312"/>
      <c r="E17" s="37"/>
      <c r="F17" s="37" t="s">
        <v>1181</v>
      </c>
      <c r="G17" s="34"/>
    </row>
    <row r="18" spans="1:7" ht="117" customHeight="1">
      <c r="A18" s="298"/>
      <c r="B18" s="304">
        <v>2.02</v>
      </c>
      <c r="C18" s="307" t="s">
        <v>2038</v>
      </c>
      <c r="D18" s="310" t="s">
        <v>4332</v>
      </c>
      <c r="E18" s="265" t="s">
        <v>868</v>
      </c>
      <c r="F18" s="265" t="s">
        <v>968</v>
      </c>
      <c r="G18" s="34"/>
    </row>
    <row r="19" spans="1:7" ht="70.900000000000006" customHeight="1">
      <c r="A19" s="298"/>
      <c r="B19" s="305"/>
      <c r="C19" s="308"/>
      <c r="D19" s="311"/>
      <c r="E19" s="266" t="s">
        <v>973</v>
      </c>
      <c r="F19" s="266" t="s">
        <v>869</v>
      </c>
      <c r="G19" s="34"/>
    </row>
    <row r="20" spans="1:7" ht="90.75" customHeight="1">
      <c r="A20" s="298"/>
      <c r="B20" s="305"/>
      <c r="C20" s="308"/>
      <c r="D20" s="311"/>
      <c r="E20" s="266"/>
      <c r="F20" s="266" t="s">
        <v>1184</v>
      </c>
      <c r="G20" s="34"/>
    </row>
    <row r="21" spans="1:7" ht="74.25" customHeight="1">
      <c r="A21" s="298"/>
      <c r="B21" s="306"/>
      <c r="C21" s="309"/>
      <c r="D21" s="312"/>
      <c r="E21" s="37"/>
      <c r="F21" s="37" t="s">
        <v>1183</v>
      </c>
      <c r="G21" s="34"/>
    </row>
    <row r="22" spans="1:7" ht="90" customHeight="1">
      <c r="A22" s="298"/>
      <c r="B22" s="316">
        <v>2.0299999999999998</v>
      </c>
      <c r="C22" s="316" t="s">
        <v>1472</v>
      </c>
      <c r="D22" s="319" t="s">
        <v>4333</v>
      </c>
      <c r="E22" s="307" t="s">
        <v>866</v>
      </c>
      <c r="F22" s="265" t="s">
        <v>893</v>
      </c>
      <c r="G22" s="34"/>
    </row>
    <row r="23" spans="1:7" ht="109.5" customHeight="1">
      <c r="A23" s="298"/>
      <c r="B23" s="317"/>
      <c r="C23" s="317"/>
      <c r="D23" s="320"/>
      <c r="E23" s="308"/>
      <c r="F23" s="266" t="s">
        <v>1473</v>
      </c>
      <c r="G23" s="34"/>
    </row>
    <row r="24" spans="1:7" ht="74.25" customHeight="1">
      <c r="A24" s="298"/>
      <c r="B24" s="318"/>
      <c r="C24" s="318"/>
      <c r="D24" s="321"/>
      <c r="E24" s="309"/>
      <c r="F24" s="37" t="s">
        <v>865</v>
      </c>
      <c r="G24" s="34"/>
    </row>
    <row r="25" spans="1:7" ht="72" customHeight="1">
      <c r="A25" s="298"/>
      <c r="B25" s="2" t="s">
        <v>891</v>
      </c>
      <c r="C25" s="37" t="s">
        <v>892</v>
      </c>
      <c r="D25" s="39" t="s">
        <v>4334</v>
      </c>
      <c r="E25" s="37" t="s">
        <v>4327</v>
      </c>
      <c r="F25" s="37" t="s">
        <v>894</v>
      </c>
      <c r="G25" s="34"/>
    </row>
    <row r="26" spans="1:7" ht="97.9" customHeight="1">
      <c r="A26" s="298"/>
      <c r="B26" s="313">
        <v>3</v>
      </c>
      <c r="C26" s="304" t="s">
        <v>93</v>
      </c>
      <c r="D26" s="310" t="s">
        <v>4335</v>
      </c>
      <c r="E26" s="307" t="s">
        <v>0</v>
      </c>
      <c r="F26" s="265" t="s">
        <v>87</v>
      </c>
      <c r="G26" s="34"/>
    </row>
    <row r="27" spans="1:7" ht="90" customHeight="1">
      <c r="A27" s="298"/>
      <c r="B27" s="314"/>
      <c r="C27" s="305"/>
      <c r="D27" s="311"/>
      <c r="E27" s="308"/>
      <c r="F27" s="266" t="s">
        <v>82</v>
      </c>
      <c r="G27" s="34"/>
    </row>
    <row r="28" spans="1:7" ht="19.149999999999999" customHeight="1">
      <c r="A28" s="298"/>
      <c r="B28" s="314"/>
      <c r="C28" s="305"/>
      <c r="D28" s="311"/>
      <c r="E28" s="308"/>
      <c r="F28" s="266" t="s">
        <v>83</v>
      </c>
      <c r="G28" s="34"/>
    </row>
    <row r="29" spans="1:7" ht="74.45" customHeight="1">
      <c r="A29" s="298"/>
      <c r="B29" s="314"/>
      <c r="C29" s="305"/>
      <c r="D29" s="311"/>
      <c r="E29" s="308"/>
      <c r="F29" s="266" t="s">
        <v>84</v>
      </c>
      <c r="G29" s="34"/>
    </row>
    <row r="30" spans="1:7" ht="62.45" customHeight="1">
      <c r="A30" s="298"/>
      <c r="B30" s="314"/>
      <c r="C30" s="305"/>
      <c r="D30" s="311"/>
      <c r="E30" s="308"/>
      <c r="F30" s="266" t="s">
        <v>85</v>
      </c>
      <c r="G30" s="34"/>
    </row>
    <row r="31" spans="1:7" ht="81" customHeight="1">
      <c r="A31" s="298"/>
      <c r="B31" s="314"/>
      <c r="C31" s="305"/>
      <c r="D31" s="311"/>
      <c r="E31" s="308"/>
      <c r="F31" s="266" t="s">
        <v>86</v>
      </c>
      <c r="G31" s="34"/>
    </row>
    <row r="32" spans="1:7" ht="48.6" customHeight="1">
      <c r="A32" s="298"/>
      <c r="B32" s="314"/>
      <c r="C32" s="305"/>
      <c r="D32" s="311"/>
      <c r="E32" s="308"/>
      <c r="F32" s="266" t="s">
        <v>89</v>
      </c>
      <c r="G32" s="34"/>
    </row>
    <row r="33" spans="1:7" ht="98.45" customHeight="1">
      <c r="A33" s="298"/>
      <c r="B33" s="314"/>
      <c r="C33" s="305"/>
      <c r="D33" s="311"/>
      <c r="E33" s="308"/>
      <c r="F33" s="266" t="s">
        <v>88</v>
      </c>
      <c r="G33" s="34"/>
    </row>
    <row r="34" spans="1:7" ht="88.9" customHeight="1">
      <c r="A34" s="298"/>
      <c r="B34" s="314"/>
      <c r="C34" s="305"/>
      <c r="D34" s="311"/>
      <c r="E34" s="308"/>
      <c r="F34" s="266" t="s">
        <v>90</v>
      </c>
      <c r="G34" s="34"/>
    </row>
    <row r="35" spans="1:7" ht="28.9" customHeight="1">
      <c r="A35" s="298"/>
      <c r="B35" s="314"/>
      <c r="C35" s="305"/>
      <c r="D35" s="311"/>
      <c r="E35" s="308"/>
      <c r="F35" s="266" t="s">
        <v>91</v>
      </c>
      <c r="G35" s="34"/>
    </row>
    <row r="36" spans="1:7" ht="126.75">
      <c r="A36" s="298"/>
      <c r="B36" s="315"/>
      <c r="C36" s="306"/>
      <c r="D36" s="312"/>
      <c r="E36" s="309"/>
      <c r="F36" s="267" t="s">
        <v>92</v>
      </c>
      <c r="G36" s="34"/>
    </row>
    <row r="37" spans="1:7" ht="123.75">
      <c r="A37" s="298"/>
      <c r="B37" s="196">
        <v>3.01</v>
      </c>
      <c r="C37" s="197" t="s">
        <v>93</v>
      </c>
      <c r="D37" s="39" t="s">
        <v>4336</v>
      </c>
      <c r="E37" s="268" t="s">
        <v>2579</v>
      </c>
      <c r="F37" s="269" t="s">
        <v>2766</v>
      </c>
      <c r="G37" s="34"/>
    </row>
    <row r="38" spans="1:7" ht="112.5">
      <c r="A38" s="298"/>
      <c r="B38" s="196">
        <v>3.02</v>
      </c>
      <c r="C38" s="197" t="s">
        <v>2630</v>
      </c>
      <c r="D38" s="39" t="s">
        <v>4337</v>
      </c>
      <c r="E38" s="268" t="s">
        <v>2651</v>
      </c>
      <c r="F38" s="269" t="s">
        <v>2767</v>
      </c>
      <c r="G38" s="34"/>
    </row>
    <row r="39" spans="1:7" ht="101.25">
      <c r="A39" s="298"/>
      <c r="B39" s="218">
        <v>4</v>
      </c>
      <c r="C39" s="217" t="s">
        <v>3095</v>
      </c>
      <c r="D39" s="39" t="s">
        <v>4338</v>
      </c>
      <c r="E39" s="37" t="s">
        <v>4253</v>
      </c>
      <c r="F39" s="37" t="s">
        <v>3096</v>
      </c>
      <c r="G39" s="34"/>
    </row>
    <row r="40" spans="1:7" ht="56.25">
      <c r="A40" s="298"/>
      <c r="B40" s="196">
        <v>4.01</v>
      </c>
      <c r="C40" s="217" t="s">
        <v>3095</v>
      </c>
      <c r="D40" s="39" t="s">
        <v>4340</v>
      </c>
      <c r="E40" s="37" t="s">
        <v>4282</v>
      </c>
      <c r="F40" s="37" t="s">
        <v>4288</v>
      </c>
      <c r="G40" s="34"/>
    </row>
    <row r="41" spans="1:7" ht="56.25">
      <c r="A41" s="298"/>
      <c r="B41" s="196" t="s">
        <v>4325</v>
      </c>
      <c r="C41" s="217" t="s">
        <v>3095</v>
      </c>
      <c r="D41" s="39" t="s">
        <v>4339</v>
      </c>
      <c r="E41" s="37" t="s">
        <v>4328</v>
      </c>
      <c r="F41" s="37" t="s">
        <v>4326</v>
      </c>
      <c r="G41" s="34"/>
    </row>
    <row r="42" spans="1:7" ht="56.25">
      <c r="A42" s="298"/>
      <c r="B42" s="196" t="s">
        <v>4387</v>
      </c>
      <c r="C42" s="217" t="s">
        <v>3095</v>
      </c>
      <c r="D42" s="39" t="s">
        <v>4666</v>
      </c>
      <c r="E42" s="37" t="s">
        <v>4327</v>
      </c>
      <c r="F42" s="37" t="s">
        <v>4388</v>
      </c>
      <c r="G42" s="34"/>
    </row>
    <row r="43" spans="1:7" ht="123.75">
      <c r="A43" s="298"/>
      <c r="B43" s="253">
        <v>4.0999999999999996</v>
      </c>
      <c r="C43" s="217" t="s">
        <v>4665</v>
      </c>
      <c r="D43" s="254">
        <v>42489</v>
      </c>
      <c r="E43" s="270" t="s">
        <v>4668</v>
      </c>
      <c r="F43" s="37" t="s">
        <v>4667</v>
      </c>
      <c r="G43" s="34"/>
    </row>
    <row r="44" spans="1:7" ht="13.5" thickBot="1">
      <c r="A44" s="299"/>
      <c r="B44" s="300" t="str">
        <f ca="1">OFFSET(L!$C$1,MATCH("General"&amp;"Cpy",L!$A:$A,0)-1,SL,,)</f>
        <v>© 2016 Conflict-Free Sourcing Initiative. All rights reserved.</v>
      </c>
      <c r="C44" s="300"/>
      <c r="D44" s="300"/>
      <c r="E44" s="300"/>
      <c r="F44" s="300"/>
      <c r="G44" s="35"/>
    </row>
    <row r="45" spans="1:7" ht="13.5" thickTop="1">
      <c r="A45" s="133"/>
      <c r="B45" s="134"/>
      <c r="C45" s="134"/>
      <c r="D45" s="134"/>
      <c r="E45" s="134"/>
      <c r="F45" s="134"/>
      <c r="G45" s="134"/>
    </row>
  </sheetData>
  <sheetProtection password="E985" sheet="1" objects="1" scenarios="1"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D22:D24"/>
    <mergeCell ref="E22:E24"/>
    <mergeCell ref="A2:A44"/>
    <mergeCell ref="B44:F44"/>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9"/>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39"/>
  <sheetViews>
    <sheetView workbookViewId="0">
      <pane ySplit="1" topLeftCell="A41" activePane="bottomLeft" state="frozen"/>
      <selection pane="bottomLeft" activeCell="A82" sqref="A82"/>
    </sheetView>
  </sheetViews>
  <sheetFormatPr baseColWidth="10" defaultColWidth="8.75" defaultRowHeight="12.75"/>
  <cols>
    <col min="1" max="1" width="27.5" style="84" customWidth="1"/>
    <col min="2" max="2" width="20.125" style="84" bestFit="1" customWidth="1"/>
    <col min="3" max="16384" width="8.75" style="84"/>
  </cols>
  <sheetData>
    <row r="1" spans="1:2">
      <c r="A1" s="83" t="s">
        <v>2140</v>
      </c>
      <c r="B1" s="83" t="s">
        <v>1554</v>
      </c>
    </row>
    <row r="2" spans="1:2">
      <c r="A2" s="85" t="s">
        <v>2144</v>
      </c>
      <c r="B2" s="85" t="s">
        <v>1558</v>
      </c>
    </row>
    <row r="3" spans="1:2">
      <c r="A3" s="85" t="s">
        <v>2200</v>
      </c>
      <c r="B3" s="85" t="s">
        <v>1614</v>
      </c>
    </row>
    <row r="4" spans="1:2">
      <c r="A4" s="85" t="s">
        <v>2150</v>
      </c>
      <c r="B4" s="85" t="s">
        <v>1564</v>
      </c>
    </row>
    <row r="5" spans="1:2">
      <c r="A5" s="85" t="s">
        <v>2145</v>
      </c>
      <c r="B5" s="85" t="s">
        <v>1559</v>
      </c>
    </row>
    <row r="6" spans="1:2">
      <c r="A6" s="85" t="s">
        <v>2142</v>
      </c>
      <c r="B6" s="85" t="s">
        <v>1556</v>
      </c>
    </row>
    <row r="7" spans="1:2">
      <c r="A7" s="85" t="s">
        <v>2143</v>
      </c>
      <c r="B7" s="85" t="s">
        <v>1557</v>
      </c>
    </row>
    <row r="8" spans="1:2">
      <c r="A8" s="85" t="s">
        <v>2151</v>
      </c>
      <c r="B8" s="85" t="s">
        <v>1565</v>
      </c>
    </row>
    <row r="9" spans="1:2">
      <c r="A9" s="85" t="s">
        <v>2153</v>
      </c>
      <c r="B9" s="85" t="s">
        <v>1567</v>
      </c>
    </row>
    <row r="10" spans="1:2">
      <c r="A10" s="85" t="s">
        <v>2148</v>
      </c>
      <c r="B10" s="85" t="s">
        <v>1562</v>
      </c>
    </row>
    <row r="11" spans="1:2">
      <c r="A11" s="85" t="s">
        <v>2149</v>
      </c>
      <c r="B11" s="85" t="s">
        <v>1563</v>
      </c>
    </row>
    <row r="12" spans="1:2">
      <c r="A12" s="85" t="s">
        <v>2141</v>
      </c>
      <c r="B12" s="85" t="s">
        <v>1555</v>
      </c>
    </row>
    <row r="13" spans="1:2">
      <c r="A13" s="85" t="s">
        <v>2154</v>
      </c>
      <c r="B13" s="85" t="s">
        <v>1568</v>
      </c>
    </row>
    <row r="14" spans="1:2">
      <c r="A14" s="85" t="s">
        <v>2155</v>
      </c>
      <c r="B14" s="85" t="s">
        <v>1569</v>
      </c>
    </row>
    <row r="15" spans="1:2">
      <c r="A15" s="85" t="s">
        <v>2156</v>
      </c>
      <c r="B15" s="85" t="s">
        <v>1570</v>
      </c>
    </row>
    <row r="16" spans="1:2">
      <c r="A16" s="85" t="s">
        <v>2164</v>
      </c>
      <c r="B16" s="85" t="s">
        <v>1578</v>
      </c>
    </row>
    <row r="17" spans="1:2">
      <c r="A17" s="85" t="s">
        <v>2163</v>
      </c>
      <c r="B17" s="85" t="s">
        <v>1577</v>
      </c>
    </row>
    <row r="18" spans="1:2">
      <c r="A18" s="85" t="s">
        <v>2161</v>
      </c>
      <c r="B18" s="85" t="s">
        <v>1575</v>
      </c>
    </row>
    <row r="19" spans="1:2">
      <c r="A19" s="85" t="s">
        <v>2171</v>
      </c>
      <c r="B19" s="85" t="s">
        <v>1585</v>
      </c>
    </row>
    <row r="20" spans="1:2">
      <c r="A20" s="85" t="s">
        <v>2166</v>
      </c>
      <c r="B20" s="85" t="s">
        <v>1580</v>
      </c>
    </row>
    <row r="21" spans="1:2">
      <c r="A21" s="85" t="s">
        <v>2158</v>
      </c>
      <c r="B21" s="85" t="s">
        <v>1572</v>
      </c>
    </row>
    <row r="22" spans="1:2">
      <c r="A22" s="85" t="s">
        <v>2167</v>
      </c>
      <c r="B22" s="85" t="s">
        <v>1581</v>
      </c>
    </row>
    <row r="23" spans="1:2">
      <c r="A23" s="85" t="s">
        <v>2159</v>
      </c>
      <c r="B23" s="85" t="s">
        <v>1573</v>
      </c>
    </row>
    <row r="24" spans="1:2">
      <c r="A24" s="85" t="s">
        <v>2168</v>
      </c>
      <c r="B24" s="85" t="s">
        <v>1582</v>
      </c>
    </row>
    <row r="25" spans="1:2">
      <c r="A25" s="85" t="s">
        <v>2173</v>
      </c>
      <c r="B25" s="85" t="s">
        <v>1587</v>
      </c>
    </row>
    <row r="26" spans="1:2">
      <c r="A26" s="85" t="s">
        <v>2169</v>
      </c>
      <c r="B26" s="85" t="s">
        <v>1583</v>
      </c>
    </row>
    <row r="27" spans="1:2">
      <c r="A27" s="85" t="s">
        <v>2165</v>
      </c>
      <c r="B27" s="85" t="s">
        <v>1579</v>
      </c>
    </row>
    <row r="28" spans="1:2">
      <c r="A28" s="85" t="s">
        <v>2175</v>
      </c>
      <c r="B28" s="85" t="s">
        <v>1589</v>
      </c>
    </row>
    <row r="29" spans="1:2">
      <c r="A29" s="85" t="s">
        <v>2174</v>
      </c>
      <c r="B29" s="85" t="s">
        <v>1588</v>
      </c>
    </row>
    <row r="30" spans="1:2">
      <c r="A30" s="85" t="s">
        <v>2170</v>
      </c>
      <c r="B30" s="85" t="s">
        <v>1584</v>
      </c>
    </row>
    <row r="31" spans="1:2">
      <c r="A31" s="85" t="s">
        <v>2240</v>
      </c>
      <c r="B31" s="85" t="s">
        <v>1654</v>
      </c>
    </row>
    <row r="32" spans="1:2">
      <c r="A32" s="85" t="s">
        <v>2172</v>
      </c>
      <c r="B32" s="85" t="s">
        <v>1586</v>
      </c>
    </row>
    <row r="33" spans="1:2">
      <c r="A33" s="85" t="s">
        <v>2162</v>
      </c>
      <c r="B33" s="85" t="s">
        <v>1576</v>
      </c>
    </row>
    <row r="34" spans="1:2">
      <c r="A34" s="85" t="s">
        <v>2160</v>
      </c>
      <c r="B34" s="85" t="s">
        <v>1574</v>
      </c>
    </row>
    <row r="35" spans="1:2">
      <c r="A35" s="85" t="s">
        <v>2157</v>
      </c>
      <c r="B35" s="85" t="s">
        <v>1571</v>
      </c>
    </row>
    <row r="36" spans="1:2">
      <c r="A36" s="85" t="s">
        <v>2253</v>
      </c>
      <c r="B36" s="85" t="s">
        <v>1667</v>
      </c>
    </row>
    <row r="37" spans="1:2">
      <c r="A37" s="85" t="s">
        <v>2183</v>
      </c>
      <c r="B37" s="85" t="s">
        <v>1597</v>
      </c>
    </row>
    <row r="38" spans="1:2">
      <c r="A38" s="85" t="s">
        <v>2177</v>
      </c>
      <c r="B38" s="85" t="s">
        <v>1591</v>
      </c>
    </row>
    <row r="39" spans="1:2">
      <c r="A39" s="85" t="s">
        <v>2188</v>
      </c>
      <c r="B39" s="85" t="s">
        <v>1602</v>
      </c>
    </row>
    <row r="40" spans="1:2">
      <c r="A40" s="85" t="s">
        <v>2192</v>
      </c>
      <c r="B40" s="85" t="s">
        <v>1606</v>
      </c>
    </row>
    <row r="41" spans="1:2">
      <c r="A41" s="85" t="s">
        <v>2176</v>
      </c>
      <c r="B41" s="85" t="s">
        <v>1590</v>
      </c>
    </row>
    <row r="42" spans="1:2">
      <c r="A42" s="85" t="s">
        <v>1741</v>
      </c>
      <c r="B42" s="85" t="s">
        <v>2105</v>
      </c>
    </row>
    <row r="43" spans="1:2">
      <c r="A43" s="85" t="s">
        <v>2180</v>
      </c>
      <c r="B43" s="85" t="s">
        <v>1594</v>
      </c>
    </row>
    <row r="44" spans="1:2">
      <c r="A44" s="85" t="s">
        <v>2181</v>
      </c>
      <c r="B44" s="85" t="s">
        <v>1595</v>
      </c>
    </row>
    <row r="45" spans="1:2">
      <c r="A45" s="85" t="s">
        <v>2191</v>
      </c>
      <c r="B45" s="85" t="s">
        <v>1605</v>
      </c>
    </row>
    <row r="46" spans="1:2">
      <c r="A46" s="85" t="s">
        <v>2178</v>
      </c>
      <c r="B46" s="85" t="s">
        <v>1592</v>
      </c>
    </row>
    <row r="47" spans="1:2">
      <c r="A47" s="85" t="s">
        <v>2186</v>
      </c>
      <c r="B47" s="85" t="s">
        <v>1600</v>
      </c>
    </row>
    <row r="48" spans="1:2">
      <c r="A48" s="85" t="s">
        <v>2187</v>
      </c>
      <c r="B48" s="85" t="s">
        <v>1601</v>
      </c>
    </row>
    <row r="49" spans="1:2">
      <c r="A49" s="85" t="s">
        <v>2184</v>
      </c>
      <c r="B49" s="85" t="s">
        <v>1598</v>
      </c>
    </row>
    <row r="50" spans="1:2">
      <c r="A50" s="85" t="s">
        <v>2185</v>
      </c>
      <c r="B50" s="85" t="s">
        <v>1599</v>
      </c>
    </row>
    <row r="51" spans="1:2">
      <c r="A51" s="85" t="s">
        <v>2189</v>
      </c>
      <c r="B51" s="85" t="s">
        <v>1603</v>
      </c>
    </row>
    <row r="52" spans="1:2">
      <c r="A52" s="85" t="s">
        <v>2182</v>
      </c>
      <c r="B52" s="85" t="s">
        <v>1596</v>
      </c>
    </row>
    <row r="53" spans="1:2">
      <c r="A53" s="85" t="s">
        <v>2235</v>
      </c>
      <c r="B53" s="85" t="s">
        <v>1649</v>
      </c>
    </row>
    <row r="54" spans="1:2">
      <c r="A54" s="85" t="s">
        <v>2190</v>
      </c>
      <c r="B54" s="85" t="s">
        <v>1604</v>
      </c>
    </row>
    <row r="55" spans="1:2">
      <c r="A55" s="85" t="s">
        <v>2193</v>
      </c>
      <c r="B55" s="85" t="s">
        <v>1607</v>
      </c>
    </row>
    <row r="56" spans="1:2">
      <c r="A56" s="85" t="s">
        <v>2194</v>
      </c>
      <c r="B56" s="85" t="s">
        <v>1608</v>
      </c>
    </row>
    <row r="57" spans="1:2">
      <c r="A57" s="85" t="s">
        <v>2198</v>
      </c>
      <c r="B57" s="85" t="s">
        <v>1612</v>
      </c>
    </row>
    <row r="58" spans="1:2">
      <c r="A58" s="85" t="s">
        <v>2196</v>
      </c>
      <c r="B58" s="85" t="s">
        <v>1610</v>
      </c>
    </row>
    <row r="59" spans="1:2">
      <c r="A59" s="85" t="s">
        <v>2197</v>
      </c>
      <c r="B59" s="85" t="s">
        <v>1611</v>
      </c>
    </row>
    <row r="60" spans="1:2">
      <c r="A60" s="85" t="s">
        <v>2199</v>
      </c>
      <c r="B60" s="85" t="s">
        <v>1613</v>
      </c>
    </row>
    <row r="61" spans="1:2">
      <c r="A61" s="85" t="s">
        <v>1747</v>
      </c>
      <c r="B61" s="85" t="s">
        <v>2111</v>
      </c>
    </row>
    <row r="62" spans="1:2">
      <c r="A62" s="85" t="s">
        <v>2201</v>
      </c>
      <c r="B62" s="85" t="s">
        <v>1615</v>
      </c>
    </row>
    <row r="63" spans="1:2">
      <c r="A63" s="85" t="s">
        <v>2202</v>
      </c>
      <c r="B63" s="85" t="s">
        <v>1616</v>
      </c>
    </row>
    <row r="64" spans="1:2">
      <c r="A64" s="85" t="s">
        <v>1728</v>
      </c>
      <c r="B64" s="85" t="s">
        <v>2092</v>
      </c>
    </row>
    <row r="65" spans="1:2">
      <c r="A65" s="85" t="s">
        <v>2224</v>
      </c>
      <c r="B65" s="85" t="s">
        <v>1638</v>
      </c>
    </row>
    <row r="66" spans="1:2">
      <c r="A66" s="85" t="s">
        <v>2203</v>
      </c>
      <c r="B66" s="85" t="s">
        <v>1617</v>
      </c>
    </row>
    <row r="67" spans="1:2">
      <c r="A67" s="85" t="s">
        <v>2206</v>
      </c>
      <c r="B67" s="85" t="s">
        <v>1620</v>
      </c>
    </row>
    <row r="68" spans="1:2">
      <c r="A68" s="85" t="s">
        <v>2207</v>
      </c>
      <c r="B68" s="85" t="s">
        <v>1621</v>
      </c>
    </row>
    <row r="69" spans="1:2">
      <c r="A69" s="85" t="s">
        <v>2210</v>
      </c>
      <c r="B69" s="85" t="s">
        <v>1624</v>
      </c>
    </row>
    <row r="70" spans="1:2">
      <c r="A70" s="85" t="s">
        <v>2212</v>
      </c>
      <c r="B70" s="85" t="s">
        <v>1626</v>
      </c>
    </row>
    <row r="71" spans="1:2">
      <c r="A71" s="85" t="s">
        <v>2209</v>
      </c>
      <c r="B71" s="85" t="s">
        <v>1623</v>
      </c>
    </row>
    <row r="72" spans="1:2">
      <c r="A72" s="85" t="s">
        <v>2208</v>
      </c>
      <c r="B72" s="85" t="s">
        <v>1622</v>
      </c>
    </row>
    <row r="73" spans="1:2">
      <c r="A73" s="85" t="s">
        <v>2211</v>
      </c>
      <c r="B73" s="85" t="s">
        <v>1625</v>
      </c>
    </row>
    <row r="74" spans="1:2">
      <c r="A74" s="85" t="s">
        <v>2214</v>
      </c>
      <c r="B74" s="85" t="s">
        <v>1628</v>
      </c>
    </row>
    <row r="75" spans="1:2">
      <c r="A75" s="85" t="s">
        <v>2229</v>
      </c>
      <c r="B75" s="85" t="s">
        <v>1643</v>
      </c>
    </row>
    <row r="76" spans="1:2">
      <c r="A76" s="85" t="s">
        <v>1713</v>
      </c>
      <c r="B76" s="85" t="s">
        <v>2077</v>
      </c>
    </row>
    <row r="77" spans="1:2">
      <c r="A77" s="85" t="s">
        <v>2152</v>
      </c>
      <c r="B77" s="85" t="s">
        <v>1566</v>
      </c>
    </row>
    <row r="78" spans="1:2">
      <c r="A78" s="85" t="s">
        <v>2215</v>
      </c>
      <c r="B78" s="85" t="s">
        <v>1629</v>
      </c>
    </row>
    <row r="79" spans="1:2">
      <c r="A79" s="85" t="s">
        <v>2222</v>
      </c>
      <c r="B79" s="85" t="s">
        <v>1636</v>
      </c>
    </row>
    <row r="80" spans="1:2">
      <c r="A80" s="85" t="s">
        <v>2217</v>
      </c>
      <c r="B80" s="85" t="s">
        <v>1631</v>
      </c>
    </row>
    <row r="81" spans="1:2">
      <c r="A81" s="85" t="s">
        <v>2195</v>
      </c>
      <c r="B81" s="85" t="s">
        <v>1609</v>
      </c>
    </row>
    <row r="82" spans="1:2">
      <c r="A82" s="85" t="s">
        <v>2218</v>
      </c>
      <c r="B82" s="85" t="s">
        <v>1632</v>
      </c>
    </row>
    <row r="83" spans="1:2">
      <c r="A83" s="85" t="s">
        <v>2219</v>
      </c>
      <c r="B83" s="85" t="s">
        <v>1633</v>
      </c>
    </row>
    <row r="84" spans="1:2">
      <c r="A84" s="85" t="s">
        <v>2225</v>
      </c>
      <c r="B84" s="85" t="s">
        <v>1639</v>
      </c>
    </row>
    <row r="85" spans="1:2">
      <c r="A85" s="85" t="s">
        <v>2227</v>
      </c>
      <c r="B85" s="85" t="s">
        <v>1641</v>
      </c>
    </row>
    <row r="86" spans="1:2">
      <c r="A86" s="85" t="s">
        <v>2226</v>
      </c>
      <c r="B86" s="85" t="s">
        <v>1640</v>
      </c>
    </row>
    <row r="87" spans="1:2">
      <c r="A87" s="85" t="s">
        <v>2221</v>
      </c>
      <c r="B87" s="85" t="s">
        <v>1635</v>
      </c>
    </row>
    <row r="88" spans="1:2">
      <c r="A88" s="85" t="s">
        <v>2230</v>
      </c>
      <c r="B88" s="85" t="s">
        <v>1644</v>
      </c>
    </row>
    <row r="89" spans="1:2">
      <c r="A89" s="85" t="s">
        <v>2228</v>
      </c>
      <c r="B89" s="85" t="s">
        <v>1642</v>
      </c>
    </row>
    <row r="90" spans="1:2">
      <c r="A90" s="85" t="s">
        <v>2220</v>
      </c>
      <c r="B90" s="85" t="s">
        <v>1634</v>
      </c>
    </row>
    <row r="91" spans="1:2">
      <c r="A91" s="85" t="s">
        <v>2223</v>
      </c>
      <c r="B91" s="85" t="s">
        <v>1637</v>
      </c>
    </row>
    <row r="92" spans="1:2">
      <c r="A92" s="85" t="s">
        <v>2231</v>
      </c>
      <c r="B92" s="85" t="s">
        <v>1645</v>
      </c>
    </row>
    <row r="93" spans="1:2">
      <c r="A93" s="85" t="s">
        <v>2236</v>
      </c>
      <c r="B93" s="85" t="s">
        <v>1650</v>
      </c>
    </row>
    <row r="94" spans="1:2">
      <c r="A94" s="85" t="s">
        <v>2233</v>
      </c>
      <c r="B94" s="85" t="s">
        <v>1647</v>
      </c>
    </row>
    <row r="95" spans="1:2">
      <c r="A95" s="85" t="s">
        <v>2234</v>
      </c>
      <c r="B95" s="85" t="s">
        <v>1648</v>
      </c>
    </row>
    <row r="96" spans="1:2">
      <c r="A96" s="85" t="s">
        <v>2232</v>
      </c>
      <c r="B96" s="85" t="s">
        <v>1646</v>
      </c>
    </row>
    <row r="97" spans="1:2">
      <c r="A97" s="85" t="s">
        <v>2237</v>
      </c>
      <c r="B97" s="85" t="s">
        <v>1651</v>
      </c>
    </row>
    <row r="98" spans="1:2">
      <c r="A98" s="85" t="s">
        <v>2244</v>
      </c>
      <c r="B98" s="85" t="s">
        <v>1658</v>
      </c>
    </row>
    <row r="99" spans="1:2">
      <c r="A99" s="85" t="s">
        <v>2239</v>
      </c>
      <c r="B99" s="85" t="s">
        <v>1653</v>
      </c>
    </row>
    <row r="100" spans="1:2">
      <c r="A100" s="85" t="s">
        <v>2238</v>
      </c>
      <c r="B100" s="85" t="s">
        <v>1652</v>
      </c>
    </row>
    <row r="101" spans="1:2">
      <c r="A101" s="85" t="s">
        <v>2242</v>
      </c>
      <c r="B101" s="85" t="s">
        <v>1656</v>
      </c>
    </row>
    <row r="102" spans="1:2">
      <c r="A102" s="85" t="s">
        <v>2243</v>
      </c>
      <c r="B102" s="85" t="s">
        <v>1657</v>
      </c>
    </row>
    <row r="103" spans="1:2">
      <c r="A103" s="85" t="s">
        <v>2241</v>
      </c>
      <c r="B103" s="85" t="s">
        <v>1655</v>
      </c>
    </row>
    <row r="104" spans="1:2">
      <c r="A104" s="85" t="s">
        <v>2245</v>
      </c>
      <c r="B104" s="85" t="s">
        <v>1659</v>
      </c>
    </row>
    <row r="105" spans="1:2">
      <c r="A105" s="85" t="s">
        <v>2246</v>
      </c>
      <c r="B105" s="85" t="s">
        <v>1660</v>
      </c>
    </row>
    <row r="106" spans="1:2">
      <c r="A106" s="85" t="s">
        <v>2247</v>
      </c>
      <c r="B106" s="85" t="s">
        <v>1661</v>
      </c>
    </row>
    <row r="107" spans="1:2">
      <c r="A107" s="85" t="s">
        <v>2249</v>
      </c>
      <c r="B107" s="85" t="s">
        <v>1663</v>
      </c>
    </row>
    <row r="108" spans="1:2">
      <c r="A108" s="85" t="s">
        <v>2248</v>
      </c>
      <c r="B108" s="85" t="s">
        <v>1662</v>
      </c>
    </row>
    <row r="109" spans="1:2">
      <c r="A109" s="85" t="s">
        <v>2250</v>
      </c>
      <c r="B109" s="85" t="s">
        <v>1664</v>
      </c>
    </row>
    <row r="110" spans="1:2">
      <c r="A110" s="85" t="s">
        <v>2251</v>
      </c>
      <c r="B110" s="85" t="s">
        <v>1665</v>
      </c>
    </row>
    <row r="111" spans="1:2">
      <c r="A111" s="85" t="s">
        <v>2254</v>
      </c>
      <c r="B111" s="85" t="s">
        <v>1668</v>
      </c>
    </row>
    <row r="112" spans="1:2">
      <c r="A112" s="85" t="s">
        <v>1710</v>
      </c>
      <c r="B112" s="85" t="s">
        <v>2074</v>
      </c>
    </row>
    <row r="113" spans="1:2">
      <c r="A113" s="85" t="s">
        <v>2256</v>
      </c>
      <c r="B113" s="85" t="s">
        <v>1670</v>
      </c>
    </row>
    <row r="114" spans="1:2">
      <c r="A114" s="85" t="s">
        <v>2257</v>
      </c>
      <c r="B114" s="85" t="s">
        <v>1671</v>
      </c>
    </row>
    <row r="115" spans="1:2">
      <c r="A115" s="85" t="s">
        <v>2252</v>
      </c>
      <c r="B115" s="85" t="s">
        <v>1666</v>
      </c>
    </row>
    <row r="116" spans="1:2">
      <c r="A116" s="85" t="s">
        <v>2258</v>
      </c>
      <c r="B116" s="85" t="s">
        <v>1672</v>
      </c>
    </row>
    <row r="117" spans="1:2">
      <c r="A117" s="85" t="s">
        <v>2268</v>
      </c>
      <c r="B117" s="85" t="s">
        <v>1682</v>
      </c>
    </row>
    <row r="118" spans="1:2">
      <c r="A118" s="85" t="s">
        <v>2259</v>
      </c>
      <c r="B118" s="85" t="s">
        <v>1673</v>
      </c>
    </row>
    <row r="119" spans="1:2">
      <c r="A119" s="85" t="s">
        <v>2265</v>
      </c>
      <c r="B119" s="85" t="s">
        <v>1679</v>
      </c>
    </row>
    <row r="120" spans="1:2">
      <c r="A120" s="85" t="s">
        <v>2260</v>
      </c>
      <c r="B120" s="85" t="s">
        <v>1674</v>
      </c>
    </row>
    <row r="121" spans="1:2">
      <c r="A121" s="85" t="s">
        <v>2261</v>
      </c>
      <c r="B121" s="85" t="s">
        <v>1675</v>
      </c>
    </row>
    <row r="122" spans="1:2">
      <c r="A122" s="85" t="s">
        <v>2263</v>
      </c>
      <c r="B122" s="85" t="s">
        <v>1677</v>
      </c>
    </row>
    <row r="123" spans="1:2">
      <c r="A123" s="85" t="s">
        <v>2266</v>
      </c>
      <c r="B123" s="85" t="s">
        <v>1680</v>
      </c>
    </row>
    <row r="124" spans="1:2">
      <c r="A124" s="85" t="s">
        <v>2267</v>
      </c>
      <c r="B124" s="85" t="s">
        <v>1681</v>
      </c>
    </row>
    <row r="125" spans="1:2">
      <c r="A125" s="85" t="s">
        <v>2269</v>
      </c>
      <c r="B125" s="85" t="s">
        <v>1683</v>
      </c>
    </row>
    <row r="126" spans="1:2">
      <c r="A126" s="85" t="s">
        <v>2277</v>
      </c>
      <c r="B126" s="85" t="s">
        <v>1691</v>
      </c>
    </row>
    <row r="127" spans="1:2">
      <c r="A127" s="85" t="s">
        <v>2273</v>
      </c>
      <c r="B127" s="85" t="s">
        <v>1687</v>
      </c>
    </row>
    <row r="128" spans="1:2">
      <c r="A128" s="85" t="s">
        <v>2288</v>
      </c>
      <c r="B128" s="85" t="s">
        <v>1702</v>
      </c>
    </row>
    <row r="129" spans="1:2">
      <c r="A129" s="85" t="s">
        <v>2289</v>
      </c>
      <c r="B129" s="85" t="s">
        <v>2050</v>
      </c>
    </row>
    <row r="130" spans="1:2">
      <c r="A130" s="85" t="s">
        <v>2274</v>
      </c>
      <c r="B130" s="85" t="s">
        <v>1688</v>
      </c>
    </row>
    <row r="131" spans="1:2">
      <c r="A131" s="85" t="s">
        <v>2278</v>
      </c>
      <c r="B131" s="85" t="s">
        <v>1692</v>
      </c>
    </row>
    <row r="132" spans="1:2">
      <c r="A132" s="85" t="s">
        <v>2279</v>
      </c>
      <c r="B132" s="85" t="s">
        <v>1693</v>
      </c>
    </row>
    <row r="133" spans="1:2">
      <c r="A133" s="85" t="s">
        <v>2276</v>
      </c>
      <c r="B133" s="85" t="s">
        <v>1690</v>
      </c>
    </row>
    <row r="134" spans="1:2">
      <c r="A134" s="85" t="s">
        <v>2286</v>
      </c>
      <c r="B134" s="85" t="s">
        <v>1700</v>
      </c>
    </row>
    <row r="135" spans="1:2">
      <c r="A135" s="85" t="s">
        <v>2284</v>
      </c>
      <c r="B135" s="85" t="s">
        <v>1698</v>
      </c>
    </row>
    <row r="136" spans="1:2">
      <c r="A136" s="85" t="s">
        <v>2287</v>
      </c>
      <c r="B136" s="85" t="s">
        <v>1701</v>
      </c>
    </row>
    <row r="137" spans="1:2">
      <c r="A137" s="85" t="s">
        <v>2290</v>
      </c>
      <c r="B137" s="85" t="s">
        <v>2051</v>
      </c>
    </row>
    <row r="138" spans="1:2">
      <c r="A138" s="85" t="s">
        <v>2275</v>
      </c>
      <c r="B138" s="85" t="s">
        <v>1689</v>
      </c>
    </row>
    <row r="139" spans="1:2">
      <c r="A139" s="85" t="s">
        <v>2213</v>
      </c>
      <c r="B139" s="85" t="s">
        <v>1627</v>
      </c>
    </row>
    <row r="140" spans="1:2">
      <c r="A140" s="85" t="s">
        <v>2272</v>
      </c>
      <c r="B140" s="85" t="s">
        <v>1686</v>
      </c>
    </row>
    <row r="141" spans="1:2">
      <c r="A141" s="85" t="s">
        <v>2271</v>
      </c>
      <c r="B141" s="85" t="s">
        <v>1685</v>
      </c>
    </row>
    <row r="142" spans="1:2">
      <c r="A142" s="85" t="s">
        <v>2281</v>
      </c>
      <c r="B142" s="85" t="s">
        <v>1695</v>
      </c>
    </row>
    <row r="143" spans="1:2">
      <c r="A143" s="85" t="s">
        <v>2285</v>
      </c>
      <c r="B143" s="85" t="s">
        <v>1699</v>
      </c>
    </row>
    <row r="144" spans="1:2">
      <c r="A144" s="85" t="s">
        <v>2270</v>
      </c>
      <c r="B144" s="85" t="s">
        <v>1684</v>
      </c>
    </row>
    <row r="145" spans="1:2">
      <c r="A145" s="85" t="s">
        <v>2283</v>
      </c>
      <c r="B145" s="85" t="s">
        <v>1697</v>
      </c>
    </row>
    <row r="146" spans="1:2">
      <c r="A146" s="85" t="s">
        <v>2280</v>
      </c>
      <c r="B146" s="85" t="s">
        <v>1694</v>
      </c>
    </row>
    <row r="147" spans="1:2">
      <c r="A147" s="85" t="s">
        <v>2291</v>
      </c>
      <c r="B147" s="85" t="s">
        <v>2052</v>
      </c>
    </row>
    <row r="148" spans="1:2">
      <c r="A148" s="85" t="s">
        <v>2301</v>
      </c>
      <c r="B148" s="85" t="s">
        <v>2062</v>
      </c>
    </row>
    <row r="149" spans="1:2">
      <c r="A149" s="85" t="s">
        <v>2300</v>
      </c>
      <c r="B149" s="85" t="s">
        <v>2061</v>
      </c>
    </row>
    <row r="150" spans="1:2">
      <c r="A150" s="85" t="s">
        <v>2298</v>
      </c>
      <c r="B150" s="85" t="s">
        <v>2059</v>
      </c>
    </row>
    <row r="151" spans="1:2">
      <c r="A151" s="85" t="s">
        <v>2146</v>
      </c>
      <c r="B151" s="85" t="s">
        <v>1560</v>
      </c>
    </row>
    <row r="152" spans="1:2">
      <c r="A152" s="85" t="s">
        <v>2292</v>
      </c>
      <c r="B152" s="85" t="s">
        <v>2053</v>
      </c>
    </row>
    <row r="153" spans="1:2">
      <c r="A153" s="85" t="s">
        <v>2302</v>
      </c>
      <c r="B153" s="85" t="s">
        <v>2063</v>
      </c>
    </row>
    <row r="154" spans="1:2">
      <c r="A154" s="85" t="s">
        <v>2296</v>
      </c>
      <c r="B154" s="85" t="s">
        <v>2057</v>
      </c>
    </row>
    <row r="155" spans="1:2">
      <c r="A155" s="85" t="s">
        <v>2293</v>
      </c>
      <c r="B155" s="85" t="s">
        <v>2054</v>
      </c>
    </row>
    <row r="156" spans="1:2">
      <c r="A156" s="85" t="s">
        <v>2295</v>
      </c>
      <c r="B156" s="85" t="s">
        <v>2056</v>
      </c>
    </row>
    <row r="157" spans="1:2">
      <c r="A157" s="85" t="s">
        <v>2297</v>
      </c>
      <c r="B157" s="85" t="s">
        <v>2058</v>
      </c>
    </row>
    <row r="158" spans="1:2">
      <c r="A158" s="85" t="s">
        <v>2294</v>
      </c>
      <c r="B158" s="85" t="s">
        <v>2055</v>
      </c>
    </row>
    <row r="159" spans="1:2">
      <c r="A159" s="85" t="s">
        <v>2282</v>
      </c>
      <c r="B159" s="85" t="s">
        <v>1696</v>
      </c>
    </row>
    <row r="160" spans="1:2">
      <c r="A160" s="85" t="s">
        <v>2299</v>
      </c>
      <c r="B160" s="85" t="s">
        <v>2060</v>
      </c>
    </row>
    <row r="161" spans="1:2">
      <c r="A161" s="85" t="s">
        <v>2303</v>
      </c>
      <c r="B161" s="85" t="s">
        <v>2064</v>
      </c>
    </row>
    <row r="162" spans="1:2">
      <c r="A162" s="85" t="s">
        <v>2304</v>
      </c>
      <c r="B162" s="85" t="s">
        <v>2065</v>
      </c>
    </row>
    <row r="163" spans="1:2">
      <c r="A163" s="85" t="s">
        <v>1706</v>
      </c>
      <c r="B163" s="85" t="s">
        <v>2070</v>
      </c>
    </row>
    <row r="164" spans="1:2">
      <c r="A164" s="85" t="s">
        <v>2305</v>
      </c>
      <c r="B164" s="85" t="s">
        <v>2066</v>
      </c>
    </row>
    <row r="165" spans="1:2">
      <c r="A165" s="85" t="s">
        <v>1707</v>
      </c>
      <c r="B165" s="85" t="s">
        <v>2071</v>
      </c>
    </row>
    <row r="166" spans="1:2">
      <c r="A166" s="85" t="s">
        <v>1712</v>
      </c>
      <c r="B166" s="85" t="s">
        <v>2076</v>
      </c>
    </row>
    <row r="167" spans="1:2">
      <c r="A167" s="85" t="s">
        <v>1704</v>
      </c>
      <c r="B167" s="85" t="s">
        <v>2068</v>
      </c>
    </row>
    <row r="168" spans="1:2">
      <c r="A168" s="85" t="s">
        <v>1705</v>
      </c>
      <c r="B168" s="85" t="s">
        <v>2069</v>
      </c>
    </row>
    <row r="169" spans="1:2">
      <c r="A169" s="85" t="s">
        <v>2306</v>
      </c>
      <c r="B169" s="85" t="s">
        <v>2067</v>
      </c>
    </row>
    <row r="170" spans="1:2">
      <c r="A170" s="85" t="s">
        <v>1708</v>
      </c>
      <c r="B170" s="85" t="s">
        <v>2072</v>
      </c>
    </row>
    <row r="171" spans="1:2">
      <c r="A171" s="85" t="s">
        <v>1711</v>
      </c>
      <c r="B171" s="85" t="s">
        <v>2075</v>
      </c>
    </row>
    <row r="172" spans="1:2">
      <c r="A172" s="85" t="s">
        <v>1709</v>
      </c>
      <c r="B172" s="85" t="s">
        <v>2073</v>
      </c>
    </row>
    <row r="173" spans="1:2">
      <c r="A173" s="85" t="s">
        <v>1714</v>
      </c>
      <c r="B173" s="85" t="s">
        <v>2078</v>
      </c>
    </row>
    <row r="174" spans="1:2">
      <c r="A174" s="85" t="s">
        <v>1715</v>
      </c>
      <c r="B174" s="85" t="s">
        <v>2079</v>
      </c>
    </row>
    <row r="175" spans="1:2">
      <c r="A175" s="85" t="s">
        <v>1716</v>
      </c>
      <c r="B175" s="85" t="s">
        <v>2080</v>
      </c>
    </row>
    <row r="176" spans="1:2">
      <c r="A176" s="85" t="s">
        <v>1717</v>
      </c>
      <c r="B176" s="85" t="s">
        <v>2081</v>
      </c>
    </row>
    <row r="177" spans="1:2">
      <c r="A177" s="85" t="s">
        <v>1718</v>
      </c>
      <c r="B177" s="85" t="s">
        <v>2082</v>
      </c>
    </row>
    <row r="178" spans="1:2">
      <c r="A178" s="85" t="s">
        <v>2255</v>
      </c>
      <c r="B178" s="85" t="s">
        <v>1669</v>
      </c>
    </row>
    <row r="179" spans="1:2">
      <c r="A179" s="85" t="s">
        <v>2262</v>
      </c>
      <c r="B179" s="85" t="s">
        <v>1676</v>
      </c>
    </row>
    <row r="180" spans="1:2">
      <c r="A180" s="85" t="s">
        <v>1762</v>
      </c>
      <c r="B180" s="85" t="s">
        <v>2126</v>
      </c>
    </row>
    <row r="181" spans="1:2">
      <c r="A181" s="85" t="s">
        <v>1769</v>
      </c>
      <c r="B181" s="85" t="s">
        <v>2133</v>
      </c>
    </row>
    <row r="182" spans="1:2">
      <c r="A182" s="85" t="s">
        <v>1729</v>
      </c>
      <c r="B182" s="85" t="s">
        <v>2093</v>
      </c>
    </row>
    <row r="183" spans="1:2">
      <c r="A183" s="85" t="s">
        <v>1732</v>
      </c>
      <c r="B183" s="85" t="s">
        <v>2096</v>
      </c>
    </row>
    <row r="184" spans="1:2">
      <c r="A184" s="85" t="s">
        <v>1719</v>
      </c>
      <c r="B184" s="85" t="s">
        <v>2083</v>
      </c>
    </row>
    <row r="185" spans="1:2">
      <c r="A185" s="85" t="s">
        <v>1721</v>
      </c>
      <c r="B185" s="85" t="s">
        <v>2085</v>
      </c>
    </row>
    <row r="186" spans="1:2">
      <c r="A186" s="85" t="s">
        <v>1738</v>
      </c>
      <c r="B186" s="85" t="s">
        <v>2102</v>
      </c>
    </row>
    <row r="187" spans="1:2">
      <c r="A187" s="85" t="s">
        <v>1727</v>
      </c>
      <c r="B187" s="85" t="s">
        <v>2091</v>
      </c>
    </row>
    <row r="188" spans="1:2">
      <c r="A188" s="85" t="s">
        <v>1722</v>
      </c>
      <c r="B188" s="85" t="s">
        <v>2086</v>
      </c>
    </row>
    <row r="189" spans="1:2">
      <c r="A189" s="85" t="s">
        <v>1734</v>
      </c>
      <c r="B189" s="85" t="s">
        <v>2098</v>
      </c>
    </row>
    <row r="190" spans="1:2">
      <c r="A190" s="85" t="s">
        <v>1735</v>
      </c>
      <c r="B190" s="85" t="s">
        <v>2099</v>
      </c>
    </row>
    <row r="191" spans="1:2">
      <c r="A191" s="85" t="s">
        <v>1726</v>
      </c>
      <c r="B191" s="85" t="s">
        <v>2090</v>
      </c>
    </row>
    <row r="192" spans="1:2">
      <c r="A192" s="85" t="s">
        <v>1730</v>
      </c>
      <c r="B192" s="85" t="s">
        <v>2094</v>
      </c>
    </row>
    <row r="193" spans="1:2">
      <c r="A193" s="85" t="s">
        <v>1772</v>
      </c>
      <c r="B193" s="85" t="s">
        <v>2136</v>
      </c>
    </row>
    <row r="194" spans="1:2">
      <c r="A194" s="85" t="s">
        <v>1723</v>
      </c>
      <c r="B194" s="85" t="s">
        <v>2087</v>
      </c>
    </row>
    <row r="195" spans="1:2">
      <c r="A195" s="85" t="s">
        <v>2205</v>
      </c>
      <c r="B195" s="85" t="s">
        <v>1619</v>
      </c>
    </row>
    <row r="196" spans="1:2">
      <c r="A196" s="85" t="s">
        <v>2264</v>
      </c>
      <c r="B196" s="85" t="s">
        <v>1678</v>
      </c>
    </row>
    <row r="197" spans="1:2">
      <c r="A197" s="85" t="s">
        <v>1724</v>
      </c>
      <c r="B197" s="85" t="s">
        <v>2088</v>
      </c>
    </row>
    <row r="198" spans="1:2">
      <c r="A198" s="85" t="s">
        <v>1731</v>
      </c>
      <c r="B198" s="85" t="s">
        <v>2095</v>
      </c>
    </row>
    <row r="199" spans="1:2">
      <c r="A199" s="85" t="s">
        <v>1720</v>
      </c>
      <c r="B199" s="85" t="s">
        <v>2084</v>
      </c>
    </row>
    <row r="200" spans="1:2">
      <c r="A200" s="85" t="s">
        <v>1733</v>
      </c>
      <c r="B200" s="85" t="s">
        <v>2097</v>
      </c>
    </row>
    <row r="201" spans="1:2">
      <c r="A201" s="85" t="s">
        <v>1725</v>
      </c>
      <c r="B201" s="85" t="s">
        <v>2089</v>
      </c>
    </row>
    <row r="202" spans="1:2">
      <c r="A202" s="85" t="s">
        <v>1737</v>
      </c>
      <c r="B202" s="85" t="s">
        <v>2101</v>
      </c>
    </row>
    <row r="203" spans="1:2">
      <c r="A203" s="85" t="s">
        <v>1736</v>
      </c>
      <c r="B203" s="85" t="s">
        <v>2100</v>
      </c>
    </row>
    <row r="204" spans="1:2">
      <c r="A204" s="85" t="s">
        <v>2179</v>
      </c>
      <c r="B204" s="85" t="s">
        <v>1593</v>
      </c>
    </row>
    <row r="205" spans="1:2">
      <c r="A205" s="85" t="s">
        <v>1739</v>
      </c>
      <c r="B205" s="85" t="s">
        <v>2103</v>
      </c>
    </row>
    <row r="206" spans="1:2">
      <c r="A206" s="85" t="s">
        <v>1753</v>
      </c>
      <c r="B206" s="85" t="s">
        <v>2117</v>
      </c>
    </row>
    <row r="207" spans="1:2">
      <c r="A207" s="85" t="s">
        <v>1744</v>
      </c>
      <c r="B207" s="85" t="s">
        <v>2108</v>
      </c>
    </row>
    <row r="208" spans="1:2">
      <c r="A208" s="85" t="s">
        <v>1754</v>
      </c>
      <c r="B208" s="85" t="s">
        <v>2118</v>
      </c>
    </row>
    <row r="209" spans="1:2">
      <c r="A209" s="85" t="s">
        <v>1743</v>
      </c>
      <c r="B209" s="85" t="s">
        <v>2107</v>
      </c>
    </row>
    <row r="210" spans="1:2">
      <c r="A210" s="85" t="s">
        <v>1742</v>
      </c>
      <c r="B210" s="85" t="s">
        <v>2106</v>
      </c>
    </row>
    <row r="211" spans="1:2">
      <c r="A211" s="85" t="s">
        <v>1745</v>
      </c>
      <c r="B211" s="85" t="s">
        <v>2109</v>
      </c>
    </row>
    <row r="212" spans="1:2">
      <c r="A212" s="85" t="s">
        <v>1748</v>
      </c>
      <c r="B212" s="85" t="s">
        <v>2112</v>
      </c>
    </row>
    <row r="213" spans="1:2">
      <c r="A213" s="85" t="s">
        <v>1749</v>
      </c>
      <c r="B213" s="85" t="s">
        <v>2113</v>
      </c>
    </row>
    <row r="214" spans="1:2">
      <c r="A214" s="85" t="s">
        <v>1750</v>
      </c>
      <c r="B214" s="85" t="s">
        <v>2114</v>
      </c>
    </row>
    <row r="215" spans="1:2">
      <c r="A215" s="85" t="s">
        <v>1751</v>
      </c>
      <c r="B215" s="85" t="s">
        <v>2115</v>
      </c>
    </row>
    <row r="216" spans="1:2">
      <c r="A216" s="85" t="s">
        <v>1746</v>
      </c>
      <c r="B216" s="85" t="s">
        <v>2110</v>
      </c>
    </row>
    <row r="217" spans="1:2">
      <c r="A217" s="85" t="s">
        <v>1740</v>
      </c>
      <c r="B217" s="85" t="s">
        <v>2104</v>
      </c>
    </row>
    <row r="218" spans="1:2">
      <c r="A218" s="85" t="s">
        <v>1752</v>
      </c>
      <c r="B218" s="85" t="s">
        <v>2116</v>
      </c>
    </row>
    <row r="219" spans="1:2">
      <c r="A219" s="85" t="s">
        <v>1755</v>
      </c>
      <c r="B219" s="85" t="s">
        <v>2119</v>
      </c>
    </row>
    <row r="220" spans="1:2">
      <c r="A220" s="85" t="s">
        <v>1756</v>
      </c>
      <c r="B220" s="85" t="s">
        <v>2120</v>
      </c>
    </row>
    <row r="221" spans="1:2">
      <c r="A221" s="85" t="s">
        <v>2147</v>
      </c>
      <c r="B221" s="85" t="s">
        <v>1561</v>
      </c>
    </row>
    <row r="222" spans="1:2">
      <c r="A222" s="85" t="s">
        <v>2216</v>
      </c>
      <c r="B222" s="85" t="s">
        <v>1630</v>
      </c>
    </row>
    <row r="223" spans="1:2">
      <c r="A223" s="85" t="s">
        <v>1759</v>
      </c>
      <c r="B223" s="85" t="s">
        <v>2123</v>
      </c>
    </row>
    <row r="224" spans="1:2">
      <c r="A224" s="85" t="s">
        <v>1757</v>
      </c>
      <c r="B224" s="85" t="s">
        <v>2121</v>
      </c>
    </row>
    <row r="225" spans="1:2">
      <c r="A225" s="85" t="s">
        <v>1758</v>
      </c>
      <c r="B225" s="85" t="s">
        <v>2122</v>
      </c>
    </row>
    <row r="226" spans="1:2">
      <c r="A226" s="85" t="s">
        <v>1760</v>
      </c>
      <c r="B226" s="85" t="s">
        <v>2124</v>
      </c>
    </row>
    <row r="227" spans="1:2">
      <c r="A227" s="85" t="s">
        <v>1767</v>
      </c>
      <c r="B227" s="85" t="s">
        <v>2131</v>
      </c>
    </row>
    <row r="228" spans="1:2">
      <c r="A228" s="85" t="s">
        <v>1761</v>
      </c>
      <c r="B228" s="85" t="s">
        <v>2125</v>
      </c>
    </row>
    <row r="229" spans="1:2">
      <c r="A229" s="85" t="s">
        <v>1763</v>
      </c>
      <c r="B229" s="85" t="s">
        <v>2127</v>
      </c>
    </row>
    <row r="230" spans="1:2">
      <c r="A230" s="85" t="s">
        <v>1766</v>
      </c>
      <c r="B230" s="85" t="s">
        <v>2130</v>
      </c>
    </row>
    <row r="231" spans="1:2">
      <c r="A231" s="85" t="s">
        <v>1764</v>
      </c>
      <c r="B231" s="85" t="s">
        <v>2128</v>
      </c>
    </row>
    <row r="232" spans="1:2">
      <c r="A232" s="85" t="s">
        <v>1765</v>
      </c>
      <c r="B232" s="85" t="s">
        <v>2129</v>
      </c>
    </row>
    <row r="233" spans="1:2">
      <c r="A233" s="85" t="s">
        <v>1768</v>
      </c>
      <c r="B233" s="85" t="s">
        <v>2132</v>
      </c>
    </row>
    <row r="234" spans="1:2">
      <c r="A234" s="85" t="s">
        <v>2204</v>
      </c>
      <c r="B234" s="85" t="s">
        <v>1618</v>
      </c>
    </row>
    <row r="235" spans="1:2">
      <c r="A235" s="85" t="s">
        <v>1770</v>
      </c>
      <c r="B235" s="85" t="s">
        <v>2134</v>
      </c>
    </row>
    <row r="236" spans="1:2">
      <c r="A236" s="85" t="s">
        <v>1771</v>
      </c>
      <c r="B236" s="85" t="s">
        <v>2135</v>
      </c>
    </row>
    <row r="237" spans="1:2">
      <c r="A237" s="85" t="s">
        <v>1773</v>
      </c>
      <c r="B237" s="85" t="s">
        <v>2137</v>
      </c>
    </row>
    <row r="238" spans="1:2">
      <c r="A238" s="85" t="s">
        <v>1774</v>
      </c>
      <c r="B238" s="85" t="s">
        <v>2138</v>
      </c>
    </row>
    <row r="239" spans="1:2">
      <c r="A239" s="85" t="s">
        <v>1775</v>
      </c>
      <c r="B239" s="85" t="s">
        <v>2139</v>
      </c>
    </row>
  </sheetData>
  <phoneticPr fontId="29"/>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baseColWidth="10" defaultRowHeight="12.75"/>
  <cols>
    <col min="1" max="256" width="9" customWidth="1"/>
  </cols>
  <sheetData/>
  <phoneticPr fontId="2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81"/>
  <sheetViews>
    <sheetView showGridLines="0" zoomScale="70" zoomScaleNormal="70" workbookViewId="0"/>
  </sheetViews>
  <sheetFormatPr baseColWidth="10" defaultRowHeight="12.75"/>
  <cols>
    <col min="1" max="1" width="143" customWidth="1"/>
    <col min="2" max="2" width="3" customWidth="1"/>
    <col min="3" max="3" width="8.75" style="127" customWidth="1"/>
    <col min="4" max="256" width="9" customWidth="1"/>
  </cols>
  <sheetData>
    <row r="1" spans="1:2" ht="126" customHeight="1">
      <c r="A1" s="137" t="str">
        <f ca="1">OFFSET(L!$C$1,MATCH("Instructions"&amp;ADDRESS(ROW(),COLUMN(),4),L!$A:$A,0)-1,SL,,)</f>
        <v>CFSI website: (www.conflictfreesourcing.org)
Training and guidance, template, Conflict-Free Smelter Program compliant smelter list.</v>
      </c>
      <c r="B1" s="128" t="s">
        <v>871</v>
      </c>
    </row>
    <row r="2" spans="1:2" ht="30">
      <c r="A2" s="138" t="str">
        <f ca="1">OFFSET(L!$C$1,MATCH("Instructions"&amp;ADDRESS(ROW(),COLUMN(),4),L!$A:$A,0)-1,SL,,)</f>
        <v>Introduction</v>
      </c>
      <c r="B2" s="128" t="s">
        <v>2553</v>
      </c>
    </row>
    <row r="3" spans="1:2" ht="173.25" customHeight="1">
      <c r="A3" s="135"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28" t="s">
        <v>2554</v>
      </c>
    </row>
    <row r="4" spans="1:2" ht="150">
      <c r="A4" s="13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28" t="s">
        <v>2560</v>
      </c>
    </row>
    <row r="5" spans="1:2" ht="15">
      <c r="A5" s="139"/>
      <c r="B5" s="128"/>
    </row>
    <row r="6" spans="1:2" ht="30">
      <c r="A6" s="138" t="str">
        <f ca="1">OFFSET(L!$C$1,MATCH("Instructions"&amp;ADDRESS(ROW(),COLUMN(),4),L!$A:$A,0)-1,SL,,)</f>
        <v>Instructions for completing Company Information questions (rows 8 - 22).
Provide comments in ENGLISH only</v>
      </c>
      <c r="B6" s="128" t="s">
        <v>2553</v>
      </c>
    </row>
    <row r="7" spans="1:2" ht="21.95" customHeight="1">
      <c r="A7" s="135" t="str">
        <f ca="1">OFFSET(L!$C$1,MATCH("Instructions"&amp;ADDRESS(ROW(),COLUMN(),4),L!$A:$A,0)-1,SL,,)</f>
        <v xml:space="preserve">Note:  Entries with (*) are mandatory fields. </v>
      </c>
      <c r="B7" s="128"/>
    </row>
    <row r="8" spans="1:2" ht="19.5" customHeight="1">
      <c r="A8" s="135" t="str">
        <f ca="1">OFFSET(L!$C$1,MATCH("Instructions"&amp;ADDRESS(ROW(),COLUMN(),4),L!$A:$A,0)-1,SL,,)</f>
        <v>1. Insert your company's Legal Name.  Please do not use abbreviations</v>
      </c>
      <c r="B8" s="128"/>
    </row>
    <row r="9" spans="1:2" ht="300">
      <c r="A9" s="20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28" t="s">
        <v>2552</v>
      </c>
    </row>
    <row r="10" spans="1:2" ht="19.5" customHeight="1">
      <c r="A10" s="135" t="str">
        <f ca="1">OFFSET(L!$C$1,MATCH("Instructions"&amp;ADDRESS(ROW(),COLUMN(),4),L!$A:$A,0)-1,SL,,)</f>
        <v>3. Insert your company’s unique identifier number or code (DUNS number, VAT number, customer-specific identifier, etc.)</v>
      </c>
      <c r="B10" s="128"/>
    </row>
    <row r="11" spans="1:2" ht="21.95" customHeight="1">
      <c r="A11" s="135" t="str">
        <f ca="1">OFFSET(L!$C$1,MATCH("Instructions"&amp;ADDRESS(ROW(),COLUMN(),4),L!$A:$A,0)-1,SL,,)</f>
        <v xml:space="preserve">4. Insert the source for the unique identifier number or code ("DUNS", "VAT", "Customer", etc).  </v>
      </c>
      <c r="B11" s="128"/>
    </row>
    <row r="12" spans="1:2" ht="30">
      <c r="A12" s="135" t="str">
        <f ca="1">OFFSET(L!$C$1,MATCH("Instructions"&amp;ADDRESS(ROW(),COLUMN(),4),L!$A:$A,0)-1,SL,,)</f>
        <v>5. Insert your full company address (street, city, state, country, postal code).  This field is optional.</v>
      </c>
      <c r="B12" s="128" t="s">
        <v>2553</v>
      </c>
    </row>
    <row r="13" spans="1:2" ht="23.45" customHeight="1">
      <c r="A13" s="135" t="str">
        <f ca="1">OFFSET(L!$C$1,MATCH("Instructions"&amp;ADDRESS(ROW(),COLUMN(),4),L!$A:$A,0)-1,SL,,)</f>
        <v>6. Insert the name of the person to contact regarding the contents of the declaration information. This field is mandatory.</v>
      </c>
      <c r="B13" s="128"/>
    </row>
    <row r="14" spans="1:2" ht="30">
      <c r="A14" s="135" t="str">
        <f ca="1">OFFSET(L!$C$1,MATCH("Instructions"&amp;ADDRESS(ROW(),COLUMN(),4),L!$A:$A,0)-1,SL,,)</f>
        <v>7. Insert the email address of the contact person.  If an email address is not available, state ‘‘not available’’ or ‘‘n/a.’’ A blank field may cause an error in form implementation.  This field is mandatory.</v>
      </c>
      <c r="B14" s="128"/>
    </row>
    <row r="15" spans="1:2" ht="26.45" customHeight="1">
      <c r="A15" s="135" t="str">
        <f ca="1">OFFSET(L!$C$1,MATCH("Instructions"&amp;ADDRESS(ROW(),COLUMN(),4),L!$A:$A,0)-1,SL,,)</f>
        <v>8. Insert the telephone number for the contact. This field is mandatory.</v>
      </c>
      <c r="B15" s="128"/>
    </row>
    <row r="16" spans="1:2" ht="50.1" customHeight="1">
      <c r="A16" s="13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28"/>
    </row>
    <row r="17" spans="1:2" ht="20.45" customHeight="1">
      <c r="A17" s="135" t="str">
        <f ca="1">OFFSET(L!$C$1,MATCH("Instructions"&amp;ADDRESS(ROW(),COLUMN(),4),L!$A:$A,0)-1,SL,,)</f>
        <v>10. Insert the title for the Authorizing person. This field is optional.</v>
      </c>
      <c r="B17" s="128"/>
    </row>
    <row r="18" spans="1:2" ht="39" customHeight="1">
      <c r="A18" s="135" t="str">
        <f ca="1">OFFSET(L!$C$1,MATCH("Instructions"&amp;ADDRESS(ROW(),COLUMN(),4),L!$A:$A,0)-1,SL,,)</f>
        <v>11. Insert the email address of the Authorizing person.  If an email address is not available, state ‘‘not available’’ or ‘‘n/a.’’ A blank field may cause an error in form implementation.  This field is mandatory.</v>
      </c>
      <c r="B18" s="128"/>
    </row>
    <row r="19" spans="1:2" ht="21" customHeight="1">
      <c r="A19" s="135" t="str">
        <f ca="1">OFFSET(L!$C$1,MATCH("Instructions"&amp;ADDRESS(ROW(),COLUMN(),4),L!$A:$A,0)-1,SL,,)</f>
        <v>12. Insert the telephone number for the Authorizing person. This field is mandatory.</v>
      </c>
      <c r="B19" s="128"/>
    </row>
    <row r="20" spans="1:2" ht="21.95" customHeight="1">
      <c r="A20" s="135" t="str">
        <f ca="1">OFFSET(L!$C$1,MATCH("Instructions"&amp;ADDRESS(ROW(),COLUMN(),4),L!$A:$A,0)-1,SL,,)</f>
        <v>13. Please enter the Date of Completion for this form using the format DD-MMM-YYYY.  This field is mandatory.</v>
      </c>
      <c r="B20" s="128"/>
    </row>
    <row r="21" spans="1:2" ht="30">
      <c r="A21" s="135" t="str">
        <f ca="1">OFFSET(L!$C$1,MATCH("Instructions"&amp;ADDRESS(ROW(),COLUMN(),4),L!$A:$A,0)-1,SL,,)</f>
        <v xml:space="preserve">14. As an example, the user may save the file name as:  companyname-date.xls (date as YYYY-MM-DD).  </v>
      </c>
      <c r="B21" s="128" t="s">
        <v>2553</v>
      </c>
    </row>
    <row r="22" spans="1:2" ht="15">
      <c r="A22" s="139"/>
      <c r="B22" s="128"/>
    </row>
    <row r="23" spans="1:2" ht="35.450000000000003" customHeight="1">
      <c r="A23" s="138" t="str">
        <f ca="1">OFFSET(L!$C$1,MATCH("Instructions"&amp;ADDRESS(ROW(),COLUMN(),4),L!$A:$A,0)-1,SL,,)</f>
        <v>Instructions for completing the seven Due Diligence Questions (rows 24 - 65).
Provide answers in ENGLISH only</v>
      </c>
      <c r="B23" s="128" t="s">
        <v>2553</v>
      </c>
    </row>
    <row r="24" spans="1:2" ht="77.45" customHeight="1">
      <c r="A24" s="13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28" t="s">
        <v>2556</v>
      </c>
    </row>
    <row r="25" spans="1:2" ht="77.45" customHeight="1">
      <c r="A25" s="13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and/or question 2 is positive, then  the subsequent questions shall be completed for that metal and the following due diligence questions (A to J) shall be completed about the company’s overall due diligence program.</v>
      </c>
      <c r="B25" s="128" t="s">
        <v>2553</v>
      </c>
    </row>
    <row r="26" spans="1:2" ht="195">
      <c r="A26" s="13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This response to this question serves to exclude any trace level contaminants such as tin in steel.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28" t="s">
        <v>2553</v>
      </c>
    </row>
    <row r="27" spans="1:2" ht="30">
      <c r="A27" s="135" t="str">
        <f ca="1">OFFSET(L!$C$1,MATCH("Instructions"&amp;ADDRESS(ROW(),COLUMN(),4),L!$A:$A,0)-1,SL,,)</f>
        <v>Some companies may require substantiation for a "No" answer that should be entered into the Comment Field.</v>
      </c>
      <c r="B27" s="128" t="s">
        <v>2553</v>
      </c>
    </row>
    <row r="28" spans="1:2" ht="169.5" customHeight="1">
      <c r="A28" s="135" t="str">
        <f ca="1">OFFSET(L!$C$1,MATCH("Instructions"&amp;ADDRESS(ROW(),COLUMN(),4),L!$A:$A,0)-1,SL,,)</f>
        <v xml:space="preserve">2. This is the second of two questions for which the response is used to determine whether the 3TG is within the scope of conflict minerals reporting requirements as described in the SEC’s final rules regarding the determination if a 3TG is “necessary to the production” of a product.  This question is separate and independent from the question and response to question 1.  This query is intended to identify 3TGs which are intentionally used in the manufacturing process of a product and where some amount of the 3TG remains in the finished product.  These 3TGs likely were not intended to become part of the final product nor are they likely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used during the manufacturing process, be completely removed during that process, the response to this question would be “no."
This question shall be answered for each 3TG. Valid answers to this question are either "yes" or "no". This question is mandatory. </v>
      </c>
      <c r="B28" s="128"/>
    </row>
    <row r="29" spans="1:2" ht="90">
      <c r="A29" s="135" t="str">
        <f ca="1">OFFSET(L!$C$1,MATCH("Instructions"&amp;ADDRESS(ROW(),COLUMN(),4),L!$A:$A,0)-1,SL,,)</f>
        <v>3. This is a declaration that any portion of the 3TGs contained in a product or multiple products originates from the DRC or an adjoining country (covered countries). 
The answer to this query shall be "yes", "no", or "unknown".
This question is mandatory for a specific metal if the response to Question 1 or 2 is “Yes” for that metal.</v>
      </c>
      <c r="B29" s="128" t="s">
        <v>2553</v>
      </c>
    </row>
    <row r="30" spans="1:2" ht="135">
      <c r="A30" s="135" t="str">
        <f ca="1">OFFSET(L!$C$1,MATCH("Instructions"&amp;ADDRESS(ROW(),COLUMN(),4),L!$A:$A,0)-1,SL,,)</f>
        <v xml:space="preserve">4. This is a declaration that identifies whether 3TGs contained in the product(s) necessary to the functionality of that product(s) originate from recycled or scrap sources. 
The answer to this query shall be "yes", "no", or "unknown". This question is mandatory for a specific metal if the response to Question 1 or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28" t="s">
        <v>2553</v>
      </c>
    </row>
    <row r="31" spans="1:2" ht="180">
      <c r="A31" s="135" t="str">
        <f ca="1">OFFSET(L!$C$1,MATCH("Instructions"&amp;ADDRESS(ROW(),COLUMN(),4),L!$A:$A,0)-1,SL,,)</f>
        <v>5. This is a declaration to determine whether a company has received conflict minerals disclosures from all direct suppliers reasonably believed to be providing 3TGs contained in the products covered by the scope of this declaration. Permissible responses to this question are:
­ Yes, 100%
­ No, but greater than 75%
­ No, but greater than 50%
­ No, but greater than 25%
­ No, but less than 25%
­ None
This question is mandatory for a specific metal if the response to Question 1 or 2 is “Yes” for that metal.</v>
      </c>
      <c r="B31" s="128" t="s">
        <v>2556</v>
      </c>
    </row>
    <row r="32" spans="1:2" ht="53.1" customHeight="1">
      <c r="A32" s="135" t="str">
        <f ca="1">OFFSET(L!$C$1,MATCH("Instructions"&amp;ADDRESS(ROW(),COLUMN(),4),L!$A:$A,0)-1,SL,,)</f>
        <v>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or 2 is “Yes” for that metal.</v>
      </c>
      <c r="B32" s="128"/>
    </row>
    <row r="33" spans="1:3" ht="71.45" customHeight="1">
      <c r="A33" s="135" t="str">
        <f ca="1">OFFSET(L!$C$1,MATCH("Instructions"&amp;ADDRESS(ROW(),COLUMN(),4),L!$A:$A,0)-1,SL,,)</f>
        <v>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or 2 is “Yes” for that metal.</v>
      </c>
      <c r="B33" s="128" t="s">
        <v>2553</v>
      </c>
    </row>
    <row r="34" spans="1:3" ht="24.95" customHeight="1">
      <c r="A34" s="135" t="str">
        <f ca="1">OFFSET(L!$C$1,MATCH("Instructions"&amp;ADDRESS(ROW(),COLUMN(),4),L!$A:$A,0)-1,SL,,)</f>
        <v>Provide comments in the Comment sections as required to clarify your responses.</v>
      </c>
      <c r="B34" s="128"/>
    </row>
    <row r="35" spans="1:3" ht="15">
      <c r="A35" s="139"/>
      <c r="B35" s="128"/>
    </row>
    <row r="36" spans="1:3" ht="60" customHeight="1">
      <c r="A36" s="138" t="str">
        <f ca="1">OFFSET(L!$C$1,MATCH("Instructions"&amp;ADDRESS(ROW(),COLUMN(),4),L!$A:$A,0)-1,SL,,)</f>
        <v>Instructions for completing Questions A. – J. (rows 69 - 87).  Questions A. through J. are mandatory if the response to Question 1 or 2 is “Yes” for any metal.
Provide answers in ENGLISH only</v>
      </c>
      <c r="B36" s="128" t="s">
        <v>2553</v>
      </c>
    </row>
    <row r="37" spans="1:3" ht="102.75" customHeight="1">
      <c r="A37" s="13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J.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28" t="s">
        <v>2555</v>
      </c>
      <c r="C37"/>
    </row>
    <row r="38" spans="1:3" ht="21.6" customHeight="1">
      <c r="A38" s="135" t="str">
        <f ca="1">OFFSET(L!$C$1,MATCH("Instructions"&amp;ADDRESS(ROW(),COLUMN(),4),L!$A:$A,0)-1,SL,,)</f>
        <v xml:space="preserve">A. Please answer “Yes” or “No”.  Provide any comments, if necessary. </v>
      </c>
      <c r="B38" s="128"/>
    </row>
    <row r="39" spans="1:3" ht="21.95" customHeight="1">
      <c r="A39" s="135" t="str">
        <f ca="1">OFFSET(L!$C$1,MATCH("Instructions"&amp;ADDRESS(ROW(),COLUMN(),4),L!$A:$A,0)-1,SL,,)</f>
        <v>B. Please answer “Yes” or “No” If “Yes”, provide the web link in the comments section.</v>
      </c>
      <c r="B39" s="128"/>
    </row>
    <row r="40" spans="1:3" ht="36" customHeight="1">
      <c r="A40" s="135" t="str">
        <f ca="1">OFFSET(L!$C$1,MATCH("Instructions"&amp;ADDRESS(ROW(),COLUMN(),4),L!$A:$A,0)-1,SL,,)</f>
        <v>C. Please answer “Yes” or “No”.  Provide any comments if necessary.  See Definitions worksheet for definition of "DRC conflict-free".</v>
      </c>
      <c r="B40" s="128" t="s">
        <v>2558</v>
      </c>
    </row>
    <row r="41" spans="1:3" ht="45">
      <c r="A41" s="135" t="str">
        <f ca="1">OFFSET(L!$C$1,MATCH("Instructions"&amp;ADDRESS(ROW(),COLUMN(),4),L!$A:$A,0)-1,SL,,)</f>
        <v>D. This is a declaration to determine whether a company requires their direct suppliers to source 3TG from validated, conflict free smelters. The answer to this query shall be "yes" or "no". This question is mandatory.</v>
      </c>
      <c r="B41" s="128" t="s">
        <v>2556</v>
      </c>
    </row>
    <row r="42" spans="1:3" ht="154.5" customHeight="1">
      <c r="A42" s="135"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28" t="s">
        <v>2557</v>
      </c>
    </row>
    <row r="43" spans="1:3" ht="45">
      <c r="A43" s="135" t="str">
        <f ca="1">OFFSET(L!$C$1,MATCH("Instructions"&amp;ADDRESS(ROW(),COLUMN(),4),L!$A:$A,0)-1,SL,,)</f>
        <v>F. This is a declaration to disclose whether a company requests their supplier to fill out a conflict minerals declaration. The answer to this query shall be "yes" or "no" along with a comment in certain cases, i.e., to provide the format used for collecting information. This question is mandatory.</v>
      </c>
      <c r="B43" s="128" t="s">
        <v>2553</v>
      </c>
    </row>
    <row r="44" spans="1:3" ht="20.45" customHeight="1">
      <c r="A44" s="135" t="str">
        <f ca="1">OFFSET(L!$C$1,MATCH("Instructions"&amp;ADDRESS(ROW(),COLUMN(),4),L!$A:$A,0)-1,SL,,)</f>
        <v>G. Please answer “Yes” or “No”.  Provide any comments, if necessary.</v>
      </c>
      <c r="B44" s="128"/>
    </row>
    <row r="45" spans="1:3" ht="120">
      <c r="A45" s="135"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v>
      </c>
      <c r="B45" s="128" t="s">
        <v>2554</v>
      </c>
    </row>
    <row r="46" spans="1:3" ht="30">
      <c r="A46" s="135" t="str">
        <f ca="1">OFFSET(L!$C$1,MATCH("Instructions"&amp;ADDRESS(ROW(),COLUMN(),4),L!$A:$A,0)-1,SL,,)</f>
        <v>I. Please answer “Yes” or “No”.  If “Yes”, please describe how you manage your corrective action process.</v>
      </c>
      <c r="B46" s="128" t="s">
        <v>2553</v>
      </c>
    </row>
    <row r="47" spans="1:3" ht="45">
      <c r="A47" s="135" t="str">
        <f ca="1">OFFSET(L!$C$1,MATCH("Instructions"&amp;ADDRESS(ROW(),COLUMN(),4),L!$A:$A,0)-1,SL,,)</f>
        <v>J. Please answer “Yes” or “No”.  The SEC conflict minerals disclosure requirements apply to US exchange-traded companies that are subject to the US Securities Exchange Act. For more information please refer to www.sec.gov.</v>
      </c>
      <c r="B47" s="128" t="s">
        <v>2556</v>
      </c>
    </row>
    <row r="48" spans="1:3" ht="15">
      <c r="A48" s="139"/>
      <c r="B48" s="128"/>
    </row>
    <row r="49" spans="1:2" ht="38.450000000000003" customHeight="1">
      <c r="A49" s="138" t="str">
        <f ca="1">OFFSET(L!$C$1,MATCH("Instructions"&amp;ADDRESS(ROW(),COLUMN(),4),L!$A:$A,0)-1,SL,,)</f>
        <v>Instructions for completing the Smelter List Tab.
Provide answers in ENGLISH only</v>
      </c>
      <c r="B49" s="128" t="s">
        <v>2553</v>
      </c>
    </row>
    <row r="50" spans="1:2" ht="23.1" customHeight="1">
      <c r="A50" s="135" t="str">
        <f ca="1">OFFSET(L!$C$1,MATCH("Instructions"&amp;ADDRESS(ROW(),COLUMN(),4),L!$A:$A,0)-1,SL,,)</f>
        <v>Note:  Columns with (*) are mandatory fields</v>
      </c>
      <c r="B50" s="128"/>
    </row>
    <row r="51" spans="1:2" ht="60">
      <c r="A51" s="135" t="str">
        <f ca="1">OFFSET(L!$C$1,MATCH("Instructions"&amp;ADDRESS(ROW(),COLUMN(),4),L!$A:$A,0)-1,SL,,)</f>
        <v>This template allows for smelter identification using the Smelter Reference List. Columns B,C,D and E must be completed in order from left to right to utilize the Smelter Reference List feature.
Use a separate line for each metal/smelter/country combination</v>
      </c>
      <c r="B51" s="128" t="s">
        <v>2552</v>
      </c>
    </row>
    <row r="52" spans="1:2" ht="43.5" customHeight="1">
      <c r="A52" s="135" t="str">
        <f ca="1">OFFSET(L!$C$1,MATCH("Instructions"&amp;ADDRESS(ROW(),COLUMN(),4),L!$A:$A,0)-1,SL,,)</f>
        <v>1. Smelter Identification Input Column - If you know the Smelter Identification Number, input the number in Column A (columns B, C, D, E, F, G, I, and J will auto-populate).  Column A does not autopopulate.</v>
      </c>
      <c r="B52" s="128" t="s">
        <v>2553</v>
      </c>
    </row>
    <row r="53" spans="1:2" ht="25.5" customHeight="1">
      <c r="A53" s="135" t="str">
        <f ca="1">OFFSET(L!$C$1,MATCH("Instructions"&amp;ADDRESS(ROW(),COLUMN(),4),L!$A:$A,0)-1,SL,,)</f>
        <v>2. Metal (*)   -   Use the pull down menu to select the metal for which you are entering smelter information.  This field is mandatory.</v>
      </c>
      <c r="B53" s="128"/>
    </row>
    <row r="54" spans="1:2" ht="66.95" customHeight="1">
      <c r="A54" s="227" t="str">
        <f ca="1">OFFSET(L!$C$1,MATCH("Instructions"&amp;ADDRESS(ROW(),COLUMN(),4),L!$A:$A,0)-1,SL,,)</f>
        <v>3. Smelter Reference List(*)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4" s="128" t="s">
        <v>2553</v>
      </c>
    </row>
    <row r="55" spans="1:2" ht="60">
      <c r="A55" s="135" t="str">
        <f ca="1">OFFSET(L!$C$1,MATCH("Instructions"&amp;ADDRESS(ROW(),COLUMN(),4),L!$A:$A,0)-1,SL,,)</f>
        <v>4. Smelter Name (*)- Fill in smelter name if you selected "Smelter Not Listed" in column C.  This field will auto-populate when a smelter name in selected in Column C.  This field is mandatory.</v>
      </c>
      <c r="B55" s="128" t="s">
        <v>2552</v>
      </c>
    </row>
    <row r="56" spans="1:2" ht="62.1" customHeight="1">
      <c r="A56" s="13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6" s="128" t="s">
        <v>2558</v>
      </c>
    </row>
    <row r="57" spans="1:2" ht="60">
      <c r="A57" s="13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7" s="128" t="s">
        <v>2552</v>
      </c>
    </row>
    <row r="58" spans="1:2" ht="60">
      <c r="A58" s="13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8" s="128" t="s">
        <v>2552</v>
      </c>
    </row>
    <row r="59" spans="1:2" ht="37.5" customHeight="1">
      <c r="A59" s="135" t="str">
        <f ca="1">OFFSET(L!$C$1,MATCH("Instructions"&amp;ADDRESS(ROW(),COLUMN(),4),L!$A:$A,0)-1,SL,,)</f>
        <v>8. Smelter Street -  Provide the street name on which the smelter is located. This field is optional.</v>
      </c>
      <c r="B59" s="128" t="s">
        <v>2552</v>
      </c>
    </row>
    <row r="60" spans="1:2" ht="30">
      <c r="A60" s="135" t="str">
        <f ca="1">OFFSET(L!$C$1,MATCH("Instructions"&amp;ADDRESS(ROW(),COLUMN(),4),L!$A:$A,0)-1,SL,,)</f>
        <v>9. Smelter City – Provide the city name of where the smelter is located. This field is optional.</v>
      </c>
      <c r="B60" s="128" t="s">
        <v>2553</v>
      </c>
    </row>
    <row r="61" spans="1:2" ht="45">
      <c r="A61" s="135" t="str">
        <f ca="1">OFFSET(L!$C$1,MATCH("Instructions"&amp;ADDRESS(ROW(),COLUMN(),4),L!$A:$A,0)-1,SL,,)</f>
        <v>10.. Smelter Location: State/Province, if applicable – Provide the state or province where the smelter is located. This field is optional.</v>
      </c>
      <c r="B61" s="128" t="s">
        <v>2556</v>
      </c>
    </row>
    <row r="62" spans="1:2" ht="158.44999999999999" customHeight="1">
      <c r="A62" s="13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2" s="128" t="s">
        <v>2556</v>
      </c>
    </row>
    <row r="63" spans="1:2" ht="60">
      <c r="A63" s="13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3" s="128" t="s">
        <v>2552</v>
      </c>
    </row>
    <row r="64" spans="1:2" ht="80.45" customHeight="1">
      <c r="A64" s="13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accetable answer to this question.</v>
      </c>
      <c r="B64" s="128" t="s">
        <v>2552</v>
      </c>
    </row>
    <row r="65" spans="1:15" ht="95.1" customHeight="1">
      <c r="A65" s="13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accetable answer to this question.</v>
      </c>
      <c r="B65" s="128"/>
    </row>
    <row r="66" spans="1:15" ht="41.45" customHeight="1">
      <c r="A66" s="135" t="str">
        <f ca="1">OFFSET(L!$C$1,MATCH("Instructions"&amp;ADDRESS(ROW(),COLUMN(),4),L!$A:$A,0)-1,SL,,)</f>
        <v xml:space="preserve">15. Does 100% of the smelter’s feedstock originate from recycled or scrap sources?  - Please answer "Yes" if the smelter solely obtains inputs for its smelting process(es) from recycled or scrap sources. Answer "No" otherwise. </v>
      </c>
      <c r="B66" s="128"/>
    </row>
    <row r="67" spans="1:15" ht="39.950000000000003" customHeight="1">
      <c r="A67" s="135" t="str">
        <f ca="1">OFFSET(L!$C$1,MATCH("Instructions"&amp;ADDRESS(ROW(),COLUMN(),4),L!$A:$A,0)-1,SL,,)</f>
        <v>16. Comments – free form text field to enter any comments concerning the smelter.  Example: smelter is being acquired by Company YYY</v>
      </c>
      <c r="B67" s="128"/>
    </row>
    <row r="68" spans="1:15" s="28" customFormat="1" ht="15">
      <c r="A68" s="140"/>
      <c r="B68" s="128"/>
      <c r="C68" s="127"/>
      <c r="D68"/>
      <c r="E68"/>
      <c r="F68"/>
      <c r="G68"/>
      <c r="H68"/>
      <c r="I68"/>
      <c r="J68"/>
      <c r="K68"/>
      <c r="L68"/>
      <c r="M68"/>
      <c r="N68"/>
      <c r="O68"/>
    </row>
    <row r="69" spans="1:15" s="28" customFormat="1" ht="102.95" customHeight="1">
      <c r="A69" s="13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9" s="128"/>
      <c r="C69" s="127"/>
      <c r="D69"/>
      <c r="E69"/>
      <c r="F69"/>
      <c r="G69"/>
      <c r="H69"/>
      <c r="I69"/>
      <c r="J69"/>
      <c r="K69"/>
      <c r="L69"/>
      <c r="M69"/>
      <c r="N69"/>
      <c r="O69"/>
    </row>
    <row r="70" spans="1:15" s="28" customFormat="1" ht="15">
      <c r="A70" s="140"/>
      <c r="B70" s="128"/>
      <c r="C70" s="127"/>
      <c r="D70"/>
      <c r="E70"/>
      <c r="F70"/>
      <c r="G70"/>
      <c r="H70"/>
      <c r="I70"/>
      <c r="J70"/>
      <c r="K70"/>
      <c r="L70"/>
      <c r="M70"/>
      <c r="N70"/>
      <c r="O70"/>
    </row>
    <row r="71" spans="1:15" ht="30">
      <c r="A71" s="138" t="str">
        <f ca="1">OFFSET(L!$C$1,MATCH("Instructions"&amp;ADDRESS(ROW(),COLUMN(),4),L!$A:$A,0)-1,SL,,)</f>
        <v>TERMS AND CONDITIONS</v>
      </c>
      <c r="B71" s="128" t="s">
        <v>2553</v>
      </c>
    </row>
    <row r="72" spans="1:15" ht="165">
      <c r="A72" s="135"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72" s="128" t="s">
        <v>2559</v>
      </c>
    </row>
    <row r="73" spans="1:15" ht="90">
      <c r="A73" s="135" t="str">
        <f ca="1">OFFSET(L!$C$1,MATCH("Instructions"&amp;ADDRESS(ROW(),COLUMN(),4),L!$A:$A,0)-1,SL,,)</f>
        <v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v>
      </c>
      <c r="B73" s="128" t="s">
        <v>2557</v>
      </c>
    </row>
    <row r="74" spans="1:15" ht="75">
      <c r="A74" s="135"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4" s="128" t="s">
        <v>2558</v>
      </c>
    </row>
    <row r="75" spans="1:15" ht="165">
      <c r="A75" s="135"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5" s="128" t="s">
        <v>2559</v>
      </c>
    </row>
    <row r="76" spans="1:15" ht="60">
      <c r="A76" s="13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6" s="128" t="s">
        <v>2552</v>
      </c>
    </row>
    <row r="77" spans="1:15" ht="30">
      <c r="A77" s="135" t="str">
        <f ca="1">OFFSET(L!$C$1,MATCH("Instructions"&amp;ADDRESS(ROW(),COLUMN(),4),L!$A:$A,0)-1,SL,,)</f>
        <v xml:space="preserve">By accessing and using the List or any Tool, and in consideration thereof, the User agrees to the foregoing. </v>
      </c>
      <c r="B77" s="128" t="s">
        <v>2553</v>
      </c>
    </row>
    <row r="78" spans="1:15" ht="30">
      <c r="A78" s="135"/>
      <c r="B78" s="128" t="s">
        <v>870</v>
      </c>
    </row>
    <row r="79" spans="1:15" ht="15">
      <c r="A79" s="135" t="str">
        <f ca="1">OFFSET(L!$C$1,MATCH("General"&amp;"Cpy",L!$A:$A,0)-1,SL,,)</f>
        <v>© 2016 Conflict-Free Sourcing Initiative. All rights reserved.</v>
      </c>
      <c r="B79" s="129"/>
    </row>
    <row r="80" spans="1:15" ht="15">
      <c r="A80" s="136" t="s">
        <v>1955</v>
      </c>
      <c r="B80" s="129"/>
    </row>
    <row r="81" spans="1:1" ht="15">
      <c r="A81" s="192" t="s">
        <v>4754</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9"/>
  <hyperlinks>
    <hyperlink ref="A80"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baseColWidth="10" defaultColWidth="8.75" defaultRowHeight="12.75"/>
  <cols>
    <col min="1" max="1" width="1.625" style="127" customWidth="1"/>
    <col min="2" max="2" width="35.5" style="127" customWidth="1"/>
    <col min="3" max="3" width="105.5" style="127" customWidth="1"/>
    <col min="4" max="5" width="1.625" style="127" customWidth="1"/>
    <col min="6" max="6" width="4.5" style="127" customWidth="1"/>
    <col min="7" max="7" width="4.875" style="127" customWidth="1"/>
    <col min="8" max="16384" width="8.75" style="127"/>
  </cols>
  <sheetData>
    <row r="1" spans="1:5" ht="13.5" thickTop="1">
      <c r="A1" s="322"/>
      <c r="B1" s="323"/>
      <c r="C1" s="323"/>
      <c r="D1" s="324"/>
    </row>
    <row r="2" spans="1:5" ht="70.150000000000006" customHeight="1">
      <c r="A2" s="96"/>
      <c r="B2" s="190" t="str">
        <f ca="1">OFFSET(L!$C$1,MATCH("Definitions"&amp;ADDRESS(ROW(),COLUMN(),4),L!$A:$A,0)-1,SL,,)</f>
        <v>ITEM</v>
      </c>
      <c r="C2" s="190" t="str">
        <f ca="1">OFFSET(L!$C$1,MATCH("Definitions"&amp;ADDRESS(ROW(),COLUMN(),4),L!$A:$A,0)-1,SL,,)</f>
        <v>DEFINITION</v>
      </c>
      <c r="D2" s="326"/>
      <c r="E2" s="141"/>
    </row>
    <row r="3" spans="1:5" ht="45">
      <c r="A3" s="96"/>
      <c r="B3" s="82" t="str">
        <f ca="1">OFFSET(L!$C$1,MATCH("Definitions"&amp;ADDRESS(ROW(),COLUMN(),4),L!$A:$A,0)-1,SL,,)</f>
        <v>3TG</v>
      </c>
      <c r="C3" s="82" t="str">
        <f ca="1">OFFSET(L!$C$1,MATCH("Definitions"&amp;ADDRESS(ROW(),COLUMN(),4),L!$A:$A,0)-1,SL,,)</f>
        <v>Tantalum, tin, tungsten, gold</v>
      </c>
      <c r="D3" s="326"/>
      <c r="E3" s="142" t="s">
        <v>2561</v>
      </c>
    </row>
    <row r="4" spans="1:5" ht="64.5" customHeight="1">
      <c r="A4" s="96"/>
      <c r="B4" s="82" t="str">
        <f ca="1">OFFSET(L!$C$1,MATCH("Definitions"&amp;ADDRESS(ROW(),COLUMN(),4),L!$A:$A,0)-1,SL,,)</f>
        <v>Authorizer</v>
      </c>
      <c r="C4" s="8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6"/>
      <c r="E4" s="142"/>
    </row>
    <row r="5" spans="1:5" ht="153.75" customHeight="1">
      <c r="A5" s="96"/>
      <c r="B5" s="82" t="str">
        <f ca="1">OFFSET(L!$C$1,MATCH("Definitions"&amp;ADDRESS(ROW(),COLUMN(),4),L!$A:$A,0)-1,SL,,)</f>
        <v>CFSP Compliant Smelter List</v>
      </c>
      <c r="C5" s="82"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26"/>
      <c r="E5" s="142" t="s">
        <v>2562</v>
      </c>
    </row>
    <row r="6" spans="1:5" ht="78.75" customHeight="1">
      <c r="A6" s="96"/>
      <c r="B6" s="82" t="str">
        <f ca="1">OFFSET(L!$C$1,MATCH("Definitions"&amp;ADDRESS(ROW(),COLUMN(),4),L!$A:$A,0)-1,SL,,)</f>
        <v>Conflict-Free Smelter Program (CFSP)</v>
      </c>
      <c r="C6" s="82"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26"/>
      <c r="E6" s="142" t="s">
        <v>2562</v>
      </c>
    </row>
    <row r="7" spans="1:5" ht="188.25" customHeight="1">
      <c r="A7" s="96"/>
      <c r="B7" s="82" t="str">
        <f ca="1">OFFSET(L!$C$1,MATCH("Definitions"&amp;ADDRESS(ROW(),COLUMN(),4),L!$A:$A,0)-1,SL,,)</f>
        <v>Conflict-Free Sourcing Initiative</v>
      </c>
      <c r="C7" s="82"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26"/>
      <c r="E7" s="142" t="s">
        <v>2565</v>
      </c>
    </row>
    <row r="8" spans="1:5" ht="132" customHeight="1">
      <c r="A8" s="96"/>
      <c r="B8" s="82" t="str">
        <f ca="1">OFFSET(L!$C$1,MATCH("Definitions"&amp;ADDRESS(ROW(),COLUMN(),4),L!$A:$A,0)-1,SL,,)</f>
        <v>Conflict Mineral</v>
      </c>
      <c r="C8" s="8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26"/>
      <c r="E8" s="142" t="s">
        <v>2562</v>
      </c>
    </row>
    <row r="9" spans="1:5" ht="90.75" customHeight="1">
      <c r="A9" s="96"/>
      <c r="B9" s="82" t="str">
        <f ca="1">OFFSET(L!$C$1,MATCH("Definitions"&amp;ADDRESS(ROW(),COLUMN(),4),L!$A:$A,0)-1,SL,,)</f>
        <v>Covered Country(ies)</v>
      </c>
      <c r="C9" s="8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26"/>
      <c r="E9" s="142" t="s">
        <v>2561</v>
      </c>
    </row>
    <row r="10" spans="1:5" ht="110.25" customHeight="1">
      <c r="A10" s="96"/>
      <c r="B10" s="82" t="str">
        <f ca="1">OFFSET(L!$C$1,MATCH("Definitions"&amp;ADDRESS(ROW(),COLUMN(),4),L!$A:$A,0)-1,SL,,)</f>
        <v>Declaration Scope or Class</v>
      </c>
      <c r="C10" s="8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26"/>
      <c r="E10" s="142" t="s">
        <v>2561</v>
      </c>
    </row>
    <row r="11" spans="1:5" ht="59.25" customHeight="1">
      <c r="A11" s="96"/>
      <c r="B11" s="82" t="str">
        <f ca="1">OFFSET(L!$C$1,MATCH("Definitions"&amp;ADDRESS(ROW(),COLUMN(),4),L!$A:$A,0)-1,SL,,)</f>
        <v>Dodd-Frank</v>
      </c>
      <c r="C11" s="82" t="str">
        <f ca="1">OFFSET(L!$C$1,MATCH("Definitions"&amp;ADDRESS(ROW(),COLUMN(),4),L!$A:$A,0)-1,SL,,)</f>
        <v>2010 United States legislation, Dodd-Frank Wall Street Reform and Consumer Protection Act, Section 1502 (“Dodd-Frank”) (http://www.sec.gov/about/laws/wallstreetreform-cpa.pdf)</v>
      </c>
      <c r="D11" s="326"/>
      <c r="E11" s="142" t="s">
        <v>2561</v>
      </c>
    </row>
    <row r="12" spans="1:5" ht="30" customHeight="1">
      <c r="A12" s="96"/>
      <c r="B12" s="82" t="str">
        <f ca="1">OFFSET(L!$C$1,MATCH("Definitions"&amp;ADDRESS(ROW(),COLUMN(),4),L!$A:$A,0)-1,SL,,)</f>
        <v>DRC</v>
      </c>
      <c r="C12" s="82" t="str">
        <f ca="1">OFFSET(L!$C$1,MATCH("Definitions"&amp;ADDRESS(ROW(),COLUMN(),4),L!$A:$A,0)-1,SL,,)</f>
        <v>Democratic Republic of Congo</v>
      </c>
      <c r="D12" s="326"/>
      <c r="E12" s="142" t="s">
        <v>2563</v>
      </c>
    </row>
    <row r="13" spans="1:5" ht="76.5" customHeight="1">
      <c r="A13" s="96"/>
      <c r="B13" s="82" t="str">
        <f ca="1">OFFSET(L!$C$1,MATCH("Definitions"&amp;ADDRESS(ROW(),COLUMN(),4),L!$A:$A,0)-1,SL,,)</f>
        <v>DRC conflict-free</v>
      </c>
      <c r="C13" s="8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26"/>
      <c r="E13" s="142" t="s">
        <v>2561</v>
      </c>
    </row>
    <row r="14" spans="1:5" ht="24.75" customHeight="1">
      <c r="A14" s="96"/>
      <c r="B14" s="82" t="str">
        <f ca="1">OFFSET(L!$C$1,MATCH("Definitions"&amp;ADDRESS(ROW(),COLUMN(),4),L!$A:$A,0)-1,SL,,)</f>
        <v>EICC</v>
      </c>
      <c r="C14" s="82" t="str">
        <f ca="1">OFFSET(L!$C$1,MATCH("Definitions"&amp;ADDRESS(ROW(),COLUMN(),4),L!$A:$A,0)-1,SL,,)</f>
        <v>Electronic Industry Citizenship Coalition (www.eicc.info)</v>
      </c>
      <c r="D14" s="326"/>
      <c r="E14" s="142" t="s">
        <v>2561</v>
      </c>
    </row>
    <row r="15" spans="1:5" ht="33.75" customHeight="1">
      <c r="A15" s="96"/>
      <c r="B15" s="82" t="str">
        <f ca="1">OFFSET(L!$C$1,MATCH("Definitions"&amp;ADDRESS(ROW(),COLUMN(),4),L!$A:$A,0)-1,SL,,)</f>
        <v xml:space="preserve">GeSI </v>
      </c>
      <c r="C15" s="82" t="str">
        <f ca="1">OFFSET(L!$C$1,MATCH("Definitions"&amp;ADDRESS(ROW(),COLUMN(),4),L!$A:$A,0)-1,SL,,)</f>
        <v>Global e-Sustainability Initiative (www.gesi.org)</v>
      </c>
      <c r="D15" s="326"/>
      <c r="E15" s="142" t="s">
        <v>2561</v>
      </c>
    </row>
    <row r="16" spans="1:5" ht="84.75" customHeight="1">
      <c r="A16" s="96"/>
      <c r="B16" s="82" t="str">
        <f ca="1">OFFSET(L!$C$1,MATCH("Definitions"&amp;ADDRESS(ROW(),COLUMN(),4),L!$A:$A,0)-1,SL,,)</f>
        <v>Gold (Au) refiner (smelter)</v>
      </c>
      <c r="C16" s="82"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26"/>
      <c r="E16" s="142" t="s">
        <v>2561</v>
      </c>
    </row>
    <row r="17" spans="1:5" ht="96.75" customHeight="1">
      <c r="A17" s="96"/>
      <c r="B17" s="82" t="str">
        <f ca="1">OFFSET(L!$C$1,MATCH("Definitions"&amp;ADDRESS(ROW(),COLUMN(),4),L!$A:$A,0)-1,SL,,)</f>
        <v>Independent Third-Party Audit Firm</v>
      </c>
      <c r="C17" s="82"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26"/>
      <c r="E17" s="142" t="s">
        <v>2561</v>
      </c>
    </row>
    <row r="18" spans="1:5" ht="341.25" customHeight="1">
      <c r="A18" s="96"/>
      <c r="B18" s="82" t="str">
        <f ca="1">OFFSET(L!$C$1,MATCH("Definitions"&amp;ADDRESS(ROW(),COLUMN(),4),L!$A:$A,0)-1,SL,,)</f>
        <v>Intentionally added</v>
      </c>
      <c r="C18" s="8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26"/>
      <c r="E18" s="142"/>
    </row>
    <row r="19" spans="1:5" ht="153.75" customHeight="1">
      <c r="A19" s="96"/>
      <c r="B19" s="82" t="str">
        <f ca="1">OFFSET(L!$C$1,MATCH("Definitions"&amp;ADDRESS(ROW(),COLUMN(),4),L!$A:$A,0)-1,SL,,)</f>
        <v>IPC</v>
      </c>
      <c r="C19" s="8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26"/>
      <c r="E19" s="142"/>
    </row>
    <row r="20" spans="1:5" ht="93" customHeight="1">
      <c r="A20" s="96"/>
      <c r="B20" s="82" t="str">
        <f ca="1">OFFSET(L!$C$1,MATCH("Definitions"&amp;ADDRESS(ROW(),COLUMN(),4),L!$A:$A,0)-1,SL,,)</f>
        <v>IPC-1755 Conflict Minerals Data Exchange Standard</v>
      </c>
      <c r="C20" s="8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26"/>
      <c r="E20" s="142"/>
    </row>
    <row r="21" spans="1:5" ht="154.5" customHeight="1">
      <c r="A21" s="96"/>
      <c r="B21" s="82" t="str">
        <f ca="1">OFFSET(L!$C$1,MATCH("Definitions"&amp;ADDRESS(ROW(),COLUMN(),4),L!$A:$A,0)-1,SL,,)</f>
        <v>Necessary for the Functionality of a Product</v>
      </c>
      <c r="C21" s="8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26"/>
      <c r="E21" s="142"/>
    </row>
    <row r="22" spans="1:5" ht="168.75" customHeight="1">
      <c r="A22" s="96"/>
      <c r="B22" s="82" t="str">
        <f ca="1">OFFSET(L!$C$1,MATCH("Definitions"&amp;ADDRESS(ROW(),COLUMN(),4),L!$A:$A,0)-1,SL,,)</f>
        <v>Necessary for the Production of a Product</v>
      </c>
      <c r="C22" s="8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26"/>
      <c r="E22" s="142"/>
    </row>
    <row r="23" spans="1:5" ht="27.75" customHeight="1">
      <c r="A23" s="96"/>
      <c r="B23" s="82" t="str">
        <f ca="1">OFFSET(L!$C$1,MATCH("Definitions"&amp;ADDRESS(ROW(),COLUMN(),4),L!$A:$A,0)-1,SL,,)</f>
        <v>OECD</v>
      </c>
      <c r="C23" s="82" t="str">
        <f ca="1">OFFSET(L!$C$1,MATCH("Definitions"&amp;ADDRESS(ROW(),COLUMN(),4),L!$A:$A,0)-1,SL,,)</f>
        <v>Organisation for Economic Co-operation and Development</v>
      </c>
      <c r="D23" s="326"/>
      <c r="E23" s="142"/>
    </row>
    <row r="24" spans="1:5" ht="61.5" customHeight="1">
      <c r="A24" s="96"/>
      <c r="B24" s="82" t="str">
        <f ca="1">OFFSET(L!$C$1,MATCH("Definitions"&amp;ADDRESS(ROW(),COLUMN(),4),L!$A:$A,0)-1,SL,,)</f>
        <v>Product</v>
      </c>
      <c r="C24" s="82" t="str">
        <f ca="1">OFFSET(L!$C$1,MATCH("Definitions"&amp;ADDRESS(ROW(),COLUMN(),4),L!$A:$A,0)-1,SL,,)</f>
        <v>A company’s Product or Finished good is a material or item which has completed the final stage of manufacturing and/or processing and is available for distribution or sale to customers.</v>
      </c>
      <c r="D24" s="326"/>
      <c r="E24" s="142" t="s">
        <v>2561</v>
      </c>
    </row>
    <row r="25" spans="1:5" ht="117.75" customHeight="1">
      <c r="A25" s="96"/>
      <c r="B25" s="82" t="str">
        <f ca="1">OFFSET(L!$C$1,MATCH("Definitions"&amp;ADDRESS(ROW(),COLUMN(),4),L!$A:$A,0)-1,SL,,)</f>
        <v>Recycled or Scrap Sources</v>
      </c>
      <c r="C25" s="8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26"/>
      <c r="E25" s="142" t="s">
        <v>2563</v>
      </c>
    </row>
    <row r="26" spans="1:5" ht="30" customHeight="1">
      <c r="A26" s="96"/>
      <c r="B26" s="82" t="str">
        <f ca="1">OFFSET(L!$C$1,MATCH("Definitions"&amp;ADDRESS(ROW(),COLUMN(),4),L!$A:$A,0)-1,SL,,)</f>
        <v>SEC</v>
      </c>
      <c r="C26" s="82" t="str">
        <f ca="1">OFFSET(L!$C$1,MATCH("Definitions"&amp;ADDRESS(ROW(),COLUMN(),4),L!$A:$A,0)-1,SL,,)</f>
        <v>U.S. Securities and Exchange Commission (www.sec.gov)</v>
      </c>
      <c r="D26" s="326"/>
      <c r="E26" s="142" t="s">
        <v>2561</v>
      </c>
    </row>
    <row r="27" spans="1:5" ht="101.25" customHeight="1">
      <c r="A27" s="96"/>
      <c r="B27" s="82" t="str">
        <f ca="1">OFFSET(L!$C$1,MATCH("Definitions"&amp;ADDRESS(ROW(),COLUMN(),4),L!$A:$A,0)-1,SL,,)</f>
        <v>Smelter</v>
      </c>
      <c r="C27" s="8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6"/>
      <c r="E27" s="142" t="s">
        <v>2562</v>
      </c>
    </row>
    <row r="28" spans="1:5" ht="71.25" customHeight="1">
      <c r="A28" s="96"/>
      <c r="B28" s="82" t="str">
        <f ca="1">OFFSET(L!$C$1,MATCH("Definitions"&amp;ADDRESS(ROW(),COLUMN(),4),L!$A:$A,0)-1,SL,,)</f>
        <v>Smelter Identification Number</v>
      </c>
      <c r="C28" s="82"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26"/>
      <c r="E28" s="142" t="s">
        <v>2563</v>
      </c>
    </row>
    <row r="29" spans="1:5" ht="112.5" customHeight="1">
      <c r="A29" s="96"/>
      <c r="B29" s="82" t="str">
        <f ca="1">OFFSET(L!$C$1,MATCH("Definitions"&amp;ADDRESS(ROW(),COLUMN(),4),L!$A:$A,0)-1,SL,,)</f>
        <v>Tantalum (Ta) smelter</v>
      </c>
      <c r="C29" s="8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26"/>
      <c r="E29" s="142" t="s">
        <v>2564</v>
      </c>
    </row>
    <row r="30" spans="1:5" ht="121.5" customHeight="1">
      <c r="A30" s="96"/>
      <c r="B30" s="82" t="str">
        <f ca="1">OFFSET(L!$C$1,MATCH("Definitions"&amp;ADDRESS(ROW(),COLUMN(),4),L!$A:$A,0)-1,SL,,)</f>
        <v>Tin (Sn) smelter</v>
      </c>
      <c r="C30" s="8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26"/>
      <c r="E30" s="142"/>
    </row>
    <row r="31" spans="1:5" ht="129.75" customHeight="1">
      <c r="A31" s="96"/>
      <c r="B31" s="82" t="str">
        <f ca="1">OFFSET(L!$C$1,MATCH("Definitions"&amp;ADDRESS(ROW(),COLUMN(),4),L!$A:$A,0)-1,SL,,)</f>
        <v>Tungsten (W) smelter</v>
      </c>
      <c r="C31" s="8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26"/>
      <c r="E31" s="142"/>
    </row>
    <row r="32" spans="1:5" ht="21.75" customHeight="1">
      <c r="A32" s="96"/>
      <c r="B32" s="325" t="str">
        <f ca="1">OFFSET(L!$C$1,MATCH("General"&amp;"Cpy",L!$A:$A,0)-1,SL,,)</f>
        <v>© 2016 Conflict-Free Sourcing Initiative. All rights reserved.</v>
      </c>
      <c r="C32" s="325"/>
      <c r="D32" s="326"/>
      <c r="E32" s="142"/>
    </row>
    <row r="33" spans="1:4" ht="13.5" thickBot="1">
      <c r="A33" s="97"/>
      <c r="B33" s="221"/>
      <c r="C33" s="221"/>
      <c r="D33" s="327"/>
    </row>
    <row r="34" spans="1:4" ht="13.5" thickTop="1"/>
  </sheetData>
  <sheetProtection password="E985" sheet="1" objects="1" scenarios="1"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9"/>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3"/>
  <sheetViews>
    <sheetView showGridLines="0" showZeros="0" zoomScale="70" zoomScaleNormal="70" workbookViewId="0">
      <selection activeCell="D85" sqref="D85:E85"/>
    </sheetView>
  </sheetViews>
  <sheetFormatPr baseColWidth="10"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27" customWidth="1"/>
    <col min="13" max="15" width="4.875" style="127" customWidth="1"/>
    <col min="16" max="20" width="9.125" hidden="1" customWidth="1"/>
    <col min="21" max="24" width="9.125" customWidth="1"/>
    <col min="25" max="256" width="9" customWidth="1"/>
  </cols>
  <sheetData>
    <row r="1" spans="1:34" ht="15.75" thickTop="1">
      <c r="A1" s="358"/>
      <c r="B1" s="359"/>
      <c r="C1" s="359"/>
      <c r="D1" s="359"/>
      <c r="E1" s="359"/>
      <c r="F1" s="359"/>
      <c r="G1" s="359"/>
      <c r="H1" s="359"/>
      <c r="I1" s="359"/>
      <c r="J1" s="359"/>
      <c r="K1" s="360"/>
      <c r="L1" s="153"/>
      <c r="M1" s="144"/>
      <c r="N1" s="144"/>
      <c r="O1" s="145"/>
      <c r="P1" s="12"/>
      <c r="Q1" s="12"/>
      <c r="R1" s="12"/>
      <c r="S1" s="12"/>
      <c r="T1" s="12"/>
      <c r="U1" s="12"/>
      <c r="V1" s="12"/>
      <c r="W1" s="12"/>
      <c r="X1" s="12"/>
      <c r="Y1" s="12"/>
      <c r="Z1" s="12"/>
      <c r="AA1" s="12"/>
      <c r="AB1" s="12"/>
      <c r="AC1" s="12"/>
      <c r="AD1" s="12"/>
      <c r="AE1" s="12"/>
      <c r="AF1" s="12"/>
      <c r="AG1" s="12"/>
      <c r="AH1" s="12"/>
    </row>
    <row r="2" spans="1:34" ht="82.15" customHeight="1">
      <c r="A2" s="49"/>
      <c r="B2" s="189"/>
      <c r="C2" s="50"/>
      <c r="D2" s="361" t="str">
        <f ca="1">OFFSET(L!$C$1,MATCH("Declaration"&amp;ADDRESS(ROW(),COLUMN(),4),L!$A:$A,0)-1,SL,,)</f>
        <v>Conflict Minerals Reporting Template (CMRT)</v>
      </c>
      <c r="E2" s="362"/>
      <c r="F2" s="362"/>
      <c r="G2" s="362"/>
      <c r="H2" s="362"/>
      <c r="I2" s="362"/>
      <c r="J2" s="363"/>
      <c r="K2" s="51"/>
      <c r="L2" s="154"/>
      <c r="M2" s="146"/>
      <c r="N2" s="147"/>
      <c r="O2" s="147"/>
      <c r="P2" s="12"/>
      <c r="Q2" s="12"/>
      <c r="R2" s="12"/>
      <c r="S2" s="12"/>
      <c r="T2" s="12"/>
      <c r="U2" s="12"/>
      <c r="V2" s="12"/>
      <c r="W2" s="12"/>
      <c r="X2" s="12"/>
      <c r="Y2" s="12"/>
      <c r="Z2" s="12"/>
      <c r="AA2" s="12"/>
      <c r="AB2" s="12"/>
      <c r="AC2" s="12"/>
      <c r="AD2" s="12"/>
      <c r="AE2" s="12"/>
      <c r="AF2" s="12"/>
      <c r="AG2" s="12"/>
      <c r="AH2" s="12"/>
    </row>
    <row r="3" spans="1:34" ht="139.5" customHeight="1">
      <c r="A3" s="49"/>
      <c r="B3" s="188" t="s">
        <v>5008</v>
      </c>
      <c r="C3" s="18"/>
      <c r="D3" s="52" t="s">
        <v>1529</v>
      </c>
      <c r="E3" s="12"/>
      <c r="F3" s="372" t="e">
        <f ca="1">IF(AND($D$8="",$I$3=""),"",OFFSET(L!$C$1,MATCH("Declaration"&amp;ADDRESS(ROW(),COLUMN(),4),L!$A:$A,0)-1,SL,,))</f>
        <v>#REF!</v>
      </c>
      <c r="G3" s="372"/>
      <c r="H3" s="372"/>
      <c r="I3" s="220" t="e">
        <f ca="1">IF(AND(Checker!D2&lt;&gt;47,VALUE(Checker!D2)&gt;0),OFFSET(L!$C$1,MATCH("Declaration"&amp;ADDRESS(ROW(),COLUMN(),4),L!$A:$A,0)-1,SL,,),"")</f>
        <v>#REF!</v>
      </c>
      <c r="J3" s="191" t="s">
        <v>4755</v>
      </c>
      <c r="K3" s="51"/>
      <c r="L3" s="153"/>
      <c r="M3" s="144"/>
      <c r="N3" s="144"/>
      <c r="O3" s="145"/>
      <c r="P3" s="158">
        <f>MATCH($D$3,LN,0)</f>
        <v>1</v>
      </c>
    </row>
    <row r="4" spans="1:34" ht="15.75">
      <c r="A4" s="49"/>
      <c r="B4" s="367" t="str">
        <f ca="1">OFFSET(L!$C$1,MATCH("Declaration"&amp;ADDRESS(ROW(),COLUMN(),4),L!$A:$A,0)-1,SL,,)</f>
        <v>The purpose of this document is to collect sourcing information on tin, tantalum, tungsten and gold used in products</v>
      </c>
      <c r="C4" s="367"/>
      <c r="D4" s="367"/>
      <c r="E4" s="367"/>
      <c r="F4" s="367"/>
      <c r="G4" s="367"/>
      <c r="H4" s="367"/>
      <c r="I4" s="373" t="str">
        <f ca="1">OFFSET(L!$C$1,MATCH("Declaration"&amp;ADDRESS(ROW(),COLUMN(),4),L!$A:$A,0)-1,SL,,)</f>
        <v>Link to Terms &amp; Conditions</v>
      </c>
      <c r="J4" s="373"/>
      <c r="K4" s="51"/>
      <c r="L4" s="155"/>
      <c r="M4" s="144"/>
      <c r="N4" s="144"/>
      <c r="O4" s="145"/>
      <c r="P4" s="12"/>
      <c r="Q4" s="12"/>
      <c r="R4" s="12"/>
      <c r="S4" s="12"/>
      <c r="T4" s="12"/>
      <c r="U4" s="12"/>
      <c r="V4" s="12"/>
      <c r="W4" s="12"/>
      <c r="X4" s="12"/>
      <c r="Y4" s="12"/>
      <c r="Z4" s="12"/>
      <c r="AA4" s="12"/>
      <c r="AB4" s="12"/>
      <c r="AC4" s="12"/>
      <c r="AD4" s="12"/>
      <c r="AE4" s="12"/>
      <c r="AF4" s="12"/>
      <c r="AG4" s="12"/>
      <c r="AH4" s="12"/>
    </row>
    <row r="5" spans="1:34" ht="15">
      <c r="A5" s="187" t="str">
        <f>LEFT(D9,1)</f>
        <v>A</v>
      </c>
      <c r="B5" s="19"/>
      <c r="C5" s="19"/>
      <c r="D5" s="19"/>
      <c r="E5" s="19"/>
      <c r="F5" s="19"/>
      <c r="G5" s="19"/>
      <c r="H5" s="19"/>
      <c r="I5" s="19"/>
      <c r="J5" s="19"/>
      <c r="K5" s="51"/>
      <c r="L5" s="155"/>
      <c r="M5" s="148"/>
      <c r="N5" s="148"/>
      <c r="O5" s="148"/>
      <c r="P5" s="17"/>
      <c r="Q5" s="17"/>
      <c r="R5" s="17"/>
      <c r="S5" s="17"/>
      <c r="T5" s="17"/>
      <c r="U5" s="17"/>
      <c r="V5" s="17"/>
      <c r="W5" s="17"/>
      <c r="X5" s="17"/>
      <c r="Y5" s="17"/>
      <c r="Z5" s="17"/>
      <c r="AA5" s="17"/>
      <c r="AB5" s="17"/>
      <c r="AC5" s="17"/>
      <c r="AD5" s="17"/>
      <c r="AE5" s="17"/>
      <c r="AF5" s="17"/>
      <c r="AG5" s="17"/>
      <c r="AH5" s="17"/>
    </row>
    <row r="6" spans="1:34" ht="30">
      <c r="A6" s="49"/>
      <c r="B6" s="367" t="str">
        <f ca="1">OFFSET(L!$C$1,MATCH("Declaration"&amp;ADDRESS(ROW(),COLUMN(),4),L!$A:$A,0)-1,SL,,)</f>
        <v>Mandatory fields are noted with an asterisk (*).</v>
      </c>
      <c r="C6" s="367"/>
      <c r="D6" s="367"/>
      <c r="E6" s="367"/>
      <c r="F6" s="367"/>
      <c r="G6" s="367"/>
      <c r="H6" s="367"/>
      <c r="I6" s="367"/>
      <c r="J6" s="367"/>
      <c r="K6" s="51"/>
      <c r="L6" s="155" t="s">
        <v>872</v>
      </c>
      <c r="M6" s="144"/>
      <c r="N6" s="144"/>
      <c r="O6" s="145"/>
      <c r="P6" s="12"/>
      <c r="Q6" s="12"/>
      <c r="R6" s="12"/>
      <c r="S6" s="12"/>
      <c r="T6" s="12"/>
      <c r="U6" s="12"/>
      <c r="V6" s="12"/>
      <c r="W6" s="12"/>
      <c r="X6" s="12"/>
      <c r="Y6" s="12"/>
      <c r="Z6" s="12"/>
      <c r="AA6" s="12"/>
      <c r="AB6" s="12"/>
      <c r="AC6" s="12"/>
      <c r="AD6" s="12"/>
      <c r="AE6" s="12"/>
      <c r="AF6" s="12"/>
      <c r="AG6" s="12"/>
      <c r="AH6" s="12"/>
    </row>
    <row r="7" spans="1:34" ht="15.75">
      <c r="A7" s="49"/>
      <c r="B7" s="355" t="str">
        <f ca="1">OFFSET(L!$C$1,MATCH("Declaration"&amp;ADDRESS(ROW(),COLUMN(),4),L!$A:$A,0)-1,SL,,)</f>
        <v>Company Information</v>
      </c>
      <c r="C7" s="355"/>
      <c r="D7" s="355"/>
      <c r="E7" s="355"/>
      <c r="F7" s="355"/>
      <c r="G7" s="355"/>
      <c r="H7" s="355"/>
      <c r="I7" s="355"/>
      <c r="J7" s="355"/>
      <c r="K7" s="51"/>
      <c r="L7" s="155"/>
      <c r="M7" s="144"/>
      <c r="N7" s="144"/>
      <c r="O7" s="145"/>
      <c r="P7" s="12"/>
      <c r="Q7" s="12"/>
      <c r="R7" s="12"/>
      <c r="S7" s="12"/>
      <c r="T7" s="12"/>
      <c r="U7" s="12"/>
      <c r="V7" s="12"/>
      <c r="W7" s="12"/>
      <c r="X7" s="12"/>
      <c r="Y7" s="12"/>
      <c r="Z7" s="12"/>
      <c r="AA7" s="12"/>
      <c r="AB7" s="12"/>
      <c r="AC7" s="12"/>
      <c r="AD7" s="12"/>
      <c r="AE7" s="12"/>
      <c r="AF7" s="12"/>
      <c r="AG7" s="12"/>
      <c r="AH7" s="12"/>
    </row>
    <row r="8" spans="1:34" ht="15.75">
      <c r="A8" s="53"/>
      <c r="B8" s="95" t="str">
        <f ca="1">OFFSET(L!$C$1,MATCH("Declaration"&amp;ADDRESS(ROW(),COLUMN(),4),L!$A:$A,0)-1,SL,,)</f>
        <v>Company Name (*):</v>
      </c>
      <c r="C8" s="98"/>
      <c r="D8" s="364" t="s">
        <v>5010</v>
      </c>
      <c r="E8" s="365"/>
      <c r="F8" s="365"/>
      <c r="G8" s="365"/>
      <c r="H8" s="365"/>
      <c r="I8" s="365"/>
      <c r="J8" s="366"/>
      <c r="K8" s="54"/>
      <c r="L8" s="155"/>
      <c r="M8" s="144"/>
      <c r="N8" s="144"/>
      <c r="O8" s="145"/>
      <c r="P8" s="12"/>
      <c r="Q8" s="12"/>
      <c r="R8" s="12"/>
      <c r="S8" s="12"/>
      <c r="T8" s="12"/>
      <c r="U8" s="12"/>
      <c r="V8" s="12"/>
      <c r="W8" s="12"/>
      <c r="X8" s="12"/>
      <c r="Y8" s="12"/>
      <c r="Z8" s="12"/>
      <c r="AA8" s="12"/>
      <c r="AB8" s="12"/>
      <c r="AC8" s="12"/>
      <c r="AD8" s="12"/>
      <c r="AE8" s="12"/>
      <c r="AF8" s="12"/>
      <c r="AG8" s="12"/>
      <c r="AH8" s="12"/>
    </row>
    <row r="9" spans="1:34" ht="15.75">
      <c r="A9" s="53"/>
      <c r="B9" s="95" t="str">
        <f ca="1">OFFSET(L!$C$1,MATCH("Declaration"&amp;ADDRESS(ROW(),COLUMN(),4),L!$A:$A,0)-1,SL,,)</f>
        <v>Declaration Scope or Class (*):</v>
      </c>
      <c r="C9" s="98"/>
      <c r="D9" s="352" t="s">
        <v>935</v>
      </c>
      <c r="E9" s="353"/>
      <c r="F9" s="353"/>
      <c r="G9" s="354"/>
      <c r="H9" s="55"/>
      <c r="I9" s="55"/>
      <c r="J9" s="55"/>
      <c r="K9" s="51"/>
      <c r="L9" s="155"/>
      <c r="M9" s="144"/>
      <c r="N9" s="144"/>
      <c r="O9" s="145"/>
      <c r="P9" s="158" t="s">
        <v>935</v>
      </c>
      <c r="Q9" s="158" t="s">
        <v>936</v>
      </c>
      <c r="R9" s="158" t="s">
        <v>937</v>
      </c>
      <c r="S9" s="158"/>
      <c r="T9" s="45"/>
      <c r="U9" s="12"/>
      <c r="V9" s="12"/>
      <c r="W9" s="12"/>
      <c r="X9" s="12"/>
      <c r="Y9" s="12"/>
      <c r="Z9" s="12"/>
      <c r="AA9" s="12"/>
      <c r="AB9" s="12"/>
      <c r="AC9" s="12"/>
      <c r="AD9" s="12"/>
      <c r="AE9" s="12"/>
      <c r="AF9" s="12"/>
      <c r="AG9" s="12"/>
      <c r="AH9" s="12"/>
    </row>
    <row r="10" spans="1:34" ht="32.450000000000003" customHeight="1">
      <c r="A10" s="53"/>
      <c r="B10" s="356" t="str">
        <f ca="1">OFFSET(L!$C$1,MATCH("Declaration"&amp;ADDRESS(ROW(),COLUMN(),4)&amp;LEFT($D$9,1),L!$A:$A,0)-1,SL,,)</f>
        <v>Description of Scope:</v>
      </c>
      <c r="C10" s="169"/>
      <c r="D10" s="368"/>
      <c r="E10" s="369"/>
      <c r="F10" s="369"/>
      <c r="G10" s="369"/>
      <c r="H10" s="369"/>
      <c r="I10" s="369"/>
      <c r="J10" s="370"/>
      <c r="K10" s="51"/>
      <c r="L10" s="155"/>
      <c r="M10" s="144"/>
      <c r="N10" s="144"/>
      <c r="O10" s="145"/>
      <c r="Q10" s="12"/>
      <c r="R10" s="12"/>
      <c r="S10" s="12"/>
      <c r="T10" s="12"/>
      <c r="U10" s="12"/>
      <c r="V10" s="12"/>
      <c r="W10" s="12"/>
      <c r="X10" s="12"/>
      <c r="Y10" s="12"/>
      <c r="Z10" s="12"/>
      <c r="AA10" s="12"/>
      <c r="AB10" s="12"/>
      <c r="AC10" s="12"/>
      <c r="AD10" s="12"/>
      <c r="AE10" s="12"/>
      <c r="AF10" s="12"/>
      <c r="AG10" s="12"/>
      <c r="AH10" s="12"/>
    </row>
    <row r="11" spans="1:34" ht="15.75">
      <c r="A11" s="53"/>
      <c r="B11" s="357"/>
      <c r="C11" s="169"/>
      <c r="D11" s="374" t="str">
        <f ca="1">IF(D9=Q9,OFFSET(L!$C$1,MATCH("Declaration"&amp;ADDRESS(ROW(),COLUMN(),4),L!$A:$A,0)-1,SL,,),"")</f>
        <v/>
      </c>
      <c r="E11" s="375"/>
      <c r="F11" s="375"/>
      <c r="G11" s="375"/>
      <c r="H11" s="375"/>
      <c r="I11" s="375"/>
      <c r="J11" s="376"/>
      <c r="K11" s="51"/>
      <c r="L11" s="155"/>
      <c r="M11" s="144"/>
      <c r="N11" s="144"/>
      <c r="O11" s="145"/>
      <c r="Q11" s="12"/>
      <c r="R11" s="12"/>
      <c r="S11" s="12"/>
      <c r="T11" s="12"/>
      <c r="U11" s="12"/>
      <c r="V11" s="12"/>
      <c r="W11" s="12"/>
      <c r="X11" s="12"/>
      <c r="Y11" s="12"/>
      <c r="Z11" s="12"/>
      <c r="AA11" s="12"/>
      <c r="AB11" s="12"/>
      <c r="AC11" s="12"/>
      <c r="AD11" s="12"/>
      <c r="AE11" s="12"/>
      <c r="AF11" s="12"/>
      <c r="AG11" s="12"/>
      <c r="AH11" s="12"/>
    </row>
    <row r="12" spans="1:34" ht="15.75">
      <c r="A12" s="53"/>
      <c r="B12" s="56" t="str">
        <f ca="1">OFFSET(L!$C$1,MATCH("Declaration"&amp;ADDRESS(ROW(),COLUMN(),4),L!$A:$A,0)-1,SL,,)</f>
        <v>Company Unique ID:</v>
      </c>
      <c r="C12" s="99"/>
      <c r="D12" s="340"/>
      <c r="E12" s="341"/>
      <c r="F12" s="341"/>
      <c r="G12" s="341"/>
      <c r="H12" s="341"/>
      <c r="I12" s="341"/>
      <c r="J12" s="342"/>
      <c r="K12" s="51"/>
      <c r="L12" s="155"/>
      <c r="M12" s="144"/>
      <c r="N12" s="144"/>
      <c r="O12" s="145"/>
      <c r="Q12" s="12"/>
      <c r="R12" s="12"/>
      <c r="S12" s="12"/>
      <c r="T12" s="12"/>
      <c r="U12" s="12"/>
      <c r="V12" s="12"/>
      <c r="W12" s="12"/>
      <c r="X12" s="12"/>
      <c r="Y12" s="12"/>
      <c r="Z12" s="12"/>
      <c r="AA12" s="12"/>
      <c r="AB12" s="12"/>
      <c r="AC12" s="12"/>
      <c r="AD12" s="12"/>
      <c r="AE12" s="12"/>
      <c r="AF12" s="12"/>
      <c r="AG12" s="12"/>
      <c r="AH12" s="12"/>
    </row>
    <row r="13" spans="1:34" ht="15.75">
      <c r="A13" s="53"/>
      <c r="B13" s="56" t="str">
        <f ca="1">OFFSET(L!$C$1,MATCH("Declaration"&amp;ADDRESS(ROW(),COLUMN(),4),L!$A:$A,0)-1,SL,,)</f>
        <v>Company Unique ID Authority:</v>
      </c>
      <c r="C13" s="99"/>
      <c r="D13" s="333"/>
      <c r="E13" s="371"/>
      <c r="F13" s="371"/>
      <c r="G13" s="371"/>
      <c r="H13" s="371"/>
      <c r="I13" s="371"/>
      <c r="J13" s="334"/>
      <c r="K13" s="51"/>
      <c r="L13" s="155"/>
      <c r="M13" s="144"/>
      <c r="N13" s="144"/>
      <c r="O13" s="145"/>
      <c r="Q13" s="12"/>
      <c r="R13" s="12"/>
      <c r="S13" s="12"/>
      <c r="T13" s="12"/>
      <c r="U13" s="12"/>
      <c r="V13" s="12"/>
      <c r="W13" s="12"/>
      <c r="X13" s="12"/>
      <c r="Y13" s="12"/>
      <c r="Z13" s="12"/>
      <c r="AA13" s="12"/>
      <c r="AB13" s="12"/>
      <c r="AC13" s="12"/>
      <c r="AD13" s="12"/>
      <c r="AE13" s="12"/>
      <c r="AF13" s="12"/>
      <c r="AG13" s="12"/>
      <c r="AH13" s="12"/>
    </row>
    <row r="14" spans="1:34" ht="15.75">
      <c r="A14" s="53"/>
      <c r="B14" s="56" t="str">
        <f ca="1">OFFSET(L!$C$1,MATCH("Declaration"&amp;ADDRESS(ROW(),COLUMN(),4),L!$A:$A,0)-1,SL,,)</f>
        <v>Address:</v>
      </c>
      <c r="C14" s="99"/>
      <c r="D14" s="333"/>
      <c r="E14" s="371"/>
      <c r="F14" s="371"/>
      <c r="G14" s="371"/>
      <c r="H14" s="371"/>
      <c r="I14" s="371"/>
      <c r="J14" s="334"/>
      <c r="K14" s="51"/>
      <c r="L14" s="155"/>
      <c r="M14" s="144"/>
      <c r="N14" s="144"/>
      <c r="O14" s="145"/>
      <c r="Q14" s="12"/>
      <c r="R14" s="12"/>
      <c r="S14" s="12"/>
      <c r="T14" s="12"/>
      <c r="U14" s="12"/>
      <c r="V14" s="12"/>
      <c r="W14" s="12"/>
      <c r="X14" s="12"/>
      <c r="Y14" s="12"/>
      <c r="Z14" s="12"/>
      <c r="AA14" s="12"/>
      <c r="AB14" s="12"/>
      <c r="AC14" s="12"/>
      <c r="AD14" s="12"/>
      <c r="AE14" s="12"/>
      <c r="AF14" s="12"/>
      <c r="AG14" s="12"/>
      <c r="AH14" s="12"/>
    </row>
    <row r="15" spans="1:34" ht="15.75">
      <c r="A15" s="53"/>
      <c r="B15" s="56" t="str">
        <f ca="1">OFFSET(L!$C$1,MATCH("Declaration"&amp;ADDRESS(ROW(),COLUMN(),4),L!$A:$A,0)-1,SL,,)</f>
        <v>Contact Name (*):</v>
      </c>
      <c r="C15" s="99"/>
      <c r="D15" s="343" t="s">
        <v>5011</v>
      </c>
      <c r="E15" s="344"/>
      <c r="F15" s="344"/>
      <c r="G15" s="344"/>
      <c r="H15" s="344"/>
      <c r="I15" s="344"/>
      <c r="J15" s="345"/>
      <c r="K15" s="51"/>
      <c r="L15" s="155"/>
      <c r="M15" s="144"/>
      <c r="N15" s="144"/>
      <c r="O15" s="145"/>
      <c r="Q15" s="12"/>
      <c r="R15" s="12"/>
      <c r="S15" s="12"/>
      <c r="T15" s="12"/>
      <c r="U15" s="12"/>
      <c r="V15" s="12"/>
      <c r="W15" s="12"/>
      <c r="X15" s="12"/>
      <c r="Y15" s="12"/>
      <c r="Z15" s="12"/>
      <c r="AA15" s="12"/>
      <c r="AB15" s="12"/>
      <c r="AC15" s="12"/>
      <c r="AD15" s="12"/>
      <c r="AE15" s="12"/>
      <c r="AF15" s="12"/>
      <c r="AG15" s="12"/>
      <c r="AH15" s="12"/>
    </row>
    <row r="16" spans="1:34" ht="15.75">
      <c r="A16" s="53"/>
      <c r="B16" s="56" t="str">
        <f ca="1">OFFSET(L!$C$1,MATCH("Declaration"&amp;ADDRESS(ROW(),COLUMN(),4),L!$A:$A,0)-1,SL,,)</f>
        <v>Email – Contact (*):</v>
      </c>
      <c r="C16" s="99"/>
      <c r="D16" s="384" t="s">
        <v>5012</v>
      </c>
      <c r="E16" s="385"/>
      <c r="F16" s="385"/>
      <c r="G16" s="385"/>
      <c r="H16" s="385"/>
      <c r="I16" s="385"/>
      <c r="J16" s="386"/>
      <c r="K16" s="51"/>
      <c r="L16" s="155"/>
      <c r="M16" s="144"/>
      <c r="N16" s="144"/>
      <c r="O16" s="145"/>
      <c r="Q16" s="12"/>
      <c r="R16" s="12"/>
      <c r="S16" s="12"/>
      <c r="T16" s="12"/>
      <c r="U16" s="12"/>
      <c r="V16" s="12"/>
      <c r="W16" s="12"/>
      <c r="X16" s="12"/>
      <c r="Y16" s="12"/>
      <c r="Z16" s="12"/>
      <c r="AA16" s="12"/>
      <c r="AB16" s="12"/>
      <c r="AC16" s="12"/>
      <c r="AD16" s="12"/>
      <c r="AE16" s="12"/>
      <c r="AF16" s="12"/>
      <c r="AG16" s="12"/>
      <c r="AH16" s="12"/>
    </row>
    <row r="17" spans="1:34" ht="15.75">
      <c r="A17" s="53"/>
      <c r="B17" s="56" t="str">
        <f ca="1">OFFSET(L!$C$1,MATCH("Declaration"&amp;ADDRESS(ROW(),COLUMN(),4),L!$A:$A,0)-1,SL,,)</f>
        <v>Phone – Contact (*):</v>
      </c>
      <c r="C17" s="99"/>
      <c r="D17" s="343">
        <v>41448672489</v>
      </c>
      <c r="E17" s="344"/>
      <c r="F17" s="344"/>
      <c r="G17" s="344"/>
      <c r="H17" s="344"/>
      <c r="I17" s="344"/>
      <c r="J17" s="345"/>
      <c r="K17" s="51"/>
      <c r="L17" s="155"/>
      <c r="M17" s="144"/>
      <c r="N17" s="144"/>
      <c r="O17" s="145"/>
      <c r="Q17" s="12"/>
      <c r="R17" s="12"/>
      <c r="S17" s="12"/>
      <c r="T17" s="12"/>
      <c r="U17" s="12"/>
      <c r="V17" s="12"/>
      <c r="W17" s="12"/>
      <c r="X17" s="12"/>
      <c r="Y17" s="12"/>
      <c r="Z17" s="12"/>
      <c r="AA17" s="12"/>
      <c r="AB17" s="12"/>
      <c r="AC17" s="12"/>
      <c r="AD17" s="12"/>
      <c r="AE17" s="12"/>
      <c r="AF17" s="12"/>
      <c r="AG17" s="12"/>
      <c r="AH17" s="12"/>
    </row>
    <row r="18" spans="1:34" ht="22.5">
      <c r="A18" s="53"/>
      <c r="B18" s="56" t="str">
        <f ca="1">OFFSET(L!$C$1,MATCH("Declaration"&amp;ADDRESS(ROW(),COLUMN(),4),L!$A:$A,0)-1,SL,,)</f>
        <v>Authorizer (*):</v>
      </c>
      <c r="C18" s="99"/>
      <c r="D18" s="343" t="s">
        <v>5013</v>
      </c>
      <c r="E18" s="344"/>
      <c r="F18" s="344"/>
      <c r="G18" s="344"/>
      <c r="H18" s="344"/>
      <c r="I18" s="344"/>
      <c r="J18" s="345"/>
      <c r="K18" s="51"/>
      <c r="L18" s="149"/>
      <c r="M18" s="144"/>
      <c r="N18" s="144"/>
      <c r="O18" s="145"/>
      <c r="Q18" s="12"/>
      <c r="R18" s="12"/>
      <c r="S18" s="12"/>
      <c r="T18" s="12"/>
      <c r="U18" s="12"/>
      <c r="V18" s="12"/>
      <c r="W18" s="12"/>
      <c r="X18" s="12"/>
      <c r="Y18" s="12"/>
      <c r="Z18" s="12"/>
      <c r="AA18" s="12"/>
      <c r="AB18" s="12"/>
      <c r="AC18" s="12"/>
      <c r="AD18" s="12"/>
      <c r="AE18" s="12"/>
      <c r="AF18" s="12"/>
      <c r="AG18" s="12"/>
      <c r="AH18" s="12"/>
    </row>
    <row r="19" spans="1:34" ht="22.5">
      <c r="A19" s="53"/>
      <c r="B19" s="56" t="str">
        <f ca="1">OFFSET(L!$C$1,MATCH("Declaration"&amp;ADDRESS(ROW(),COLUMN(),4),L!$A:$A,0)-1,SL,,)</f>
        <v>Title - Authorizer:</v>
      </c>
      <c r="C19" s="99"/>
      <c r="D19" s="343" t="s">
        <v>5014</v>
      </c>
      <c r="E19" s="344"/>
      <c r="F19" s="344"/>
      <c r="G19" s="344"/>
      <c r="H19" s="344"/>
      <c r="I19" s="344"/>
      <c r="J19" s="345"/>
      <c r="K19" s="51"/>
      <c r="L19" s="149"/>
      <c r="M19" s="144"/>
      <c r="N19" s="144"/>
      <c r="O19" s="145"/>
      <c r="P19" s="12"/>
      <c r="Q19" s="12"/>
      <c r="R19" s="12"/>
      <c r="S19" s="12"/>
      <c r="T19" s="12"/>
      <c r="U19" s="12"/>
      <c r="V19" s="12"/>
      <c r="W19" s="12"/>
      <c r="X19" s="12"/>
      <c r="Y19" s="12"/>
      <c r="Z19" s="12"/>
      <c r="AA19" s="12"/>
      <c r="AB19" s="12"/>
      <c r="AC19" s="12"/>
      <c r="AD19" s="12"/>
      <c r="AE19" s="12"/>
      <c r="AF19" s="12"/>
      <c r="AG19" s="12"/>
      <c r="AH19" s="12"/>
    </row>
    <row r="20" spans="1:34" ht="22.5">
      <c r="A20" s="53"/>
      <c r="B20" s="56" t="str">
        <f ca="1">OFFSET(L!$C$1,MATCH("Declaration"&amp;ADDRESS(ROW(),COLUMN(),4),L!$A:$A,0)-1,SL,,)</f>
        <v>Email - Authorizer (*):</v>
      </c>
      <c r="C20" s="99"/>
      <c r="D20" s="368" t="s">
        <v>5015</v>
      </c>
      <c r="E20" s="369"/>
      <c r="F20" s="369"/>
      <c r="G20" s="369"/>
      <c r="H20" s="369"/>
      <c r="I20" s="369"/>
      <c r="J20" s="370"/>
      <c r="K20" s="51"/>
      <c r="L20" s="149"/>
      <c r="M20" s="144"/>
      <c r="N20" s="144"/>
      <c r="O20" s="145"/>
      <c r="P20" s="12"/>
      <c r="Q20" s="12"/>
      <c r="R20" s="12"/>
      <c r="S20" s="12"/>
      <c r="T20" s="12"/>
      <c r="U20" s="12"/>
      <c r="V20" s="12"/>
      <c r="W20" s="12"/>
      <c r="X20" s="12"/>
      <c r="Y20" s="12"/>
      <c r="Z20" s="12"/>
      <c r="AA20" s="12"/>
      <c r="AB20" s="12"/>
      <c r="AC20" s="12"/>
      <c r="AD20" s="12"/>
      <c r="AE20" s="12"/>
      <c r="AF20" s="12"/>
      <c r="AG20" s="12"/>
      <c r="AH20" s="12"/>
    </row>
    <row r="21" spans="1:34" ht="15.75">
      <c r="A21" s="53"/>
      <c r="B21" s="56" t="str">
        <f ca="1">OFFSET(L!$C$1,MATCH("Declaration"&amp;ADDRESS(ROW(),COLUMN(),4),L!$A:$A,0)-1,SL,,)</f>
        <v>Phone - Authorizer (*):</v>
      </c>
      <c r="C21" s="184"/>
      <c r="D21" s="378">
        <v>41448672489</v>
      </c>
      <c r="E21" s="379"/>
      <c r="F21" s="379"/>
      <c r="G21" s="379"/>
      <c r="H21" s="379"/>
      <c r="I21" s="379"/>
      <c r="J21" s="380"/>
      <c r="K21" s="51"/>
      <c r="L21" s="155"/>
      <c r="M21" s="146"/>
      <c r="N21" s="144"/>
      <c r="O21" s="145"/>
      <c r="P21" s="12"/>
      <c r="Q21" s="12"/>
      <c r="R21" s="12"/>
      <c r="S21" s="12"/>
      <c r="T21" s="12"/>
      <c r="U21" s="12"/>
      <c r="V21" s="12"/>
      <c r="W21" s="12"/>
      <c r="X21" s="12"/>
      <c r="Y21" s="12"/>
      <c r="Z21" s="12"/>
      <c r="AA21" s="12"/>
      <c r="AB21" s="12"/>
      <c r="AC21" s="12"/>
      <c r="AD21" s="12"/>
      <c r="AE21" s="12"/>
      <c r="AF21" s="12"/>
      <c r="AG21" s="12"/>
      <c r="AH21" s="12"/>
    </row>
    <row r="22" spans="1:34" ht="18">
      <c r="A22" s="53"/>
      <c r="B22" s="56" t="str">
        <f ca="1">OFFSET(L!$C$1,MATCH("Declaration"&amp;ADDRESS(ROW(),COLUMN(),4),L!$A:$A,0)-1,SL,,)</f>
        <v>Effective Date (*):</v>
      </c>
      <c r="C22" s="100"/>
      <c r="D22" s="381">
        <v>42874</v>
      </c>
      <c r="E22" s="382"/>
      <c r="F22" s="185"/>
      <c r="G22" s="186"/>
      <c r="H22" s="186"/>
      <c r="I22" s="186"/>
      <c r="J22" s="186"/>
      <c r="K22" s="51"/>
      <c r="L22" s="153"/>
      <c r="M22" s="144"/>
      <c r="N22" s="144"/>
      <c r="O22" s="145"/>
      <c r="P22" s="12"/>
      <c r="Q22" s="12"/>
      <c r="R22" s="12"/>
      <c r="S22" s="12"/>
      <c r="T22" s="12"/>
      <c r="U22" s="12"/>
      <c r="V22" s="12"/>
      <c r="W22" s="12"/>
      <c r="X22" s="12"/>
      <c r="Y22" s="12"/>
      <c r="Z22" s="12"/>
      <c r="AA22" s="12"/>
      <c r="AB22" s="12"/>
      <c r="AC22" s="12"/>
      <c r="AD22" s="12"/>
      <c r="AE22" s="12"/>
      <c r="AF22" s="12"/>
      <c r="AG22" s="12"/>
      <c r="AH22" s="12"/>
    </row>
    <row r="23" spans="1:34" ht="18">
      <c r="A23" s="57"/>
      <c r="B23" s="101"/>
      <c r="C23" s="20"/>
      <c r="D23" s="346"/>
      <c r="E23" s="346"/>
      <c r="F23" s="14"/>
      <c r="G23" s="170"/>
      <c r="H23" s="170"/>
      <c r="I23" s="170"/>
      <c r="J23" s="170"/>
      <c r="K23" s="51"/>
      <c r="L23" s="150"/>
      <c r="M23" s="144"/>
      <c r="N23" s="144"/>
      <c r="O23" s="145"/>
      <c r="P23" s="23"/>
      <c r="Q23" s="12"/>
      <c r="R23" s="12"/>
      <c r="S23" s="12"/>
      <c r="T23" s="12"/>
      <c r="U23" s="12"/>
      <c r="V23" s="12"/>
      <c r="W23" s="12"/>
      <c r="X23" s="12"/>
      <c r="Y23" s="12"/>
      <c r="Z23" s="12"/>
      <c r="AA23" s="12"/>
      <c r="AB23" s="12"/>
      <c r="AC23" s="12"/>
      <c r="AD23" s="12"/>
      <c r="AE23" s="12"/>
      <c r="AF23" s="12"/>
      <c r="AG23" s="12"/>
      <c r="AH23" s="12"/>
    </row>
    <row r="24" spans="1:34" ht="15.75">
      <c r="A24" s="58"/>
      <c r="B24" s="383" t="str">
        <f ca="1">OFFSET(L!$C$1,MATCH("Declaration"&amp;ADDRESS(ROW(),COLUMN(),4),L!$A:$A,0)-1,SL,,)</f>
        <v>Answer the following questions 1 - 7 based on the declaration scope indicated above</v>
      </c>
      <c r="C24" s="383"/>
      <c r="D24" s="383"/>
      <c r="E24" s="383"/>
      <c r="F24" s="383"/>
      <c r="G24" s="383"/>
      <c r="H24" s="383"/>
      <c r="I24" s="383"/>
      <c r="J24" s="383"/>
      <c r="K24" s="59"/>
      <c r="L24" s="150"/>
      <c r="M24" s="144"/>
      <c r="N24" s="144"/>
      <c r="O24" s="145"/>
      <c r="P24" s="23"/>
      <c r="Q24" s="12"/>
      <c r="R24" s="12"/>
      <c r="S24" s="12"/>
      <c r="T24" s="12"/>
      <c r="U24" s="12"/>
      <c r="V24" s="12"/>
      <c r="W24" s="12"/>
      <c r="X24" s="12"/>
      <c r="Y24" s="12"/>
      <c r="Z24" s="12"/>
      <c r="AA24" s="12"/>
      <c r="AB24" s="12"/>
      <c r="AC24" s="12"/>
      <c r="AD24" s="12"/>
      <c r="AE24" s="12"/>
      <c r="AF24" s="12"/>
      <c r="AG24" s="12"/>
      <c r="AH24" s="12"/>
    </row>
    <row r="25" spans="1:34" ht="45.75">
      <c r="A25" s="57"/>
      <c r="B25" s="60" t="str">
        <f ca="1">OFFSET(L!$C$1,MATCH("Declaration"&amp;ADDRESS(ROW(),COLUMN(),4),L!$A:$A,0)-1,SL,,)</f>
        <v>1) Is the 3TG intentionally added to your product? (*)</v>
      </c>
      <c r="C25" s="20"/>
      <c r="D25" s="351" t="str">
        <f ca="1">OFFSET(L!$C$1,MATCH("Declaration"&amp;ADDRESS(ROW(),COLUMN(),4),L!$A:$A,0)-1,SL,,)</f>
        <v>Answer</v>
      </c>
      <c r="E25" s="351"/>
      <c r="F25" s="21"/>
      <c r="G25" s="60" t="str">
        <f ca="1">OFFSET(L!$C$1,MATCH("Declaration"&amp;ADDRESS(ROW(),COLUMN(),4),L!$A:$A,0)-1,SL,,)</f>
        <v>Comments</v>
      </c>
      <c r="H25" s="60"/>
      <c r="I25" s="60"/>
      <c r="J25" s="105"/>
      <c r="K25" s="51"/>
      <c r="L25" s="150" t="s">
        <v>2468</v>
      </c>
      <c r="M25" s="144"/>
      <c r="N25" s="144"/>
      <c r="O25" s="145"/>
      <c r="P25" s="23"/>
      <c r="Q25" s="12"/>
      <c r="R25" s="12"/>
      <c r="S25" s="12"/>
      <c r="T25" s="12"/>
      <c r="U25" s="12"/>
      <c r="V25" s="12"/>
      <c r="W25" s="12"/>
      <c r="X25" s="12"/>
      <c r="Y25" s="12"/>
      <c r="Z25" s="12"/>
      <c r="AA25" s="12"/>
      <c r="AB25" s="12"/>
      <c r="AC25" s="12"/>
      <c r="AD25" s="12"/>
      <c r="AE25" s="12"/>
      <c r="AF25" s="12"/>
      <c r="AG25" s="12"/>
      <c r="AH25" s="12"/>
    </row>
    <row r="26" spans="1:34" ht="22.5">
      <c r="A26" s="57"/>
      <c r="B26" s="56" t="str">
        <f ca="1">OFFSET(L!$C$1,MATCH("Declaration"&amp;ADDRESS(ROW(),COLUMN(),4),L!$A:$A,0)-1,SL,,)&amp;P26</f>
        <v>Tantalum  (*)</v>
      </c>
      <c r="C26" s="50"/>
      <c r="D26" s="333" t="s">
        <v>924</v>
      </c>
      <c r="E26" s="334"/>
      <c r="F26" s="15"/>
      <c r="G26" s="330"/>
      <c r="H26" s="331"/>
      <c r="I26" s="331"/>
      <c r="J26" s="332"/>
      <c r="K26" s="51"/>
      <c r="L26" s="156"/>
      <c r="M26" s="146"/>
      <c r="N26" s="144"/>
      <c r="O26" s="145"/>
      <c r="P26" s="158" t="s">
        <v>947</v>
      </c>
      <c r="R26" s="12"/>
      <c r="S26" s="12"/>
      <c r="T26" s="12"/>
      <c r="U26" s="12"/>
      <c r="V26" s="12"/>
      <c r="W26" s="12"/>
      <c r="X26" s="12"/>
      <c r="Y26" s="12"/>
      <c r="Z26" s="12"/>
      <c r="AA26" s="12"/>
      <c r="AB26" s="12"/>
      <c r="AC26" s="12"/>
      <c r="AD26" s="12"/>
      <c r="AE26" s="12"/>
      <c r="AF26" s="12"/>
      <c r="AG26" s="12"/>
      <c r="AH26" s="12"/>
    </row>
    <row r="27" spans="1:34" ht="22.5">
      <c r="A27" s="57"/>
      <c r="B27" s="56" t="str">
        <f ca="1">OFFSET(L!$C$1,MATCH("Declaration"&amp;ADDRESS(ROW(),COLUMN(),4),L!$A:$A,0)-1,SL,,)&amp;P27</f>
        <v>Tin  (*)</v>
      </c>
      <c r="C27" s="50"/>
      <c r="D27" s="333" t="s">
        <v>924</v>
      </c>
      <c r="E27" s="334"/>
      <c r="F27" s="15"/>
      <c r="G27" s="330"/>
      <c r="H27" s="331"/>
      <c r="I27" s="331"/>
      <c r="J27" s="332"/>
      <c r="K27" s="51"/>
      <c r="L27" s="156"/>
      <c r="M27" s="144"/>
      <c r="N27" s="144"/>
      <c r="O27" s="144"/>
      <c r="P27" s="158" t="s">
        <v>947</v>
      </c>
      <c r="R27" s="12"/>
      <c r="S27" s="12"/>
      <c r="T27" s="12"/>
      <c r="U27" s="12"/>
      <c r="V27" s="12"/>
      <c r="W27" s="12"/>
      <c r="X27" s="12"/>
      <c r="Y27" s="12"/>
      <c r="Z27" s="12"/>
      <c r="AA27" s="12"/>
      <c r="AB27" s="12"/>
      <c r="AC27" s="12"/>
      <c r="AD27" s="12"/>
      <c r="AE27" s="12"/>
      <c r="AF27" s="12"/>
      <c r="AG27" s="12"/>
      <c r="AH27" s="12"/>
    </row>
    <row r="28" spans="1:34" ht="22.5">
      <c r="A28" s="57"/>
      <c r="B28" s="56" t="str">
        <f ca="1">OFFSET(L!$C$1,MATCH("Declaration"&amp;ADDRESS(ROW(),COLUMN(),4),L!$A:$A,0)-1,SL,,)&amp;P28</f>
        <v>Gold  (*)</v>
      </c>
      <c r="C28" s="50"/>
      <c r="D28" s="333" t="s">
        <v>924</v>
      </c>
      <c r="E28" s="334"/>
      <c r="F28" s="15"/>
      <c r="G28" s="330"/>
      <c r="H28" s="331"/>
      <c r="I28" s="331"/>
      <c r="J28" s="332"/>
      <c r="K28" s="51"/>
      <c r="L28" s="156"/>
      <c r="M28" s="144"/>
      <c r="N28" s="144"/>
      <c r="O28" s="144"/>
      <c r="P28" s="158" t="s">
        <v>947</v>
      </c>
      <c r="R28" s="12"/>
      <c r="S28" s="12"/>
      <c r="T28" s="12"/>
      <c r="U28" s="12"/>
      <c r="V28" s="12"/>
      <c r="W28" s="12"/>
      <c r="X28" s="12"/>
      <c r="Y28" s="12"/>
      <c r="Z28" s="12"/>
      <c r="AA28" s="12"/>
      <c r="AB28" s="12"/>
      <c r="AC28" s="12"/>
      <c r="AD28" s="12"/>
      <c r="AE28" s="12"/>
      <c r="AF28" s="12"/>
      <c r="AG28" s="12"/>
      <c r="AH28" s="12"/>
    </row>
    <row r="29" spans="1:34" ht="22.5">
      <c r="A29" s="57"/>
      <c r="B29" s="56" t="str">
        <f ca="1">OFFSET(L!$C$1,MATCH("Declaration"&amp;ADDRESS(ROW(),COLUMN(),4),L!$A:$A,0)-1,SL,,)&amp;P29</f>
        <v>Tungsten  (*)</v>
      </c>
      <c r="C29" s="50"/>
      <c r="D29" s="333" t="s">
        <v>924</v>
      </c>
      <c r="E29" s="334"/>
      <c r="F29" s="15"/>
      <c r="G29" s="330"/>
      <c r="H29" s="331"/>
      <c r="I29" s="331"/>
      <c r="J29" s="332"/>
      <c r="K29" s="51"/>
      <c r="L29" s="156"/>
      <c r="M29" s="144"/>
      <c r="N29" s="144"/>
      <c r="O29" s="144"/>
      <c r="P29" s="158" t="s">
        <v>947</v>
      </c>
      <c r="R29" s="12"/>
      <c r="S29" s="12"/>
      <c r="T29" s="12"/>
      <c r="U29" s="12"/>
      <c r="V29" s="12"/>
      <c r="W29" s="12"/>
      <c r="X29" s="12"/>
      <c r="Y29" s="12"/>
      <c r="Z29" s="12"/>
      <c r="AA29" s="12"/>
      <c r="AB29" s="12"/>
      <c r="AC29" s="12"/>
      <c r="AD29" s="12"/>
      <c r="AE29" s="12"/>
      <c r="AF29" s="12"/>
      <c r="AG29" s="12"/>
      <c r="AH29" s="12"/>
    </row>
    <row r="30" spans="1:34" ht="18">
      <c r="A30" s="57"/>
      <c r="B30" s="62"/>
      <c r="C30" s="13"/>
      <c r="D30" s="62"/>
      <c r="E30" s="62"/>
      <c r="F30" s="27"/>
      <c r="G30" s="62"/>
      <c r="H30" s="171"/>
      <c r="I30" s="171"/>
      <c r="J30" s="171"/>
      <c r="K30" s="51"/>
      <c r="L30" s="150"/>
      <c r="M30" s="144"/>
      <c r="N30" s="144"/>
      <c r="O30" s="144"/>
      <c r="R30" s="12"/>
      <c r="S30" s="12"/>
      <c r="T30" s="12"/>
      <c r="U30" s="12"/>
      <c r="V30" s="12"/>
      <c r="W30" s="12"/>
      <c r="X30" s="12"/>
      <c r="Y30" s="12"/>
      <c r="Z30" s="12"/>
      <c r="AA30" s="12"/>
      <c r="AB30" s="12"/>
      <c r="AC30" s="12"/>
      <c r="AD30" s="12"/>
      <c r="AE30" s="12"/>
      <c r="AF30" s="12"/>
      <c r="AG30" s="12"/>
      <c r="AH30" s="12"/>
    </row>
    <row r="31" spans="1:34" ht="50.45" customHeight="1">
      <c r="A31" s="57"/>
      <c r="B31" s="60" t="str">
        <f ca="1">OFFSET(L!$C$1,MATCH("Declaration"&amp;ADDRESS(ROW(),COLUMN(),4),L!$A:$A,0)-1,SL,,)</f>
        <v>2) Is the 3TG necessary to the production of your company’s products and contained in the finished product that your company manufactures or contracts to manufacture?  (*)</v>
      </c>
      <c r="C31" s="13"/>
      <c r="D31" s="377" t="str">
        <f ca="1">D25</f>
        <v>Answer</v>
      </c>
      <c r="E31" s="377"/>
      <c r="F31" s="21"/>
      <c r="G31" s="60" t="str">
        <f ca="1">G25</f>
        <v>Comments</v>
      </c>
      <c r="H31" s="60"/>
      <c r="I31" s="60"/>
      <c r="J31" s="105"/>
      <c r="K31" s="51"/>
      <c r="L31" s="150" t="s">
        <v>2470</v>
      </c>
      <c r="M31" s="144"/>
      <c r="N31" s="144"/>
      <c r="O31" s="145"/>
      <c r="P31" s="12"/>
      <c r="Q31" s="12"/>
      <c r="R31" s="12"/>
      <c r="S31" s="12"/>
      <c r="T31" s="12"/>
      <c r="U31" s="12"/>
      <c r="V31" s="12"/>
      <c r="W31" s="12"/>
      <c r="X31" s="12"/>
      <c r="Y31" s="12"/>
      <c r="Z31" s="12"/>
      <c r="AA31" s="12"/>
      <c r="AB31" s="12"/>
      <c r="AC31" s="12"/>
      <c r="AD31" s="12"/>
      <c r="AE31" s="12"/>
      <c r="AF31" s="12"/>
      <c r="AG31" s="12"/>
      <c r="AH31" s="12"/>
    </row>
    <row r="32" spans="1:34" ht="22.5">
      <c r="A32" s="57"/>
      <c r="B32" s="56" t="str">
        <f ca="1">B26</f>
        <v>Tantalum  (*)</v>
      </c>
      <c r="C32" s="13"/>
      <c r="D32" s="333" t="s">
        <v>924</v>
      </c>
      <c r="E32" s="334"/>
      <c r="F32" s="63"/>
      <c r="G32" s="330"/>
      <c r="H32" s="331"/>
      <c r="I32" s="331"/>
      <c r="J32" s="332"/>
      <c r="K32" s="51"/>
      <c r="L32" s="156"/>
      <c r="M32" s="146"/>
      <c r="N32" s="144"/>
      <c r="O32" s="145"/>
      <c r="Q32" s="12"/>
      <c r="R32" s="12"/>
      <c r="S32" s="12"/>
      <c r="T32" s="12"/>
      <c r="U32" s="12"/>
      <c r="V32" s="12"/>
      <c r="W32" s="12"/>
      <c r="X32" s="12"/>
      <c r="Y32" s="12"/>
      <c r="Z32" s="12"/>
      <c r="AA32" s="12"/>
      <c r="AB32" s="12"/>
      <c r="AC32" s="12"/>
      <c r="AD32" s="12"/>
      <c r="AE32" s="12"/>
      <c r="AF32" s="12"/>
      <c r="AG32" s="12"/>
      <c r="AH32" s="12"/>
    </row>
    <row r="33" spans="1:34" ht="22.5">
      <c r="A33" s="57"/>
      <c r="B33" s="56" t="str">
        <f ca="1">B27</f>
        <v>Tin  (*)</v>
      </c>
      <c r="C33" s="13"/>
      <c r="D33" s="333" t="s">
        <v>924</v>
      </c>
      <c r="E33" s="334"/>
      <c r="F33" s="63"/>
      <c r="G33" s="330"/>
      <c r="H33" s="331"/>
      <c r="I33" s="331"/>
      <c r="J33" s="332"/>
      <c r="K33" s="51"/>
      <c r="L33" s="156"/>
      <c r="M33" s="144"/>
      <c r="N33" s="144"/>
      <c r="O33" s="145"/>
      <c r="Q33" s="12"/>
      <c r="R33" s="12"/>
      <c r="S33" s="12"/>
      <c r="T33" s="12"/>
      <c r="U33" s="12"/>
      <c r="V33" s="12"/>
      <c r="W33" s="12"/>
      <c r="X33" s="12"/>
      <c r="Y33" s="12"/>
      <c r="Z33" s="12"/>
      <c r="AA33" s="12"/>
      <c r="AB33" s="12"/>
      <c r="AC33" s="12"/>
      <c r="AD33" s="12"/>
      <c r="AE33" s="12"/>
      <c r="AF33" s="12"/>
      <c r="AG33" s="12"/>
      <c r="AH33" s="12"/>
    </row>
    <row r="34" spans="1:34" ht="22.5">
      <c r="A34" s="57"/>
      <c r="B34" s="56" t="str">
        <f ca="1">B28</f>
        <v>Gold  (*)</v>
      </c>
      <c r="C34" s="13"/>
      <c r="D34" s="333" t="s">
        <v>924</v>
      </c>
      <c r="E34" s="334"/>
      <c r="F34" s="63"/>
      <c r="G34" s="330"/>
      <c r="H34" s="331"/>
      <c r="I34" s="331"/>
      <c r="J34" s="332"/>
      <c r="K34" s="51"/>
      <c r="L34" s="156"/>
      <c r="M34" s="144"/>
      <c r="N34" s="144"/>
      <c r="O34" s="145"/>
      <c r="Q34" s="12"/>
      <c r="R34" s="12"/>
      <c r="S34" s="12"/>
      <c r="T34" s="12"/>
      <c r="U34" s="12"/>
      <c r="V34" s="12"/>
      <c r="W34" s="12"/>
      <c r="X34" s="12"/>
      <c r="Y34" s="12"/>
      <c r="Z34" s="12"/>
      <c r="AA34" s="12"/>
      <c r="AB34" s="12"/>
      <c r="AC34" s="12"/>
      <c r="AD34" s="12"/>
      <c r="AE34" s="12"/>
      <c r="AF34" s="12"/>
      <c r="AG34" s="12"/>
      <c r="AH34" s="12"/>
    </row>
    <row r="35" spans="1:34" ht="22.5">
      <c r="A35" s="57"/>
      <c r="B35" s="56" t="str">
        <f ca="1">B29</f>
        <v>Tungsten  (*)</v>
      </c>
      <c r="C35" s="13"/>
      <c r="D35" s="333" t="s">
        <v>924</v>
      </c>
      <c r="E35" s="334"/>
      <c r="F35" s="63"/>
      <c r="G35" s="330"/>
      <c r="H35" s="331"/>
      <c r="I35" s="331"/>
      <c r="J35" s="332"/>
      <c r="K35" s="51"/>
      <c r="L35" s="156"/>
      <c r="M35" s="144"/>
      <c r="N35" s="144"/>
      <c r="O35" s="145"/>
      <c r="Q35" s="12"/>
      <c r="R35" s="12"/>
      <c r="S35" s="12"/>
      <c r="T35" s="12"/>
      <c r="U35" s="12"/>
      <c r="V35" s="12"/>
      <c r="W35" s="12"/>
      <c r="X35" s="12"/>
      <c r="Y35" s="12"/>
      <c r="Z35" s="12"/>
      <c r="AA35" s="12"/>
      <c r="AB35" s="12"/>
      <c r="AC35" s="12"/>
      <c r="AD35" s="12"/>
      <c r="AE35" s="12"/>
      <c r="AF35" s="12"/>
      <c r="AG35" s="12"/>
      <c r="AH35" s="12"/>
    </row>
    <row r="36" spans="1:34" ht="18">
      <c r="A36" s="57"/>
      <c r="B36" s="27"/>
      <c r="C36" s="13"/>
      <c r="D36" s="27"/>
      <c r="E36" s="27"/>
      <c r="F36" s="106"/>
      <c r="G36" s="27"/>
      <c r="H36" s="171"/>
      <c r="I36" s="171"/>
      <c r="J36" s="171"/>
      <c r="K36" s="51"/>
      <c r="L36" s="150"/>
      <c r="M36" s="144"/>
      <c r="N36" s="144"/>
      <c r="O36" s="145"/>
      <c r="P36" s="12"/>
      <c r="Q36" s="12"/>
      <c r="R36" s="12"/>
      <c r="S36" s="12"/>
      <c r="T36" s="12"/>
      <c r="U36" s="12"/>
      <c r="V36" s="12"/>
      <c r="W36" s="12"/>
      <c r="X36" s="12"/>
      <c r="Y36" s="12"/>
      <c r="Z36" s="12"/>
      <c r="AA36" s="12"/>
      <c r="AB36" s="12"/>
      <c r="AC36" s="12"/>
      <c r="AD36" s="12"/>
      <c r="AE36" s="12"/>
      <c r="AF36" s="12"/>
      <c r="AG36" s="12"/>
      <c r="AH36" s="12"/>
    </row>
    <row r="37" spans="1:34" ht="43.5" customHeight="1">
      <c r="A37" s="57"/>
      <c r="B37" s="60" t="str">
        <f ca="1">OFFSET(L!$C$1,MATCH("Declaration"&amp;ADDRESS(ROW(),COLUMN(),4),L!$A:$A,0)-1,SL,,)&amp;Q$37</f>
        <v>3) Do any of the smelters in your supply chain source the 3TG from the covered countries? (SEC term, see definitions tab) (*)</v>
      </c>
      <c r="C37" s="13"/>
      <c r="D37" s="377" t="str">
        <f ca="1">D25</f>
        <v>Answer</v>
      </c>
      <c r="E37" s="377"/>
      <c r="F37" s="21"/>
      <c r="G37" s="60" t="str">
        <f ca="1">G25</f>
        <v>Comments</v>
      </c>
      <c r="H37" s="339"/>
      <c r="I37" s="339"/>
      <c r="J37" s="339"/>
      <c r="K37" s="51"/>
      <c r="L37" s="150" t="s">
        <v>2470</v>
      </c>
      <c r="M37" s="144"/>
      <c r="N37" s="144"/>
      <c r="O37" s="145"/>
      <c r="P37" s="61">
        <f ca="1">COUNTIF(D$25:D$35,"No")</f>
        <v>0</v>
      </c>
      <c r="Q37" s="61" t="str">
        <f ca="1">IF(P37=8,""," (*)")</f>
        <v xml:space="preserve"> (*)</v>
      </c>
      <c r="R37" s="12"/>
      <c r="S37" s="12"/>
      <c r="T37" s="12"/>
      <c r="U37" s="12"/>
      <c r="V37" s="12"/>
      <c r="W37" s="12"/>
      <c r="X37" s="12"/>
      <c r="Y37" s="12"/>
      <c r="Z37" s="12"/>
      <c r="AA37" s="12"/>
      <c r="AB37" s="12"/>
      <c r="AC37" s="12"/>
      <c r="AD37" s="12"/>
      <c r="AE37" s="12"/>
      <c r="AF37" s="12"/>
      <c r="AG37" s="12"/>
      <c r="AH37" s="12"/>
    </row>
    <row r="38" spans="1:34" ht="22.5">
      <c r="A38" s="57"/>
      <c r="B38" s="56" t="str">
        <f ca="1">OFFSET(L!$C$1,MATCH("Declaration"&amp;ADDRESS(ROW(),COLUMN(),4),L!$A:$A,0)-1,SL,,)&amp;P38</f>
        <v>Tantalum  (*)</v>
      </c>
      <c r="C38" s="13"/>
      <c r="D38" s="333" t="s">
        <v>926</v>
      </c>
      <c r="E38" s="334"/>
      <c r="F38" s="63"/>
      <c r="G38" s="330"/>
      <c r="H38" s="331"/>
      <c r="I38" s="331"/>
      <c r="J38" s="332"/>
      <c r="K38" s="51"/>
      <c r="L38" s="156"/>
      <c r="M38" s="146"/>
      <c r="N38" s="144"/>
      <c r="O38" s="145"/>
      <c r="P38" s="158" t="str">
        <f>IF(AND(D26="No",D32="No"),"","(*)")</f>
        <v>(*)</v>
      </c>
      <c r="Q38" s="12"/>
      <c r="R38" s="12"/>
      <c r="S38" s="12"/>
      <c r="T38" s="12"/>
      <c r="U38" s="12"/>
      <c r="V38" s="12"/>
      <c r="W38" s="12"/>
      <c r="X38" s="12"/>
      <c r="Y38" s="12"/>
      <c r="Z38" s="12"/>
      <c r="AA38" s="12"/>
      <c r="AB38" s="12"/>
      <c r="AC38" s="12"/>
      <c r="AD38" s="12"/>
      <c r="AE38" s="12"/>
      <c r="AF38" s="12"/>
      <c r="AG38" s="12"/>
      <c r="AH38" s="12"/>
    </row>
    <row r="39" spans="1:34" ht="22.5">
      <c r="A39" s="57"/>
      <c r="B39" s="56" t="str">
        <f ca="1">OFFSET(L!$C$1,MATCH("Declaration"&amp;ADDRESS(ROW(),COLUMN(),4),L!$A:$A,0)-1,SL,,)&amp;P39</f>
        <v>Tin  (*)</v>
      </c>
      <c r="C39" s="13"/>
      <c r="D39" s="333" t="s">
        <v>926</v>
      </c>
      <c r="E39" s="334"/>
      <c r="F39" s="63"/>
      <c r="G39" s="330"/>
      <c r="H39" s="331"/>
      <c r="I39" s="331"/>
      <c r="J39" s="332"/>
      <c r="K39" s="51"/>
      <c r="L39" s="156"/>
      <c r="M39" s="144"/>
      <c r="N39" s="144"/>
      <c r="O39" s="145"/>
      <c r="P39" s="158" t="str">
        <f>IF(AND(D27="No",D33="No"),"","(*)")</f>
        <v>(*)</v>
      </c>
      <c r="Q39" s="12"/>
      <c r="R39" s="12"/>
      <c r="S39" s="12"/>
      <c r="T39" s="12"/>
      <c r="U39" s="12"/>
      <c r="V39" s="12"/>
      <c r="W39" s="12"/>
      <c r="X39" s="12"/>
      <c r="Y39" s="12"/>
      <c r="Z39" s="12"/>
      <c r="AA39" s="12"/>
      <c r="AB39" s="12"/>
      <c r="AC39" s="12"/>
      <c r="AD39" s="12"/>
      <c r="AE39" s="12"/>
      <c r="AF39" s="12"/>
      <c r="AG39" s="12"/>
      <c r="AH39" s="12"/>
    </row>
    <row r="40" spans="1:34" ht="22.5">
      <c r="A40" s="57"/>
      <c r="B40" s="56" t="str">
        <f ca="1">OFFSET(L!$C$1,MATCH("Declaration"&amp;ADDRESS(ROW(),COLUMN(),4),L!$A:$A,0)-1,SL,,)&amp;P40</f>
        <v>Gold  (*)</v>
      </c>
      <c r="C40" s="13"/>
      <c r="D40" s="333" t="s">
        <v>926</v>
      </c>
      <c r="E40" s="334"/>
      <c r="F40" s="63"/>
      <c r="G40" s="330"/>
      <c r="H40" s="331"/>
      <c r="I40" s="331"/>
      <c r="J40" s="332"/>
      <c r="K40" s="51"/>
      <c r="L40" s="156"/>
      <c r="M40" s="144"/>
      <c r="N40" s="144"/>
      <c r="O40" s="145"/>
      <c r="P40" s="158" t="str">
        <f>IF(AND(D28="No",D34="No"),"","(*)")</f>
        <v>(*)</v>
      </c>
      <c r="Q40" s="12"/>
      <c r="R40" s="12"/>
      <c r="S40" s="12"/>
      <c r="T40" s="12"/>
      <c r="U40" s="12"/>
      <c r="V40" s="12"/>
      <c r="W40" s="12"/>
      <c r="X40" s="12"/>
      <c r="Y40" s="12"/>
      <c r="Z40" s="12"/>
      <c r="AA40" s="12"/>
      <c r="AB40" s="12"/>
      <c r="AC40" s="12"/>
      <c r="AD40" s="12"/>
      <c r="AE40" s="12"/>
      <c r="AF40" s="12"/>
      <c r="AG40" s="12"/>
      <c r="AH40" s="12"/>
    </row>
    <row r="41" spans="1:34" ht="22.5">
      <c r="A41" s="57"/>
      <c r="B41" s="56" t="str">
        <f ca="1">OFFSET(L!$C$1,MATCH("Declaration"&amp;ADDRESS(ROW(),COLUMN(),4),L!$A:$A,0)-1,SL,,)&amp;P41</f>
        <v>Tungsten  (*)</v>
      </c>
      <c r="C41" s="13"/>
      <c r="D41" s="333" t="s">
        <v>926</v>
      </c>
      <c r="E41" s="334"/>
      <c r="F41" s="63"/>
      <c r="G41" s="330"/>
      <c r="H41" s="331"/>
      <c r="I41" s="331"/>
      <c r="J41" s="332"/>
      <c r="K41" s="51"/>
      <c r="L41" s="156"/>
      <c r="M41" s="144"/>
      <c r="N41" s="144"/>
      <c r="O41" s="145"/>
      <c r="P41" s="158" t="str">
        <f>IF(AND(D29="No",D35="No"),"","(*)")</f>
        <v>(*)</v>
      </c>
      <c r="Q41" s="12"/>
      <c r="R41" s="12"/>
      <c r="S41" s="12"/>
      <c r="T41" s="12"/>
      <c r="U41" s="12"/>
      <c r="V41" s="12"/>
      <c r="W41" s="12"/>
      <c r="X41" s="12"/>
      <c r="Y41" s="12"/>
      <c r="Z41" s="12"/>
      <c r="AA41" s="12"/>
      <c r="AB41" s="12"/>
      <c r="AC41" s="12"/>
      <c r="AD41" s="12"/>
      <c r="AE41" s="12"/>
      <c r="AF41" s="12"/>
      <c r="AG41" s="12"/>
      <c r="AH41" s="12"/>
    </row>
    <row r="42" spans="1:34" ht="18">
      <c r="A42" s="57"/>
      <c r="B42" s="27"/>
      <c r="C42" s="13"/>
      <c r="D42" s="27"/>
      <c r="E42" s="27"/>
      <c r="F42" s="106"/>
      <c r="G42" s="27"/>
      <c r="H42" s="171"/>
      <c r="I42" s="171"/>
      <c r="J42" s="171"/>
      <c r="K42" s="51"/>
      <c r="L42" s="150"/>
      <c r="M42" s="144"/>
      <c r="N42" s="144"/>
      <c r="O42" s="145"/>
      <c r="Q42" s="12"/>
      <c r="R42" s="12"/>
      <c r="S42" s="12"/>
      <c r="T42" s="12"/>
      <c r="U42" s="12"/>
      <c r="V42" s="12"/>
      <c r="W42" s="12"/>
      <c r="X42" s="12"/>
      <c r="Y42" s="12"/>
      <c r="Z42" s="12"/>
      <c r="AA42" s="12"/>
      <c r="AB42" s="12"/>
      <c r="AC42" s="12"/>
      <c r="AD42" s="12"/>
      <c r="AE42" s="12"/>
      <c r="AF42" s="12"/>
      <c r="AG42" s="12"/>
      <c r="AH42" s="12"/>
    </row>
    <row r="43" spans="1:34" ht="48.6" customHeight="1">
      <c r="A43" s="57"/>
      <c r="B43" s="60" t="str">
        <f ca="1">OFFSET(L!$C$1,MATCH("Declaration"&amp;ADDRESS(ROW(),COLUMN(),4),L!$A:$A,0)-1,SL,,)&amp;Q$37</f>
        <v>4) Does 100 percent of the 3TG (necessary to the functionality or production of your products) originate from recycled or scrap sources?  (*)</v>
      </c>
      <c r="C43" s="13"/>
      <c r="D43" s="377" t="str">
        <f ca="1">D25</f>
        <v>Answer</v>
      </c>
      <c r="E43" s="377"/>
      <c r="F43" s="21"/>
      <c r="G43" s="60" t="str">
        <f ca="1">G25</f>
        <v>Comments</v>
      </c>
      <c r="H43" s="60"/>
      <c r="I43" s="60"/>
      <c r="J43" s="105"/>
      <c r="K43" s="51"/>
      <c r="L43" s="150" t="s">
        <v>2469</v>
      </c>
      <c r="M43" s="144"/>
      <c r="N43" s="144"/>
      <c r="O43" s="145"/>
      <c r="P43" s="12"/>
      <c r="Q43" s="12"/>
      <c r="R43" s="12"/>
      <c r="S43" s="12"/>
      <c r="T43" s="12"/>
      <c r="U43" s="12"/>
      <c r="V43" s="12"/>
      <c r="W43" s="12"/>
      <c r="X43" s="12"/>
      <c r="Y43" s="12"/>
      <c r="Z43" s="12"/>
      <c r="AA43" s="12"/>
      <c r="AB43" s="12"/>
      <c r="AC43" s="12"/>
      <c r="AD43" s="12"/>
      <c r="AE43" s="12"/>
      <c r="AF43" s="12"/>
      <c r="AG43" s="12"/>
      <c r="AH43" s="12"/>
    </row>
    <row r="44" spans="1:34" ht="22.5">
      <c r="A44" s="57"/>
      <c r="B44" s="56" t="str">
        <f ca="1">B38</f>
        <v>Tantalum  (*)</v>
      </c>
      <c r="C44" s="13"/>
      <c r="D44" s="333" t="s">
        <v>925</v>
      </c>
      <c r="E44" s="334"/>
      <c r="F44" s="63"/>
      <c r="G44" s="330"/>
      <c r="H44" s="331"/>
      <c r="I44" s="331"/>
      <c r="J44" s="332"/>
      <c r="K44" s="51"/>
      <c r="L44" s="156"/>
      <c r="M44" s="146"/>
      <c r="N44" s="144"/>
      <c r="O44" s="145"/>
      <c r="P44" s="12"/>
      <c r="Q44" s="12"/>
      <c r="R44" s="12"/>
      <c r="S44" s="12"/>
      <c r="T44" s="12"/>
      <c r="U44" s="12"/>
      <c r="V44" s="12"/>
      <c r="W44" s="12"/>
      <c r="X44" s="12"/>
      <c r="Y44" s="12"/>
      <c r="Z44" s="12"/>
      <c r="AA44" s="12"/>
      <c r="AB44" s="12"/>
      <c r="AC44" s="12"/>
      <c r="AD44" s="12"/>
      <c r="AE44" s="12"/>
      <c r="AF44" s="12"/>
      <c r="AG44" s="12"/>
      <c r="AH44" s="12"/>
    </row>
    <row r="45" spans="1:34" ht="22.5">
      <c r="A45" s="57"/>
      <c r="B45" s="56" t="str">
        <f ca="1">B39</f>
        <v>Tin  (*)</v>
      </c>
      <c r="C45" s="13"/>
      <c r="D45" s="333" t="s">
        <v>925</v>
      </c>
      <c r="E45" s="334"/>
      <c r="F45" s="63"/>
      <c r="G45" s="330"/>
      <c r="H45" s="331"/>
      <c r="I45" s="331"/>
      <c r="J45" s="332"/>
      <c r="K45" s="51"/>
      <c r="L45" s="156"/>
      <c r="M45" s="144"/>
      <c r="N45" s="144"/>
      <c r="O45" s="145"/>
      <c r="P45" s="12"/>
      <c r="Q45" s="12"/>
      <c r="R45" s="12"/>
      <c r="S45" s="12"/>
      <c r="T45" s="12"/>
      <c r="U45" s="12"/>
      <c r="V45" s="12"/>
      <c r="W45" s="12"/>
      <c r="X45" s="12"/>
      <c r="Y45" s="12"/>
      <c r="Z45" s="12"/>
      <c r="AA45" s="12"/>
      <c r="AB45" s="12"/>
      <c r="AC45" s="12"/>
      <c r="AD45" s="12"/>
      <c r="AE45" s="12"/>
      <c r="AF45" s="12"/>
      <c r="AG45" s="12"/>
      <c r="AH45" s="12"/>
    </row>
    <row r="46" spans="1:34" ht="22.5">
      <c r="A46" s="57"/>
      <c r="B46" s="56" t="str">
        <f ca="1">B40</f>
        <v>Gold  (*)</v>
      </c>
      <c r="C46" s="13"/>
      <c r="D46" s="333" t="s">
        <v>925</v>
      </c>
      <c r="E46" s="334"/>
      <c r="F46" s="63"/>
      <c r="G46" s="330"/>
      <c r="H46" s="331"/>
      <c r="I46" s="331"/>
      <c r="J46" s="332"/>
      <c r="K46" s="51"/>
      <c r="L46" s="156"/>
      <c r="M46" s="144"/>
      <c r="N46" s="144"/>
      <c r="O46" s="145"/>
      <c r="P46" s="12"/>
      <c r="Q46" s="12"/>
      <c r="R46" s="12"/>
      <c r="S46" s="12"/>
      <c r="T46" s="12"/>
      <c r="U46" s="12"/>
      <c r="V46" s="12"/>
      <c r="W46" s="12"/>
      <c r="X46" s="12"/>
      <c r="Y46" s="12"/>
      <c r="Z46" s="12"/>
      <c r="AA46" s="12"/>
      <c r="AB46" s="12"/>
      <c r="AC46" s="12"/>
      <c r="AD46" s="12"/>
      <c r="AE46" s="12"/>
      <c r="AF46" s="12"/>
      <c r="AG46" s="12"/>
      <c r="AH46" s="12"/>
    </row>
    <row r="47" spans="1:34" ht="22.5">
      <c r="A47" s="57"/>
      <c r="B47" s="56" t="str">
        <f ca="1">B41</f>
        <v>Tungsten  (*)</v>
      </c>
      <c r="C47" s="13"/>
      <c r="D47" s="333" t="s">
        <v>925</v>
      </c>
      <c r="E47" s="334"/>
      <c r="F47" s="63"/>
      <c r="G47" s="330"/>
      <c r="H47" s="331"/>
      <c r="I47" s="331"/>
      <c r="J47" s="332"/>
      <c r="K47" s="51"/>
      <c r="L47" s="156"/>
      <c r="M47" s="144"/>
      <c r="N47" s="144"/>
      <c r="O47" s="145"/>
      <c r="P47" s="12"/>
      <c r="Q47" s="12"/>
      <c r="R47" s="12"/>
      <c r="S47" s="12"/>
      <c r="T47" s="12"/>
      <c r="U47" s="12"/>
      <c r="V47" s="12"/>
      <c r="W47" s="12"/>
      <c r="X47" s="12"/>
      <c r="Y47" s="12"/>
      <c r="Z47" s="12"/>
      <c r="AA47" s="12"/>
      <c r="AB47" s="12"/>
      <c r="AC47" s="12"/>
      <c r="AD47" s="12"/>
      <c r="AE47" s="12"/>
      <c r="AF47" s="12"/>
      <c r="AG47" s="12"/>
      <c r="AH47" s="12"/>
    </row>
    <row r="48" spans="1:34" ht="18">
      <c r="A48" s="57"/>
      <c r="B48" s="27"/>
      <c r="C48" s="13"/>
      <c r="D48" s="27"/>
      <c r="E48" s="27"/>
      <c r="F48" s="106"/>
      <c r="G48" s="27"/>
      <c r="H48" s="171"/>
      <c r="I48" s="171"/>
      <c r="J48" s="171"/>
      <c r="K48" s="51"/>
      <c r="L48" s="150"/>
      <c r="M48" s="144"/>
      <c r="N48" s="144"/>
      <c r="O48" s="145"/>
      <c r="P48" s="12"/>
      <c r="Q48" s="12"/>
      <c r="R48" s="12"/>
      <c r="S48" s="12"/>
      <c r="T48" s="12"/>
      <c r="U48" s="12"/>
      <c r="V48" s="12"/>
      <c r="W48" s="12"/>
      <c r="X48" s="12"/>
      <c r="Y48" s="12"/>
      <c r="Z48" s="12"/>
      <c r="AA48" s="12"/>
      <c r="AB48" s="12"/>
      <c r="AC48" s="12"/>
      <c r="AD48" s="12"/>
      <c r="AE48" s="12"/>
      <c r="AF48" s="12"/>
      <c r="AG48" s="12"/>
      <c r="AH48" s="12"/>
    </row>
    <row r="49" spans="1:34" ht="53.45" customHeight="1">
      <c r="A49" s="57"/>
      <c r="B49" s="181" t="str">
        <f ca="1">OFFSET(L!$C$1,MATCH("Declaration"&amp;ADDRESS(ROW(),COLUMN(),4),L!$A:$A,0)-1,SL,,)&amp;Q$37</f>
        <v>5) Have you received data/information for each 3TG from all relevant suppliers? (*)</v>
      </c>
      <c r="C49" s="13"/>
      <c r="D49" s="377" t="str">
        <f ca="1">D25</f>
        <v>Answer</v>
      </c>
      <c r="E49" s="377"/>
      <c r="F49" s="21"/>
      <c r="G49" s="60" t="str">
        <f ca="1">G25</f>
        <v>Comments</v>
      </c>
      <c r="H49" s="172"/>
      <c r="I49" s="172"/>
      <c r="J49" s="172"/>
      <c r="K49" s="51"/>
      <c r="L49" s="150" t="s">
        <v>2470</v>
      </c>
      <c r="M49" s="144"/>
      <c r="N49" s="144"/>
      <c r="O49" s="145"/>
      <c r="P49" s="12"/>
      <c r="Q49" s="12"/>
      <c r="R49" s="12"/>
      <c r="S49" s="12"/>
      <c r="T49" s="12"/>
      <c r="U49" s="12"/>
      <c r="V49" s="12"/>
      <c r="W49" s="12"/>
      <c r="X49" s="12"/>
      <c r="Y49" s="12"/>
      <c r="Z49" s="12"/>
      <c r="AA49" s="12"/>
      <c r="AB49" s="12"/>
      <c r="AC49" s="12"/>
      <c r="AD49" s="12"/>
      <c r="AE49" s="12"/>
      <c r="AF49" s="12"/>
      <c r="AG49" s="12"/>
      <c r="AH49" s="12"/>
    </row>
    <row r="50" spans="1:34" ht="22.5">
      <c r="A50" s="57"/>
      <c r="B50" s="56" t="str">
        <f ca="1">B38</f>
        <v>Tantalum  (*)</v>
      </c>
      <c r="C50" s="50"/>
      <c r="D50" s="333" t="s">
        <v>928</v>
      </c>
      <c r="E50" s="334"/>
      <c r="F50" s="63"/>
      <c r="G50" s="330"/>
      <c r="H50" s="331"/>
      <c r="I50" s="331"/>
      <c r="J50" s="332"/>
      <c r="K50" s="51"/>
      <c r="L50" s="156"/>
      <c r="M50" s="146"/>
      <c r="N50" s="144"/>
      <c r="O50" s="145"/>
      <c r="P50" s="12"/>
      <c r="Q50" s="12"/>
      <c r="R50" s="12"/>
      <c r="S50" s="12"/>
      <c r="T50" s="12"/>
      <c r="U50" s="12"/>
      <c r="V50" s="12"/>
      <c r="W50" s="12"/>
      <c r="X50" s="12"/>
      <c r="Y50" s="12"/>
      <c r="Z50" s="12"/>
      <c r="AA50" s="12"/>
      <c r="AB50" s="12"/>
      <c r="AC50" s="12"/>
      <c r="AD50" s="12"/>
      <c r="AE50" s="12"/>
      <c r="AF50" s="12"/>
      <c r="AG50" s="12"/>
      <c r="AH50" s="12"/>
    </row>
    <row r="51" spans="1:34" ht="22.5">
      <c r="A51" s="57"/>
      <c r="B51" s="56" t="str">
        <f ca="1">B39</f>
        <v>Tin  (*)</v>
      </c>
      <c r="C51" s="50"/>
      <c r="D51" s="333" t="s">
        <v>928</v>
      </c>
      <c r="E51" s="334"/>
      <c r="F51" s="63"/>
      <c r="G51" s="330"/>
      <c r="H51" s="331"/>
      <c r="I51" s="331"/>
      <c r="J51" s="332"/>
      <c r="K51" s="51"/>
      <c r="L51" s="156"/>
      <c r="M51" s="144"/>
      <c r="N51" s="144"/>
      <c r="O51" s="145"/>
      <c r="P51" s="12"/>
      <c r="Q51" s="12"/>
      <c r="R51" s="12"/>
      <c r="S51" s="12"/>
      <c r="T51" s="12"/>
      <c r="U51" s="12"/>
      <c r="V51" s="12"/>
      <c r="W51" s="12"/>
      <c r="X51" s="12"/>
      <c r="Y51" s="12"/>
      <c r="Z51" s="12"/>
      <c r="AA51" s="12"/>
      <c r="AB51" s="12"/>
      <c r="AC51" s="12"/>
      <c r="AD51" s="12"/>
      <c r="AE51" s="12"/>
      <c r="AF51" s="12"/>
      <c r="AG51" s="12"/>
      <c r="AH51" s="12"/>
    </row>
    <row r="52" spans="1:34" ht="22.5">
      <c r="A52" s="57"/>
      <c r="B52" s="56" t="str">
        <f ca="1">B40</f>
        <v>Gold  (*)</v>
      </c>
      <c r="C52" s="50"/>
      <c r="D52" s="333" t="s">
        <v>928</v>
      </c>
      <c r="E52" s="334"/>
      <c r="F52" s="63"/>
      <c r="G52" s="330"/>
      <c r="H52" s="331"/>
      <c r="I52" s="331"/>
      <c r="J52" s="332"/>
      <c r="K52" s="51"/>
      <c r="L52" s="156"/>
      <c r="M52" s="144"/>
      <c r="N52" s="144"/>
      <c r="O52" s="145"/>
      <c r="P52" s="12"/>
      <c r="Q52" s="12"/>
      <c r="R52" s="12"/>
      <c r="S52" s="12"/>
      <c r="T52" s="12"/>
      <c r="U52" s="12"/>
      <c r="V52" s="12"/>
      <c r="W52" s="12"/>
      <c r="X52" s="12"/>
      <c r="Y52" s="12"/>
      <c r="Z52" s="12"/>
      <c r="AA52" s="12"/>
      <c r="AB52" s="12"/>
      <c r="AC52" s="12"/>
      <c r="AD52" s="12"/>
      <c r="AE52" s="12"/>
      <c r="AF52" s="12"/>
      <c r="AG52" s="12"/>
      <c r="AH52" s="12"/>
    </row>
    <row r="53" spans="1:34" ht="22.5">
      <c r="A53" s="57"/>
      <c r="B53" s="56" t="str">
        <f ca="1">B41</f>
        <v>Tungsten  (*)</v>
      </c>
      <c r="C53" s="50"/>
      <c r="D53" s="333" t="s">
        <v>928</v>
      </c>
      <c r="E53" s="334"/>
      <c r="F53" s="63"/>
      <c r="G53" s="330"/>
      <c r="H53" s="331"/>
      <c r="I53" s="331"/>
      <c r="J53" s="332"/>
      <c r="K53" s="51"/>
      <c r="L53" s="156"/>
      <c r="M53" s="144"/>
      <c r="N53" s="144"/>
      <c r="O53" s="145"/>
      <c r="P53" s="12"/>
      <c r="Q53" s="12"/>
      <c r="R53" s="12"/>
      <c r="S53" s="12"/>
      <c r="T53" s="12"/>
      <c r="U53" s="12"/>
      <c r="V53" s="12"/>
      <c r="W53" s="12"/>
      <c r="X53" s="12"/>
      <c r="Y53" s="12"/>
      <c r="Z53" s="12"/>
      <c r="AA53" s="12"/>
      <c r="AB53" s="12"/>
      <c r="AC53" s="12"/>
      <c r="AD53" s="12"/>
      <c r="AE53" s="12"/>
      <c r="AF53" s="12"/>
      <c r="AG53" s="12"/>
      <c r="AH53" s="12"/>
    </row>
    <row r="54" spans="1:34" ht="15.75">
      <c r="A54" s="57"/>
      <c r="B54" s="62"/>
      <c r="C54" s="13"/>
      <c r="D54" s="107"/>
      <c r="E54" s="107"/>
      <c r="F54" s="106"/>
      <c r="G54" s="108"/>
      <c r="H54" s="108"/>
      <c r="I54" s="108"/>
      <c r="J54" s="108"/>
      <c r="K54" s="51"/>
      <c r="L54" s="150"/>
      <c r="M54" s="151"/>
      <c r="N54" s="144"/>
      <c r="O54" s="145"/>
      <c r="P54" s="12"/>
      <c r="Q54" s="12"/>
      <c r="R54" s="12"/>
      <c r="S54" s="12"/>
      <c r="T54" s="12"/>
      <c r="U54" s="12"/>
      <c r="V54" s="12"/>
      <c r="W54" s="12"/>
      <c r="X54" s="12"/>
      <c r="Y54" s="12"/>
      <c r="Z54" s="12"/>
      <c r="AA54" s="12"/>
      <c r="AB54" s="12"/>
      <c r="AC54" s="12"/>
      <c r="AD54" s="12"/>
      <c r="AE54" s="12"/>
      <c r="AF54" s="12"/>
      <c r="AG54" s="12"/>
      <c r="AH54" s="12"/>
    </row>
    <row r="55" spans="1:34" ht="45.75">
      <c r="A55" s="57"/>
      <c r="B55" s="181" t="str">
        <f ca="1">OFFSET(L!$C$1,MATCH("Declaration"&amp;ADDRESS(ROW(),COLUMN(),4),L!$A:$A,0)-1,SL,,)&amp;Q$37</f>
        <v>6) Have you identified all of the smelters supplying the 3TG to your supply chain?  (*)</v>
      </c>
      <c r="C55" s="13"/>
      <c r="D55" s="377" t="str">
        <f ca="1">D25</f>
        <v>Answer</v>
      </c>
      <c r="E55" s="377"/>
      <c r="F55" s="21"/>
      <c r="G55" s="60" t="str">
        <f ca="1">G25</f>
        <v>Comments</v>
      </c>
      <c r="H55" s="335"/>
      <c r="I55" s="335"/>
      <c r="J55" s="335"/>
      <c r="K55" s="51"/>
      <c r="L55" s="150" t="s">
        <v>2468</v>
      </c>
      <c r="M55" s="151"/>
      <c r="N55" s="144"/>
      <c r="O55" s="145"/>
      <c r="P55" s="12"/>
      <c r="Q55" s="12"/>
      <c r="R55" s="12"/>
      <c r="S55" s="12"/>
      <c r="T55" s="12"/>
      <c r="U55" s="12"/>
      <c r="V55" s="12"/>
      <c r="W55" s="12"/>
      <c r="X55" s="12"/>
      <c r="Y55" s="12"/>
      <c r="Z55" s="12"/>
      <c r="AA55" s="12"/>
      <c r="AB55" s="12"/>
      <c r="AC55" s="12"/>
      <c r="AD55" s="12"/>
      <c r="AE55" s="12"/>
      <c r="AF55" s="12"/>
      <c r="AG55" s="12"/>
      <c r="AH55" s="12"/>
    </row>
    <row r="56" spans="1:34" ht="22.5">
      <c r="A56" s="57"/>
      <c r="B56" s="56" t="str">
        <f ca="1">B38</f>
        <v>Tantalum  (*)</v>
      </c>
      <c r="C56" s="13"/>
      <c r="D56" s="333" t="s">
        <v>924</v>
      </c>
      <c r="E56" s="334"/>
      <c r="F56" s="63"/>
      <c r="G56" s="330"/>
      <c r="H56" s="331"/>
      <c r="I56" s="331"/>
      <c r="J56" s="332"/>
      <c r="K56" s="51"/>
      <c r="L56" s="156"/>
      <c r="M56" s="146"/>
      <c r="N56" s="144"/>
      <c r="O56" s="145"/>
      <c r="P56" s="12"/>
      <c r="Q56" s="12"/>
      <c r="R56" s="12"/>
      <c r="S56" s="12"/>
      <c r="T56" s="12"/>
      <c r="U56" s="12"/>
      <c r="V56" s="12"/>
      <c r="W56" s="12"/>
      <c r="X56" s="12"/>
      <c r="Y56" s="12"/>
      <c r="Z56" s="12"/>
      <c r="AA56" s="12"/>
      <c r="AB56" s="12"/>
      <c r="AC56" s="12"/>
      <c r="AD56" s="12"/>
      <c r="AE56" s="12"/>
      <c r="AF56" s="12"/>
      <c r="AG56" s="12"/>
      <c r="AH56" s="12"/>
    </row>
    <row r="57" spans="1:34" ht="22.5">
      <c r="A57" s="57"/>
      <c r="B57" s="56" t="str">
        <f ca="1">B39</f>
        <v>Tin  (*)</v>
      </c>
      <c r="C57" s="13"/>
      <c r="D57" s="333" t="s">
        <v>924</v>
      </c>
      <c r="E57" s="334"/>
      <c r="F57" s="63"/>
      <c r="G57" s="330"/>
      <c r="H57" s="331"/>
      <c r="I57" s="331"/>
      <c r="J57" s="332"/>
      <c r="K57" s="51"/>
      <c r="L57" s="156"/>
      <c r="M57" s="144"/>
      <c r="N57" s="144"/>
      <c r="O57" s="145"/>
      <c r="P57" s="12"/>
      <c r="Q57" s="12"/>
      <c r="R57" s="12"/>
      <c r="S57" s="12"/>
      <c r="T57" s="12"/>
      <c r="U57" s="12"/>
      <c r="V57" s="12"/>
      <c r="W57" s="12"/>
      <c r="X57" s="12"/>
      <c r="Y57" s="12"/>
      <c r="Z57" s="12"/>
      <c r="AA57" s="12"/>
      <c r="AB57" s="12"/>
      <c r="AC57" s="12"/>
      <c r="AD57" s="12"/>
      <c r="AE57" s="12"/>
      <c r="AF57" s="12"/>
      <c r="AG57" s="12"/>
      <c r="AH57" s="12"/>
    </row>
    <row r="58" spans="1:34" ht="22.5">
      <c r="A58" s="57"/>
      <c r="B58" s="56" t="str">
        <f ca="1">B40</f>
        <v>Gold  (*)</v>
      </c>
      <c r="C58" s="13"/>
      <c r="D58" s="333" t="s">
        <v>924</v>
      </c>
      <c r="E58" s="334"/>
      <c r="F58" s="63"/>
      <c r="G58" s="330"/>
      <c r="H58" s="331"/>
      <c r="I58" s="331"/>
      <c r="J58" s="332"/>
      <c r="K58" s="51"/>
      <c r="L58" s="156"/>
      <c r="M58" s="144"/>
      <c r="N58" s="144"/>
      <c r="O58" s="145"/>
      <c r="P58" s="12"/>
      <c r="Q58" s="12"/>
      <c r="R58" s="12"/>
      <c r="S58" s="12"/>
      <c r="T58" s="12"/>
      <c r="U58" s="12"/>
      <c r="V58" s="12"/>
      <c r="W58" s="12"/>
      <c r="X58" s="12"/>
      <c r="Y58" s="12"/>
      <c r="Z58" s="12"/>
      <c r="AA58" s="12"/>
      <c r="AB58" s="12"/>
      <c r="AC58" s="12"/>
      <c r="AD58" s="12"/>
      <c r="AE58" s="12"/>
      <c r="AF58" s="12"/>
      <c r="AG58" s="12"/>
      <c r="AH58" s="12"/>
    </row>
    <row r="59" spans="1:34" ht="22.5">
      <c r="A59" s="57"/>
      <c r="B59" s="56" t="str">
        <f ca="1">B41</f>
        <v>Tungsten  (*)</v>
      </c>
      <c r="C59" s="13"/>
      <c r="D59" s="333" t="s">
        <v>924</v>
      </c>
      <c r="E59" s="334"/>
      <c r="F59" s="63"/>
      <c r="G59" s="330"/>
      <c r="H59" s="331"/>
      <c r="I59" s="331"/>
      <c r="J59" s="332"/>
      <c r="K59" s="51"/>
      <c r="L59" s="156"/>
      <c r="M59" s="144"/>
      <c r="N59" s="144"/>
      <c r="O59" s="145"/>
      <c r="P59" s="12"/>
      <c r="Q59" s="12"/>
      <c r="R59" s="12"/>
      <c r="S59" s="12"/>
      <c r="T59" s="12"/>
      <c r="U59" s="12"/>
      <c r="V59" s="12"/>
      <c r="W59" s="12"/>
      <c r="X59" s="12"/>
      <c r="Y59" s="12"/>
      <c r="Z59" s="12"/>
      <c r="AA59" s="12"/>
      <c r="AB59" s="12"/>
      <c r="AC59" s="12"/>
      <c r="AD59" s="12"/>
      <c r="AE59" s="12"/>
      <c r="AF59" s="12"/>
      <c r="AG59" s="12"/>
      <c r="AH59" s="12"/>
    </row>
    <row r="60" spans="1:34" ht="15.75">
      <c r="A60" s="57"/>
      <c r="B60" s="27"/>
      <c r="C60" s="13"/>
      <c r="D60" s="109"/>
      <c r="E60" s="109"/>
      <c r="F60" s="106"/>
      <c r="G60" s="110"/>
      <c r="H60" s="110"/>
      <c r="I60" s="110"/>
      <c r="J60" s="110"/>
      <c r="K60" s="51"/>
      <c r="L60" s="150"/>
      <c r="M60" s="151"/>
      <c r="N60" s="144"/>
      <c r="O60" s="145"/>
      <c r="P60" s="12"/>
      <c r="Q60" s="12"/>
      <c r="R60" s="12"/>
      <c r="S60" s="12"/>
      <c r="T60" s="12"/>
      <c r="U60" s="12"/>
      <c r="V60" s="12"/>
      <c r="W60" s="12"/>
      <c r="X60" s="12"/>
      <c r="Y60" s="12"/>
      <c r="Z60" s="12"/>
      <c r="AA60" s="12"/>
      <c r="AB60" s="12"/>
      <c r="AC60" s="12"/>
      <c r="AD60" s="12"/>
      <c r="AE60" s="12"/>
      <c r="AF60" s="12"/>
      <c r="AG60" s="12"/>
      <c r="AH60" s="12"/>
    </row>
    <row r="61" spans="1:34" ht="45.75">
      <c r="A61" s="57"/>
      <c r="B61" s="60" t="str">
        <f ca="1">OFFSET(L!$C$1,MATCH("Declaration"&amp;ADDRESS(ROW(),COLUMN(),4),L!$A:$A,0)-1,SL,,)&amp;Q$37</f>
        <v>7) Has all applicable smelter information received by your company been reported in this declaration?  (*)</v>
      </c>
      <c r="C61" s="13"/>
      <c r="D61" s="377" t="str">
        <f ca="1">D25</f>
        <v>Answer</v>
      </c>
      <c r="E61" s="377"/>
      <c r="F61" s="21"/>
      <c r="G61" s="60" t="str">
        <f ca="1">G25</f>
        <v>Comments</v>
      </c>
      <c r="H61" s="335" t="str">
        <f>IF(Q69="(*)","Click here to enter smelter names","")</f>
        <v/>
      </c>
      <c r="I61" s="335"/>
      <c r="J61" s="335"/>
      <c r="K61" s="51"/>
      <c r="L61" s="150" t="s">
        <v>2468</v>
      </c>
      <c r="M61" s="151"/>
      <c r="N61" s="144"/>
      <c r="O61" s="145"/>
      <c r="P61" s="12"/>
      <c r="Q61" s="12"/>
      <c r="R61" s="12"/>
      <c r="S61" s="12"/>
      <c r="T61" s="12"/>
      <c r="U61" s="12"/>
      <c r="V61" s="12"/>
      <c r="W61" s="12"/>
      <c r="X61" s="12"/>
      <c r="Y61" s="12"/>
      <c r="Z61" s="12"/>
      <c r="AA61" s="12"/>
      <c r="AB61" s="12"/>
      <c r="AC61" s="12"/>
      <c r="AD61" s="12"/>
      <c r="AE61" s="12"/>
      <c r="AF61" s="12"/>
      <c r="AG61" s="12"/>
      <c r="AH61" s="12"/>
    </row>
    <row r="62" spans="1:34" ht="22.5">
      <c r="A62" s="57"/>
      <c r="B62" s="56" t="str">
        <f ca="1">B38</f>
        <v>Tantalum  (*)</v>
      </c>
      <c r="C62" s="50"/>
      <c r="D62" s="333" t="s">
        <v>924</v>
      </c>
      <c r="E62" s="334"/>
      <c r="F62" s="64"/>
      <c r="G62" s="330"/>
      <c r="H62" s="331"/>
      <c r="I62" s="331"/>
      <c r="J62" s="332"/>
      <c r="K62" s="51"/>
      <c r="L62" s="156"/>
      <c r="M62" s="146"/>
      <c r="N62" s="144"/>
      <c r="O62" s="145"/>
      <c r="P62" s="12"/>
      <c r="Q62" s="12"/>
      <c r="R62" s="12"/>
      <c r="S62" s="12"/>
      <c r="T62" s="12"/>
      <c r="U62" s="12"/>
      <c r="V62" s="12"/>
      <c r="W62" s="12"/>
      <c r="X62" s="12"/>
      <c r="Y62" s="12"/>
      <c r="Z62" s="12"/>
      <c r="AA62" s="12"/>
      <c r="AB62" s="12"/>
      <c r="AC62" s="12"/>
      <c r="AD62" s="12"/>
      <c r="AE62" s="12"/>
      <c r="AF62" s="12"/>
      <c r="AG62" s="12"/>
      <c r="AH62" s="12"/>
    </row>
    <row r="63" spans="1:34" ht="22.5">
      <c r="A63" s="57"/>
      <c r="B63" s="56" t="str">
        <f ca="1">B39</f>
        <v>Tin  (*)</v>
      </c>
      <c r="C63" s="50"/>
      <c r="D63" s="333" t="s">
        <v>924</v>
      </c>
      <c r="E63" s="334"/>
      <c r="F63" s="64"/>
      <c r="G63" s="330"/>
      <c r="H63" s="331"/>
      <c r="I63" s="331"/>
      <c r="J63" s="332"/>
      <c r="K63" s="51"/>
      <c r="L63" s="156"/>
      <c r="M63" s="144"/>
      <c r="N63" s="144"/>
      <c r="O63" s="145"/>
      <c r="P63" s="12"/>
      <c r="Q63" s="12"/>
      <c r="R63" s="12"/>
      <c r="S63" s="12"/>
      <c r="T63" s="12"/>
      <c r="U63" s="12"/>
      <c r="V63" s="12"/>
      <c r="W63" s="12"/>
      <c r="X63" s="12"/>
      <c r="Y63" s="12"/>
      <c r="Z63" s="12"/>
      <c r="AA63" s="12"/>
      <c r="AB63" s="12"/>
      <c r="AC63" s="12"/>
      <c r="AD63" s="12"/>
      <c r="AE63" s="12"/>
      <c r="AF63" s="12"/>
      <c r="AG63" s="12"/>
      <c r="AH63" s="12"/>
    </row>
    <row r="64" spans="1:34" ht="22.5">
      <c r="A64" s="57"/>
      <c r="B64" s="56" t="str">
        <f ca="1">B40</f>
        <v>Gold  (*)</v>
      </c>
      <c r="C64" s="50"/>
      <c r="D64" s="333" t="s">
        <v>924</v>
      </c>
      <c r="E64" s="334"/>
      <c r="F64" s="64"/>
      <c r="G64" s="330"/>
      <c r="H64" s="331"/>
      <c r="I64" s="331"/>
      <c r="J64" s="332"/>
      <c r="K64" s="51"/>
      <c r="L64" s="156"/>
      <c r="M64" s="144"/>
      <c r="N64" s="144"/>
      <c r="O64" s="145"/>
      <c r="P64" s="12"/>
      <c r="Q64" s="12"/>
      <c r="R64" s="12"/>
      <c r="S64" s="12"/>
      <c r="T64" s="12"/>
      <c r="U64" s="12"/>
      <c r="V64" s="12"/>
      <c r="W64" s="12"/>
      <c r="X64" s="12"/>
      <c r="Y64" s="12"/>
      <c r="Z64" s="12"/>
      <c r="AA64" s="12"/>
      <c r="AB64" s="12"/>
      <c r="AC64" s="12"/>
      <c r="AD64" s="12"/>
      <c r="AE64" s="12"/>
      <c r="AF64" s="12"/>
      <c r="AG64" s="12"/>
      <c r="AH64" s="12"/>
    </row>
    <row r="65" spans="1:34" ht="22.5">
      <c r="A65" s="53"/>
      <c r="B65" s="56" t="str">
        <f ca="1">B41</f>
        <v>Tungsten  (*)</v>
      </c>
      <c r="C65" s="65"/>
      <c r="D65" s="333" t="s">
        <v>924</v>
      </c>
      <c r="E65" s="334"/>
      <c r="F65" s="66"/>
      <c r="G65" s="330"/>
      <c r="H65" s="331"/>
      <c r="I65" s="331"/>
      <c r="J65" s="332"/>
      <c r="K65" s="54"/>
      <c r="L65" s="157"/>
      <c r="M65" s="144"/>
      <c r="N65" s="144"/>
      <c r="O65" s="145"/>
      <c r="P65" s="12"/>
      <c r="Q65" s="12"/>
      <c r="R65" s="12"/>
      <c r="S65" s="12"/>
      <c r="T65" s="12"/>
      <c r="U65" s="12"/>
      <c r="V65" s="12"/>
      <c r="W65" s="12"/>
      <c r="X65" s="12"/>
      <c r="Y65" s="12"/>
      <c r="Z65" s="12"/>
      <c r="AA65" s="12"/>
      <c r="AB65" s="12"/>
      <c r="AC65" s="12"/>
      <c r="AD65" s="12"/>
      <c r="AE65" s="12"/>
      <c r="AF65" s="12"/>
      <c r="AG65" s="12"/>
      <c r="AH65" s="12"/>
    </row>
    <row r="66" spans="1:34" ht="15">
      <c r="A66" s="57"/>
      <c r="B66" s="20"/>
      <c r="C66" s="20"/>
      <c r="D66" s="20"/>
      <c r="E66" s="20"/>
      <c r="F66" s="20"/>
      <c r="G66" s="102"/>
      <c r="H66" s="102"/>
      <c r="I66" s="102"/>
      <c r="J66" s="102"/>
      <c r="K66" s="51"/>
      <c r="L66" s="153"/>
      <c r="M66" s="144"/>
      <c r="N66" s="144"/>
      <c r="O66" s="145"/>
      <c r="P66" s="12"/>
      <c r="Q66" s="12"/>
      <c r="R66" s="12"/>
      <c r="S66" s="12"/>
      <c r="T66" s="12"/>
      <c r="U66" s="12"/>
      <c r="V66" s="12"/>
      <c r="W66" s="12"/>
      <c r="X66" s="12"/>
      <c r="Y66" s="12"/>
      <c r="Z66" s="12"/>
      <c r="AA66" s="12"/>
      <c r="AB66" s="12"/>
      <c r="AC66" s="12"/>
      <c r="AD66" s="12"/>
      <c r="AE66" s="12"/>
      <c r="AF66" s="12"/>
      <c r="AG66" s="12"/>
      <c r="AH66" s="12"/>
    </row>
    <row r="67" spans="1:34" ht="15">
      <c r="A67" s="57"/>
      <c r="B67" s="347" t="str">
        <f ca="1">OFFSET(L!$C$1,MATCH("Declaration"&amp;ADDRESS(ROW(),COLUMN(),4),L!$A:$A,0)-1,SL,,)</f>
        <v>Answer the Following Questions at a Company Level</v>
      </c>
      <c r="C67" s="347"/>
      <c r="D67" s="347"/>
      <c r="E67" s="347"/>
      <c r="F67" s="347"/>
      <c r="G67" s="347"/>
      <c r="H67" s="347"/>
      <c r="I67" s="347"/>
      <c r="J67" s="347"/>
      <c r="K67" s="51"/>
      <c r="L67" s="153"/>
      <c r="M67" s="144"/>
      <c r="N67" s="144"/>
      <c r="O67" s="145"/>
      <c r="P67" s="12"/>
      <c r="Q67" s="12"/>
      <c r="R67" s="12"/>
      <c r="S67" s="12"/>
      <c r="T67" s="12"/>
      <c r="U67" s="12"/>
      <c r="V67" s="12"/>
      <c r="W67" s="12"/>
      <c r="X67" s="12"/>
      <c r="Y67" s="12"/>
      <c r="Z67" s="12"/>
      <c r="AA67" s="12"/>
      <c r="AB67" s="12"/>
      <c r="AC67" s="12"/>
      <c r="AD67" s="12"/>
      <c r="AE67" s="12"/>
      <c r="AF67" s="12"/>
      <c r="AG67" s="12"/>
      <c r="AH67" s="12"/>
    </row>
    <row r="68" spans="1:34" ht="15.75">
      <c r="A68" s="67"/>
      <c r="B68" s="68" t="str">
        <f ca="1">OFFSET(L!$C$1,MATCH("Declaration"&amp;ADDRESS(ROW(),COLUMN(),4),L!$A:$A,0)-1,SL,,)</f>
        <v>Question</v>
      </c>
      <c r="C68" s="103"/>
      <c r="D68" s="351" t="str">
        <f ca="1">D25</f>
        <v>Answer</v>
      </c>
      <c r="E68" s="351"/>
      <c r="F68" s="69"/>
      <c r="G68" s="351" t="str">
        <f ca="1">G25</f>
        <v>Comments</v>
      </c>
      <c r="H68" s="351" t="e">
        <f>HLOOKUP(SL,LT,$O68,0)</f>
        <v>#NAME?</v>
      </c>
      <c r="I68" s="351" t="e">
        <f>HLOOKUP(SL,LT,$O68,0)</f>
        <v>#NAME?</v>
      </c>
      <c r="J68" s="104"/>
      <c r="K68" s="71"/>
      <c r="L68" s="152"/>
      <c r="M68" s="151"/>
      <c r="N68" s="144"/>
      <c r="O68" s="145"/>
      <c r="P68" s="12"/>
      <c r="Q68" s="12"/>
      <c r="R68" s="12"/>
      <c r="S68" s="12"/>
      <c r="T68" s="12"/>
      <c r="U68" s="12"/>
      <c r="V68" s="12"/>
      <c r="W68" s="12"/>
      <c r="X68" s="12"/>
      <c r="Y68" s="12"/>
      <c r="Z68" s="12"/>
      <c r="AA68" s="12"/>
      <c r="AB68" s="12"/>
      <c r="AC68" s="12"/>
      <c r="AD68" s="12"/>
      <c r="AE68" s="12"/>
      <c r="AF68" s="12"/>
      <c r="AG68" s="12"/>
      <c r="AH68" s="12"/>
    </row>
    <row r="69" spans="1:34" ht="30">
      <c r="A69" s="57"/>
      <c r="B69" s="72" t="str">
        <f ca="1">OFFSET(L!$C$1,MATCH("Declaration"&amp;ADDRESS(ROW(),COLUMN(),4),L!$A:$A,0)-1,SL,,)&amp;$Q$37</f>
        <v>A. Do you have a policy in place that addresses conflict minerals sourcing? (*)</v>
      </c>
      <c r="C69" s="73"/>
      <c r="D69" s="333" t="s">
        <v>924</v>
      </c>
      <c r="E69" s="334"/>
      <c r="F69" s="73"/>
      <c r="G69" s="330"/>
      <c r="H69" s="331"/>
      <c r="I69" s="331"/>
      <c r="J69" s="332"/>
      <c r="K69" s="51"/>
      <c r="L69" s="152" t="s">
        <v>2469</v>
      </c>
      <c r="M69" s="151"/>
      <c r="N69" s="144"/>
      <c r="O69" s="145"/>
      <c r="P69" s="12"/>
      <c r="Q69" s="12"/>
      <c r="R69" s="12"/>
      <c r="S69" s="12"/>
      <c r="T69" s="12"/>
      <c r="U69" s="12"/>
      <c r="V69" s="12"/>
      <c r="W69" s="12"/>
      <c r="X69" s="12"/>
      <c r="Y69" s="12"/>
      <c r="Z69" s="12"/>
      <c r="AA69" s="12"/>
      <c r="AB69" s="12"/>
      <c r="AC69" s="12"/>
      <c r="AD69" s="12"/>
      <c r="AE69" s="12"/>
      <c r="AF69" s="12"/>
      <c r="AG69" s="12"/>
      <c r="AH69" s="12"/>
    </row>
    <row r="70" spans="1:34" ht="15.75">
      <c r="A70" s="57"/>
      <c r="B70" s="74"/>
      <c r="C70" s="15"/>
      <c r="D70" s="1"/>
      <c r="E70" s="1"/>
      <c r="F70" s="15"/>
      <c r="G70" s="336"/>
      <c r="H70" s="336"/>
      <c r="I70" s="336"/>
      <c r="J70" s="336"/>
      <c r="K70" s="51"/>
      <c r="L70" s="152"/>
      <c r="M70" s="151"/>
      <c r="N70" s="144"/>
      <c r="O70" s="145"/>
      <c r="P70" s="12"/>
      <c r="Q70" s="12"/>
      <c r="R70" s="12"/>
      <c r="S70" s="12"/>
      <c r="T70" s="12"/>
      <c r="U70" s="12"/>
      <c r="V70" s="12"/>
      <c r="W70" s="12"/>
      <c r="X70" s="12"/>
      <c r="Y70" s="12"/>
      <c r="Z70" s="12"/>
      <c r="AA70" s="12"/>
      <c r="AB70" s="12"/>
      <c r="AC70" s="12"/>
      <c r="AD70" s="12"/>
      <c r="AE70" s="12"/>
      <c r="AF70" s="12"/>
      <c r="AG70" s="12"/>
      <c r="AH70" s="12"/>
    </row>
    <row r="71" spans="1:34" ht="49.15" customHeight="1">
      <c r="A71" s="57"/>
      <c r="B71" s="72" t="str">
        <f ca="1">OFFSET(L!$C$1,MATCH("Declaration"&amp;ADDRESS(ROW(),COLUMN(),4),L!$A:$A,0)-1,SL,,)&amp;$Q$37</f>
        <v>B. Is your conflict minerals sourcing policy publicly available on your website? (Note – If yes, the user shall specify the URL in the comment field.) (*)</v>
      </c>
      <c r="C71" s="73"/>
      <c r="D71" s="333" t="s">
        <v>925</v>
      </c>
      <c r="E71" s="334"/>
      <c r="F71" s="73"/>
      <c r="G71" s="348" t="s">
        <v>6116</v>
      </c>
      <c r="H71" s="349"/>
      <c r="I71" s="349"/>
      <c r="J71" s="350"/>
      <c r="K71" s="51"/>
      <c r="L71" s="152" t="s">
        <v>2470</v>
      </c>
      <c r="M71" s="151"/>
      <c r="N71" s="144"/>
      <c r="O71" s="145"/>
      <c r="P71" s="12"/>
      <c r="Q71" s="12"/>
      <c r="R71" s="12"/>
      <c r="S71" s="12"/>
      <c r="T71" s="12"/>
      <c r="U71" s="12"/>
      <c r="V71" s="12"/>
      <c r="W71" s="12"/>
      <c r="X71" s="12"/>
      <c r="Y71" s="12"/>
      <c r="Z71" s="12"/>
      <c r="AA71" s="12"/>
      <c r="AB71" s="12"/>
      <c r="AC71" s="12"/>
      <c r="AD71" s="12"/>
      <c r="AE71" s="12"/>
      <c r="AF71" s="12"/>
      <c r="AG71" s="12"/>
      <c r="AH71" s="12"/>
    </row>
    <row r="72" spans="1:34" ht="15.75">
      <c r="A72" s="57"/>
      <c r="B72" s="74"/>
      <c r="C72" s="15"/>
      <c r="D72" s="1"/>
      <c r="E72" s="1"/>
      <c r="F72" s="15"/>
      <c r="G72" s="70"/>
      <c r="H72" s="70"/>
      <c r="I72" s="70"/>
      <c r="J72" s="70"/>
      <c r="K72" s="51"/>
      <c r="L72" s="152"/>
      <c r="M72" s="151"/>
      <c r="N72" s="144"/>
      <c r="O72" s="145"/>
      <c r="P72" s="12"/>
      <c r="Q72" s="12"/>
      <c r="R72" s="12"/>
      <c r="S72" s="12"/>
      <c r="T72" s="12"/>
      <c r="U72" s="12"/>
      <c r="V72" s="12"/>
      <c r="W72" s="12"/>
      <c r="X72" s="12"/>
      <c r="Y72" s="12"/>
      <c r="Z72" s="12"/>
      <c r="AA72" s="12"/>
      <c r="AB72" s="12"/>
      <c r="AC72" s="12"/>
      <c r="AD72" s="12"/>
      <c r="AE72" s="12"/>
      <c r="AF72" s="12"/>
      <c r="AG72" s="12"/>
      <c r="AH72" s="12"/>
    </row>
    <row r="73" spans="1:34" ht="36.75" customHeight="1">
      <c r="A73" s="57"/>
      <c r="B73" s="72" t="str">
        <f ca="1">OFFSET(L!$C$1,MATCH("Declaration"&amp;ADDRESS(ROW(),COLUMN(),4),L!$A:$A,0)-1,SL,,)&amp;$Q$37</f>
        <v>C. Do you require your direct suppliers to be DRC conflict-free? (*)</v>
      </c>
      <c r="C73" s="73"/>
      <c r="D73" s="333" t="s">
        <v>925</v>
      </c>
      <c r="E73" s="334"/>
      <c r="F73" s="73"/>
      <c r="G73" s="330"/>
      <c r="H73" s="331"/>
      <c r="I73" s="331"/>
      <c r="J73" s="332"/>
      <c r="K73" s="51"/>
      <c r="L73" s="152" t="s">
        <v>2470</v>
      </c>
      <c r="M73" s="151"/>
      <c r="N73" s="144"/>
      <c r="O73" s="145"/>
      <c r="P73" s="12"/>
      <c r="Q73" s="12"/>
      <c r="R73" s="12"/>
      <c r="S73" s="12"/>
      <c r="T73" s="12"/>
      <c r="U73" s="12"/>
      <c r="V73" s="12"/>
      <c r="W73" s="12"/>
      <c r="X73" s="12"/>
      <c r="Y73" s="12"/>
      <c r="Z73" s="12"/>
      <c r="AA73" s="12"/>
      <c r="AB73" s="12"/>
      <c r="AC73" s="12"/>
      <c r="AD73" s="12"/>
      <c r="AE73" s="12"/>
      <c r="AF73" s="12"/>
      <c r="AG73" s="12"/>
      <c r="AH73" s="12"/>
    </row>
    <row r="74" spans="1:34" ht="15.75">
      <c r="A74" s="57"/>
      <c r="B74" s="74"/>
      <c r="C74" s="15"/>
      <c r="D74" s="1"/>
      <c r="E74" s="1"/>
      <c r="F74" s="15"/>
      <c r="G74" s="70"/>
      <c r="H74" s="70"/>
      <c r="I74" s="70"/>
      <c r="J74" s="70"/>
      <c r="K74" s="51"/>
      <c r="L74" s="152"/>
      <c r="M74" s="151"/>
      <c r="N74" s="144"/>
      <c r="O74" s="145"/>
      <c r="P74" s="12"/>
      <c r="Q74" s="12"/>
      <c r="R74" s="12"/>
      <c r="S74" s="12"/>
      <c r="T74" s="12"/>
      <c r="U74" s="12"/>
      <c r="V74" s="12"/>
      <c r="W74" s="12"/>
      <c r="X74" s="12"/>
      <c r="Y74" s="12"/>
      <c r="Z74" s="12"/>
      <c r="AA74" s="12"/>
      <c r="AB74" s="12"/>
      <c r="AC74" s="12"/>
      <c r="AD74" s="12"/>
      <c r="AE74" s="12"/>
      <c r="AF74" s="12"/>
      <c r="AG74" s="12"/>
      <c r="AH74" s="12"/>
    </row>
    <row r="75" spans="1:34" ht="48" customHeight="1">
      <c r="A75" s="57"/>
      <c r="B75" s="72" t="str">
        <f ca="1">OFFSET(L!$C$1,MATCH("Declaration"&amp;ADDRESS(ROW(),COLUMN(),4),L!$A:$A,0)-1,SL,,)&amp;$Q$37</f>
        <v>D. Do you require your direct suppliers to source the 3TG from smelters whose due diligence practices have been validated by an independent third party audit program? (*)</v>
      </c>
      <c r="C75" s="73"/>
      <c r="D75" s="333" t="s">
        <v>924</v>
      </c>
      <c r="E75" s="334"/>
      <c r="F75" s="73"/>
      <c r="G75" s="330"/>
      <c r="H75" s="331"/>
      <c r="I75" s="331"/>
      <c r="J75" s="332"/>
      <c r="K75" s="51"/>
      <c r="L75" s="152" t="s">
        <v>2551</v>
      </c>
      <c r="M75" s="151"/>
      <c r="N75" s="144"/>
      <c r="O75" s="145"/>
      <c r="P75" s="12"/>
      <c r="Q75" s="12"/>
      <c r="R75" s="12"/>
      <c r="S75" s="12"/>
      <c r="T75" s="12"/>
      <c r="U75" s="12"/>
      <c r="V75" s="12"/>
      <c r="W75" s="12"/>
      <c r="X75" s="12"/>
      <c r="Y75" s="12"/>
      <c r="Z75" s="12"/>
      <c r="AA75" s="12"/>
      <c r="AB75" s="12"/>
      <c r="AC75" s="12"/>
      <c r="AD75" s="12"/>
      <c r="AE75" s="12"/>
      <c r="AF75" s="12"/>
      <c r="AG75" s="12"/>
      <c r="AH75" s="12"/>
    </row>
    <row r="76" spans="1:34" ht="15.75">
      <c r="A76" s="57"/>
      <c r="B76" s="75"/>
      <c r="C76" s="15"/>
      <c r="D76" s="76"/>
      <c r="E76" s="76"/>
      <c r="F76" s="15"/>
      <c r="G76" s="70"/>
      <c r="H76" s="70"/>
      <c r="I76" s="70"/>
      <c r="J76" s="70"/>
      <c r="K76" s="51"/>
      <c r="L76" s="152"/>
      <c r="M76" s="151"/>
      <c r="N76" s="144"/>
      <c r="O76" s="145"/>
      <c r="P76" s="12"/>
      <c r="Q76" s="12"/>
      <c r="R76" s="12"/>
      <c r="S76" s="12"/>
      <c r="T76" s="12"/>
      <c r="U76" s="12"/>
      <c r="V76" s="12"/>
      <c r="W76" s="12"/>
      <c r="X76" s="12"/>
      <c r="Y76" s="12"/>
      <c r="Z76" s="12"/>
      <c r="AA76" s="12"/>
      <c r="AB76" s="12"/>
      <c r="AC76" s="12"/>
      <c r="AD76" s="12"/>
      <c r="AE76" s="12"/>
      <c r="AF76" s="12"/>
      <c r="AG76" s="12"/>
      <c r="AH76" s="12"/>
    </row>
    <row r="77" spans="1:34" ht="35.25" customHeight="1">
      <c r="A77" s="57"/>
      <c r="B77" s="72" t="str">
        <f ca="1">OFFSET(L!$C$1,MATCH("Declaration"&amp;ADDRESS(ROW(),COLUMN(),4),L!$A:$A,0)-1,SL,,)&amp;$Q$37</f>
        <v>E. Have you implemented due diligence measures for conflict-free sourcing? (*)</v>
      </c>
      <c r="C77" s="73"/>
      <c r="D77" s="333" t="s">
        <v>924</v>
      </c>
      <c r="E77" s="334"/>
      <c r="F77" s="73"/>
      <c r="G77" s="330"/>
      <c r="H77" s="331"/>
      <c r="I77" s="331"/>
      <c r="J77" s="332"/>
      <c r="K77" s="51"/>
      <c r="L77" s="152" t="s">
        <v>2470</v>
      </c>
      <c r="M77" s="151"/>
      <c r="N77" s="144"/>
      <c r="O77" s="145"/>
      <c r="P77" s="12"/>
      <c r="Q77" s="12"/>
      <c r="R77" s="12"/>
      <c r="S77" s="12"/>
      <c r="T77" s="12"/>
      <c r="U77" s="12"/>
      <c r="V77" s="12"/>
      <c r="W77" s="12"/>
      <c r="X77" s="12"/>
      <c r="Y77" s="12"/>
      <c r="Z77" s="12"/>
      <c r="AA77" s="12"/>
      <c r="AB77" s="12"/>
      <c r="AC77" s="12"/>
      <c r="AD77" s="12"/>
      <c r="AE77" s="12"/>
      <c r="AF77" s="12"/>
      <c r="AG77" s="12"/>
      <c r="AH77" s="12"/>
    </row>
    <row r="78" spans="1:34" ht="15.75">
      <c r="A78" s="57"/>
      <c r="B78" s="74"/>
      <c r="C78" s="15"/>
      <c r="D78" s="1"/>
      <c r="E78" s="1"/>
      <c r="F78" s="15"/>
      <c r="G78" s="70"/>
      <c r="H78" s="70"/>
      <c r="I78" s="70"/>
      <c r="J78" s="70"/>
      <c r="K78" s="51"/>
      <c r="L78" s="152"/>
      <c r="M78" s="151"/>
      <c r="N78" s="144"/>
      <c r="O78" s="145"/>
      <c r="P78" s="12"/>
      <c r="Q78" s="12"/>
      <c r="R78" s="12"/>
      <c r="S78" s="12"/>
      <c r="T78" s="12"/>
      <c r="U78" s="12"/>
      <c r="V78" s="12"/>
      <c r="W78" s="12"/>
      <c r="X78" s="12"/>
      <c r="Y78" s="12"/>
      <c r="Z78" s="12"/>
      <c r="AA78" s="12"/>
      <c r="AB78" s="12"/>
      <c r="AC78" s="12"/>
      <c r="AD78" s="12"/>
      <c r="AE78" s="12"/>
      <c r="AF78" s="12"/>
      <c r="AG78" s="12"/>
      <c r="AH78" s="12"/>
    </row>
    <row r="79" spans="1:34" ht="49.5" customHeight="1">
      <c r="A79" s="57"/>
      <c r="B79" s="72" t="str">
        <f ca="1">OFFSET(L!$C$1,MATCH("Declaration"&amp;ADDRESS(ROW(),COLUMN(),4),L!$A:$A,0)-1,SL,,)&amp;$Q$37</f>
        <v>F. Do you collect conflict minerals due diligence information from your suppliers which is in conformance with the IPC-1755 Conflict Minerals Data Exchange standard [e.g., the CFSI Conflict Minerals Reporting Template]? (*)</v>
      </c>
      <c r="C79" s="73"/>
      <c r="D79" s="333" t="s">
        <v>924</v>
      </c>
      <c r="E79" s="334"/>
      <c r="F79" s="73"/>
      <c r="G79" s="330"/>
      <c r="H79" s="331"/>
      <c r="I79" s="331"/>
      <c r="J79" s="332"/>
      <c r="K79" s="51"/>
      <c r="L79" s="152" t="s">
        <v>2470</v>
      </c>
      <c r="M79" s="151"/>
      <c r="N79" s="144"/>
      <c r="O79" s="145"/>
      <c r="P79" s="12"/>
      <c r="Q79" s="12"/>
      <c r="R79" s="12"/>
      <c r="S79" s="12"/>
      <c r="T79" s="12"/>
      <c r="U79" s="12"/>
      <c r="V79" s="12"/>
      <c r="W79" s="12"/>
      <c r="X79" s="12"/>
      <c r="Y79" s="12"/>
      <c r="Z79" s="12"/>
      <c r="AA79" s="12"/>
      <c r="AB79" s="12"/>
      <c r="AC79" s="12"/>
      <c r="AD79" s="12"/>
      <c r="AE79" s="12"/>
      <c r="AF79" s="12"/>
      <c r="AG79" s="12"/>
      <c r="AH79" s="12"/>
    </row>
    <row r="80" spans="1:34" ht="15.75">
      <c r="A80" s="57"/>
      <c r="B80" s="77"/>
      <c r="C80" s="15"/>
      <c r="D80" s="1"/>
      <c r="E80" s="1"/>
      <c r="F80" s="16"/>
      <c r="G80" s="336"/>
      <c r="H80" s="336"/>
      <c r="I80" s="336"/>
      <c r="J80" s="336"/>
      <c r="K80" s="51"/>
      <c r="L80" s="152"/>
      <c r="M80" s="151"/>
      <c r="N80" s="144"/>
      <c r="O80" s="145"/>
      <c r="P80" s="12"/>
      <c r="Q80" s="12"/>
      <c r="R80" s="12"/>
      <c r="S80" s="12"/>
      <c r="T80" s="12"/>
      <c r="U80" s="12"/>
      <c r="V80" s="12"/>
      <c r="W80" s="12"/>
      <c r="X80" s="12"/>
      <c r="Y80" s="12"/>
      <c r="Z80" s="12"/>
      <c r="AA80" s="12"/>
      <c r="AB80" s="12"/>
      <c r="AC80" s="12"/>
      <c r="AD80" s="12"/>
      <c r="AE80" s="12"/>
      <c r="AF80" s="12"/>
      <c r="AG80" s="12"/>
      <c r="AH80" s="12"/>
    </row>
    <row r="81" spans="1:34" ht="30">
      <c r="A81" s="57"/>
      <c r="B81" s="72" t="str">
        <f ca="1">OFFSET(L!$C$1,MATCH("Declaration"&amp;ADDRESS(ROW(),COLUMN(),4),L!$A:$A,0)-1,SL,,)&amp;$Q$37</f>
        <v>G. Do you request smelter names from your suppliers? (*)</v>
      </c>
      <c r="C81" s="73"/>
      <c r="D81" s="333" t="s">
        <v>924</v>
      </c>
      <c r="E81" s="334"/>
      <c r="F81" s="73"/>
      <c r="G81" s="330"/>
      <c r="H81" s="331"/>
      <c r="I81" s="331"/>
      <c r="J81" s="332"/>
      <c r="K81" s="51"/>
      <c r="L81" s="152" t="s">
        <v>2470</v>
      </c>
      <c r="M81" s="151"/>
      <c r="N81" s="144"/>
      <c r="O81" s="145"/>
      <c r="P81" s="12"/>
      <c r="Q81" s="12"/>
      <c r="R81" s="12"/>
      <c r="S81" s="12"/>
      <c r="T81" s="12"/>
      <c r="U81" s="12"/>
      <c r="V81" s="12"/>
      <c r="W81" s="12"/>
      <c r="X81" s="12"/>
      <c r="Y81" s="12"/>
      <c r="Z81" s="12"/>
      <c r="AA81" s="12"/>
      <c r="AB81" s="12"/>
      <c r="AC81" s="12"/>
      <c r="AD81" s="12"/>
      <c r="AE81" s="12"/>
      <c r="AF81" s="12"/>
      <c r="AG81" s="12"/>
      <c r="AH81" s="12"/>
    </row>
    <row r="82" spans="1:34" ht="15.75">
      <c r="A82" s="57"/>
      <c r="B82" s="77"/>
      <c r="C82" s="15"/>
      <c r="D82" s="1"/>
      <c r="E82" s="1"/>
      <c r="F82" s="16"/>
      <c r="G82" s="336"/>
      <c r="H82" s="336"/>
      <c r="I82" s="336"/>
      <c r="J82" s="336"/>
      <c r="K82" s="51"/>
      <c r="L82" s="152"/>
      <c r="M82" s="151"/>
      <c r="N82" s="144"/>
      <c r="O82" s="145"/>
      <c r="P82" s="12"/>
      <c r="Q82" s="12"/>
      <c r="R82" s="12"/>
      <c r="S82" s="12"/>
      <c r="T82" s="12"/>
      <c r="U82" s="12"/>
      <c r="V82" s="12"/>
      <c r="W82" s="12"/>
      <c r="X82" s="12"/>
      <c r="Y82" s="12"/>
      <c r="Z82" s="12"/>
      <c r="AA82" s="12"/>
      <c r="AB82" s="12"/>
      <c r="AC82" s="12"/>
      <c r="AD82" s="12"/>
      <c r="AE82" s="12"/>
      <c r="AF82" s="12"/>
      <c r="AG82" s="12"/>
      <c r="AH82" s="12"/>
    </row>
    <row r="83" spans="1:34" ht="37.15" customHeight="1">
      <c r="A83" s="57"/>
      <c r="B83" s="72" t="str">
        <f ca="1">OFFSET(L!$C$1,MATCH("Declaration"&amp;ADDRESS(ROW(),COLUMN(),4),L!$A:$A,0)-1,SL,,)&amp;$Q$37</f>
        <v>H. Do you review due diligence information received from your suppliers against your company’s expectations? (*)</v>
      </c>
      <c r="C83" s="73"/>
      <c r="D83" s="333" t="s">
        <v>924</v>
      </c>
      <c r="E83" s="334"/>
      <c r="F83" s="73"/>
      <c r="G83" s="330"/>
      <c r="H83" s="331"/>
      <c r="I83" s="331"/>
      <c r="J83" s="332"/>
      <c r="K83" s="51"/>
      <c r="L83" s="152" t="s">
        <v>2468</v>
      </c>
      <c r="M83" s="151"/>
      <c r="N83" s="144"/>
      <c r="O83" s="145"/>
      <c r="P83" s="12"/>
      <c r="Q83" s="12"/>
      <c r="R83" s="12"/>
      <c r="S83" s="12"/>
      <c r="T83" s="12"/>
      <c r="U83" s="12"/>
      <c r="V83" s="12"/>
      <c r="W83" s="12"/>
      <c r="X83" s="12"/>
      <c r="Y83" s="12"/>
      <c r="Z83" s="12"/>
      <c r="AA83" s="12"/>
      <c r="AB83" s="12"/>
      <c r="AC83" s="12"/>
      <c r="AD83" s="12"/>
      <c r="AE83" s="12"/>
      <c r="AF83" s="12"/>
      <c r="AG83" s="12"/>
      <c r="AH83" s="12"/>
    </row>
    <row r="84" spans="1:34" ht="15.75">
      <c r="A84" s="57"/>
      <c r="B84" s="74"/>
      <c r="C84" s="15"/>
      <c r="D84" s="1"/>
      <c r="E84" s="1"/>
      <c r="F84" s="16"/>
      <c r="G84" s="337"/>
      <c r="H84" s="337"/>
      <c r="I84" s="337"/>
      <c r="J84" s="337"/>
      <c r="K84" s="51"/>
      <c r="L84" s="152"/>
      <c r="M84" s="151"/>
      <c r="N84" s="144"/>
      <c r="O84" s="145"/>
      <c r="P84" s="12"/>
      <c r="Q84" s="12"/>
      <c r="R84" s="12"/>
      <c r="S84" s="12"/>
      <c r="T84" s="12"/>
      <c r="U84" s="12"/>
      <c r="V84" s="12"/>
      <c r="W84" s="12"/>
      <c r="X84" s="12"/>
      <c r="Y84" s="12"/>
      <c r="Z84" s="12"/>
      <c r="AA84" s="12"/>
      <c r="AB84" s="12"/>
      <c r="AC84" s="12"/>
      <c r="AD84" s="12"/>
      <c r="AE84" s="12"/>
      <c r="AF84" s="12"/>
      <c r="AG84" s="12"/>
      <c r="AH84" s="12"/>
    </row>
    <row r="85" spans="1:34" ht="30">
      <c r="A85" s="57"/>
      <c r="B85" s="72" t="str">
        <f ca="1">OFFSET(L!$C$1,MATCH("Declaration"&amp;ADDRESS(ROW(),COLUMN(),4),L!$A:$A,0)-1,SL,,)&amp;$Q$37</f>
        <v>I. Does your review process include corrective action management? (*)</v>
      </c>
      <c r="C85" s="73"/>
      <c r="D85" s="333" t="s">
        <v>924</v>
      </c>
      <c r="E85" s="334"/>
      <c r="F85" s="73"/>
      <c r="G85" s="330"/>
      <c r="H85" s="331"/>
      <c r="I85" s="331"/>
      <c r="J85" s="332"/>
      <c r="K85" s="51"/>
      <c r="L85" s="152" t="s">
        <v>2470</v>
      </c>
      <c r="M85" s="151"/>
      <c r="N85" s="144"/>
      <c r="O85" s="145"/>
      <c r="P85" s="12"/>
      <c r="Q85" s="12"/>
      <c r="R85" s="12"/>
      <c r="S85" s="12"/>
      <c r="T85" s="12"/>
      <c r="U85" s="12"/>
      <c r="V85" s="12"/>
      <c r="W85" s="12"/>
      <c r="X85" s="12"/>
      <c r="Y85" s="12"/>
      <c r="Z85" s="12"/>
      <c r="AA85" s="12"/>
      <c r="AB85" s="12"/>
      <c r="AC85" s="12"/>
      <c r="AD85" s="12"/>
      <c r="AE85" s="12"/>
      <c r="AF85" s="12"/>
      <c r="AG85" s="12"/>
      <c r="AH85" s="12"/>
    </row>
    <row r="86" spans="1:34" ht="15">
      <c r="A86" s="57"/>
      <c r="B86" s="78"/>
      <c r="C86" s="13"/>
      <c r="D86" s="79"/>
      <c r="E86" s="79"/>
      <c r="F86" s="13"/>
      <c r="G86" s="80"/>
      <c r="H86" s="80"/>
      <c r="I86" s="80"/>
      <c r="J86" s="80"/>
      <c r="K86" s="51"/>
      <c r="L86" s="152"/>
      <c r="M86" s="151"/>
      <c r="N86" s="144"/>
      <c r="O86" s="145"/>
      <c r="P86" s="12"/>
      <c r="Q86" s="12"/>
      <c r="R86" s="12"/>
      <c r="S86" s="12"/>
      <c r="T86" s="12"/>
      <c r="U86" s="12"/>
      <c r="V86" s="12"/>
      <c r="W86" s="12"/>
      <c r="X86" s="12"/>
      <c r="Y86" s="12"/>
      <c r="Z86" s="12"/>
      <c r="AA86" s="12"/>
      <c r="AB86" s="12"/>
      <c r="AC86" s="12"/>
      <c r="AD86" s="12"/>
      <c r="AE86" s="12"/>
      <c r="AF86" s="12"/>
      <c r="AG86" s="12"/>
      <c r="AH86" s="12"/>
    </row>
    <row r="87" spans="1:34" ht="30">
      <c r="A87" s="57"/>
      <c r="B87" s="72" t="str">
        <f ca="1">OFFSET(L!$C$1,MATCH("Declaration"&amp;ADDRESS(ROW(),COLUMN(),4),L!$A:$A,0)-1,SL,,)&amp;$Q$37</f>
        <v>J. Are you subject to the SEC Conflict Minerals rule? (*)</v>
      </c>
      <c r="C87" s="73"/>
      <c r="D87" s="333" t="s">
        <v>924</v>
      </c>
      <c r="E87" s="334"/>
      <c r="F87" s="73"/>
      <c r="G87" s="330"/>
      <c r="H87" s="331"/>
      <c r="I87" s="331"/>
      <c r="J87" s="332"/>
      <c r="K87" s="51"/>
      <c r="L87" s="153" t="s">
        <v>2470</v>
      </c>
      <c r="M87" s="144"/>
      <c r="N87" s="144"/>
      <c r="O87" s="145"/>
      <c r="P87" s="12"/>
      <c r="Q87" s="12"/>
      <c r="R87" s="12"/>
      <c r="S87" s="12"/>
      <c r="T87" s="12"/>
      <c r="U87" s="12"/>
      <c r="V87" s="12"/>
      <c r="W87" s="12"/>
      <c r="X87" s="12"/>
      <c r="Y87" s="12"/>
      <c r="Z87" s="12"/>
      <c r="AA87" s="12"/>
      <c r="AB87" s="12"/>
      <c r="AC87" s="12"/>
      <c r="AD87" s="12"/>
      <c r="AE87" s="12"/>
      <c r="AF87" s="12"/>
      <c r="AG87" s="12"/>
      <c r="AH87" s="12"/>
    </row>
    <row r="88" spans="1:34" ht="15">
      <c r="A88" s="57"/>
      <c r="B88" s="338" t="e">
        <f ca="1">IF(OR($D$8="",$I$3=""),"","Click here to check required fields completion")</f>
        <v>#REF!</v>
      </c>
      <c r="C88" s="338"/>
      <c r="D88" s="338"/>
      <c r="E88" s="338"/>
      <c r="F88" s="338"/>
      <c r="G88" s="338"/>
      <c r="H88" s="338"/>
      <c r="I88" s="338"/>
      <c r="J88" s="338"/>
      <c r="K88" s="51"/>
      <c r="L88" s="153"/>
      <c r="M88" s="144"/>
      <c r="N88" s="144"/>
      <c r="O88" s="145"/>
      <c r="P88" s="12"/>
      <c r="Q88" s="12"/>
      <c r="R88" s="12"/>
      <c r="S88" s="12"/>
      <c r="T88" s="12"/>
      <c r="U88" s="12"/>
      <c r="V88" s="12"/>
      <c r="W88" s="12"/>
      <c r="X88" s="12"/>
      <c r="Y88" s="12"/>
      <c r="Z88" s="12"/>
      <c r="AA88" s="12"/>
      <c r="AB88" s="12"/>
      <c r="AC88" s="12"/>
      <c r="AD88" s="12"/>
      <c r="AE88" s="12"/>
      <c r="AF88" s="12"/>
      <c r="AG88" s="12"/>
      <c r="AH88" s="12"/>
    </row>
    <row r="89" spans="1:34" ht="15.75" thickBot="1">
      <c r="A89" s="328" t="str">
        <f ca="1">OFFSET(L!$C$1,MATCH("General"&amp;"Cpy",L!$A:$A,0)-1,SL,,)</f>
        <v>© 2016 Conflict-Free Sourcing Initiative. All rights reserved.</v>
      </c>
      <c r="B89" s="329"/>
      <c r="C89" s="329"/>
      <c r="D89" s="329"/>
      <c r="E89" s="329"/>
      <c r="F89" s="329"/>
      <c r="G89" s="329"/>
      <c r="H89" s="329"/>
      <c r="I89" s="329"/>
      <c r="J89" s="329"/>
      <c r="K89" s="81"/>
      <c r="L89" s="153"/>
      <c r="M89" s="144"/>
      <c r="N89" s="144"/>
      <c r="O89" s="145"/>
      <c r="P89" s="12"/>
      <c r="Q89" s="12"/>
      <c r="R89" s="12"/>
      <c r="S89" s="12"/>
      <c r="T89" s="12"/>
      <c r="U89" s="12"/>
      <c r="V89" s="12"/>
      <c r="W89" s="12"/>
      <c r="X89" s="12"/>
      <c r="Y89" s="12"/>
      <c r="Z89" s="12"/>
      <c r="AA89" s="12"/>
      <c r="AB89" s="12"/>
      <c r="AC89" s="12"/>
      <c r="AD89" s="12"/>
      <c r="AE89" s="12"/>
      <c r="AF89" s="12"/>
      <c r="AG89" s="12"/>
      <c r="AH89" s="12"/>
    </row>
    <row r="90" spans="1:34" ht="15.75" thickTop="1">
      <c r="A90" s="144"/>
      <c r="B90" s="127"/>
      <c r="L90" s="143"/>
      <c r="M90" s="144"/>
      <c r="N90" s="144"/>
      <c r="O90" s="145"/>
      <c r="P90" s="12"/>
      <c r="Q90" s="12"/>
      <c r="R90" s="12"/>
      <c r="S90" s="12"/>
      <c r="T90" s="12"/>
      <c r="U90" s="12"/>
      <c r="V90" s="12"/>
      <c r="W90" s="12"/>
      <c r="X90" s="12"/>
      <c r="Y90" s="12"/>
      <c r="Z90" s="12"/>
      <c r="AA90" s="12"/>
      <c r="AB90" s="12"/>
      <c r="AC90" s="12"/>
      <c r="AD90" s="12"/>
      <c r="AE90" s="12"/>
      <c r="AF90" s="12"/>
      <c r="AG90" s="12"/>
      <c r="AH90" s="12"/>
    </row>
    <row r="91" spans="1:34">
      <c r="A91" s="127"/>
      <c r="B91" s="127"/>
    </row>
    <row r="93" spans="1:34" hidden="1"/>
    <row r="94" spans="1:34" hidden="1">
      <c r="D94" s="160" t="s">
        <v>924</v>
      </c>
    </row>
    <row r="95" spans="1:34" hidden="1">
      <c r="D95" s="160" t="s">
        <v>925</v>
      </c>
    </row>
    <row r="96" spans="1:34" hidden="1">
      <c r="D96" s="160" t="s">
        <v>926</v>
      </c>
    </row>
    <row r="97" spans="4:4" hidden="1">
      <c r="D97" s="160" t="s">
        <v>927</v>
      </c>
    </row>
    <row r="98" spans="4:4" hidden="1">
      <c r="D98" s="160" t="s">
        <v>928</v>
      </c>
    </row>
    <row r="99" spans="4:4" hidden="1">
      <c r="D99" s="160" t="s">
        <v>929</v>
      </c>
    </row>
    <row r="100" spans="4:4" hidden="1">
      <c r="D100" s="160" t="s">
        <v>930</v>
      </c>
    </row>
    <row r="101" spans="4:4" hidden="1">
      <c r="D101" s="160" t="s">
        <v>932</v>
      </c>
    </row>
    <row r="102" spans="4:4" hidden="1">
      <c r="D102" s="160" t="s">
        <v>931</v>
      </c>
    </row>
    <row r="103" spans="4:4" hidden="1"/>
  </sheetData>
  <sheetProtection password="E985" sheet="1" objects="1" scenarios="1"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20">
    <mergeCell ref="D49:E49"/>
    <mergeCell ref="D55:E55"/>
    <mergeCell ref="D32:E32"/>
    <mergeCell ref="D46:E46"/>
    <mergeCell ref="D35:E35"/>
    <mergeCell ref="D39:E39"/>
    <mergeCell ref="D45:E45"/>
    <mergeCell ref="G45:J45"/>
    <mergeCell ref="G40:J40"/>
    <mergeCell ref="D44:E44"/>
    <mergeCell ref="G33:J33"/>
    <mergeCell ref="G27:J27"/>
    <mergeCell ref="D21:J21"/>
    <mergeCell ref="D26:E26"/>
    <mergeCell ref="D27:E27"/>
    <mergeCell ref="D22:E22"/>
    <mergeCell ref="B24:J24"/>
    <mergeCell ref="G38:J38"/>
    <mergeCell ref="D38:E38"/>
    <mergeCell ref="D34:E34"/>
    <mergeCell ref="D33:E33"/>
    <mergeCell ref="G34:J34"/>
    <mergeCell ref="D31:E31"/>
    <mergeCell ref="D25:E25"/>
    <mergeCell ref="D37:E37"/>
    <mergeCell ref="D43:E43"/>
    <mergeCell ref="D57:E57"/>
    <mergeCell ref="G57:J57"/>
    <mergeCell ref="G58:J58"/>
    <mergeCell ref="D56:E56"/>
    <mergeCell ref="D61:E61"/>
    <mergeCell ref="G39:J39"/>
    <mergeCell ref="G32:J32"/>
    <mergeCell ref="G29:J29"/>
    <mergeCell ref="D28:E28"/>
    <mergeCell ref="G35:J35"/>
    <mergeCell ref="G47:J47"/>
    <mergeCell ref="D53:E53"/>
    <mergeCell ref="D50:E50"/>
    <mergeCell ref="G50:J50"/>
    <mergeCell ref="D51:E51"/>
    <mergeCell ref="D47:E47"/>
    <mergeCell ref="G51:J51"/>
    <mergeCell ref="G52:J52"/>
    <mergeCell ref="G53:J53"/>
    <mergeCell ref="G46:J46"/>
    <mergeCell ref="G41:J41"/>
    <mergeCell ref="D40:E40"/>
    <mergeCell ref="D41:E41"/>
    <mergeCell ref="G44:J44"/>
    <mergeCell ref="D9:G9"/>
    <mergeCell ref="B7:J7"/>
    <mergeCell ref="D29:E29"/>
    <mergeCell ref="G26:J26"/>
    <mergeCell ref="G28:J28"/>
    <mergeCell ref="B10:B11"/>
    <mergeCell ref="A1:K1"/>
    <mergeCell ref="D2:J2"/>
    <mergeCell ref="D8:J8"/>
    <mergeCell ref="D18:J18"/>
    <mergeCell ref="B4:H4"/>
    <mergeCell ref="D10:J10"/>
    <mergeCell ref="D14:J14"/>
    <mergeCell ref="D13:J13"/>
    <mergeCell ref="F3:H3"/>
    <mergeCell ref="I4:J4"/>
    <mergeCell ref="D11:J11"/>
    <mergeCell ref="B6:J6"/>
    <mergeCell ref="D15:J15"/>
    <mergeCell ref="D17:J17"/>
    <mergeCell ref="D16:J16"/>
    <mergeCell ref="D20:J20"/>
    <mergeCell ref="D85:E85"/>
    <mergeCell ref="G82:J82"/>
    <mergeCell ref="G81:J81"/>
    <mergeCell ref="G83:J83"/>
    <mergeCell ref="D81:E81"/>
    <mergeCell ref="G62:J62"/>
    <mergeCell ref="G75:J75"/>
    <mergeCell ref="H37:J37"/>
    <mergeCell ref="D12:J12"/>
    <mergeCell ref="D19:J19"/>
    <mergeCell ref="D23:E23"/>
    <mergeCell ref="G65:J65"/>
    <mergeCell ref="G63:J63"/>
    <mergeCell ref="B67:J67"/>
    <mergeCell ref="D63:E63"/>
    <mergeCell ref="D62:E62"/>
    <mergeCell ref="G71:J71"/>
    <mergeCell ref="D71:E71"/>
    <mergeCell ref="G68:I68"/>
    <mergeCell ref="D68:E68"/>
    <mergeCell ref="H61:J61"/>
    <mergeCell ref="G56:J56"/>
    <mergeCell ref="D59:E59"/>
    <mergeCell ref="D58:E58"/>
    <mergeCell ref="A89:J89"/>
    <mergeCell ref="G79:J79"/>
    <mergeCell ref="D52:E52"/>
    <mergeCell ref="G59:J59"/>
    <mergeCell ref="H55:J55"/>
    <mergeCell ref="G64:J64"/>
    <mergeCell ref="D65:E65"/>
    <mergeCell ref="G69:J69"/>
    <mergeCell ref="D64:E64"/>
    <mergeCell ref="D69:E69"/>
    <mergeCell ref="D87:E87"/>
    <mergeCell ref="G70:J70"/>
    <mergeCell ref="G84:J84"/>
    <mergeCell ref="D77:E77"/>
    <mergeCell ref="G85:J85"/>
    <mergeCell ref="D73:E73"/>
    <mergeCell ref="G80:J80"/>
    <mergeCell ref="G77:J77"/>
    <mergeCell ref="G73:J73"/>
    <mergeCell ref="B88:J88"/>
    <mergeCell ref="G87:J87"/>
    <mergeCell ref="D75:E75"/>
    <mergeCell ref="D83:E83"/>
    <mergeCell ref="D79:E79"/>
  </mergeCells>
  <phoneticPr fontId="4" type="noConversion"/>
  <conditionalFormatting sqref="D69:E69 D71:E71 D73:E73 D75:E75 D87:E87 D79:E79 D81:E81 D83:E83 D85:E85 D77">
    <cfRule type="expression" dxfId="138" priority="30" stopIfTrue="1">
      <formula>AND($D$26="No",$D$27="No",$D$28="No",$D$29="No")</formula>
    </cfRule>
    <cfRule type="expression" dxfId="137" priority="31" stopIfTrue="1">
      <formula>IF(D69="",TRUE)</formula>
    </cfRule>
  </conditionalFormatting>
  <conditionalFormatting sqref="G71:J71">
    <cfRule type="expression" dxfId="136" priority="2" stopIfTrue="1">
      <formula>IF(AND($D$71="Yes",$G$71=""),TRUE)</formula>
    </cfRule>
  </conditionalFormatting>
  <conditionalFormatting sqref="D26:E26">
    <cfRule type="expression" dxfId="135" priority="82" stopIfTrue="1">
      <formula>IF($D$26="",TRUE)</formula>
    </cfRule>
  </conditionalFormatting>
  <conditionalFormatting sqref="D38:E38 D44:E44 D50:E50 D56:E56 D62:E62">
    <cfRule type="expression" dxfId="134" priority="87" stopIfTrue="1">
      <formula>$P$38=""</formula>
    </cfRule>
    <cfRule type="expression" dxfId="133" priority="88" stopIfTrue="1">
      <formula>D38=""</formula>
    </cfRule>
  </conditionalFormatting>
  <conditionalFormatting sqref="D27:E27">
    <cfRule type="expression" dxfId="132" priority="89" stopIfTrue="1">
      <formula>IF($D$27="",TRUE)</formula>
    </cfRule>
  </conditionalFormatting>
  <conditionalFormatting sqref="D28:E28">
    <cfRule type="expression" dxfId="131" priority="90" stopIfTrue="1">
      <formula>IF($D$28="",TRUE)</formula>
    </cfRule>
  </conditionalFormatting>
  <conditionalFormatting sqref="D29:E29">
    <cfRule type="expression" dxfId="130" priority="91" stopIfTrue="1">
      <formula>IF($D$29="",TRUE)</formula>
    </cfRule>
  </conditionalFormatting>
  <conditionalFormatting sqref="D32:E32">
    <cfRule type="expression" dxfId="129" priority="92" stopIfTrue="1">
      <formula>IF($D$32="",TRUE)</formula>
    </cfRule>
  </conditionalFormatting>
  <conditionalFormatting sqref="D33:E33">
    <cfRule type="expression" dxfId="128" priority="93" stopIfTrue="1">
      <formula>IF($D$33="",TRUE)</formula>
    </cfRule>
  </conditionalFormatting>
  <conditionalFormatting sqref="D34:E34">
    <cfRule type="expression" dxfId="127" priority="94" stopIfTrue="1">
      <formula>IF($D$34="",TRUE)</formula>
    </cfRule>
  </conditionalFormatting>
  <conditionalFormatting sqref="D35:E35">
    <cfRule type="expression" dxfId="126" priority="95" stopIfTrue="1">
      <formula>IF($D$35="",TRUE)</formula>
    </cfRule>
  </conditionalFormatting>
  <conditionalFormatting sqref="D8:J8">
    <cfRule type="expression" dxfId="125" priority="96" stopIfTrue="1">
      <formula>IF($D$8="",TRUE)</formula>
    </cfRule>
  </conditionalFormatting>
  <conditionalFormatting sqref="D9:G9">
    <cfRule type="expression" dxfId="124" priority="97" stopIfTrue="1">
      <formula>IF($D$9="",TRUE)</formula>
    </cfRule>
  </conditionalFormatting>
  <conditionalFormatting sqref="D15:J15">
    <cfRule type="expression" dxfId="123" priority="98" stopIfTrue="1">
      <formula>IF($D$15="",TRUE)</formula>
    </cfRule>
  </conditionalFormatting>
  <conditionalFormatting sqref="D16:J16">
    <cfRule type="expression" dxfId="122" priority="99" stopIfTrue="1">
      <formula>IF($D$16="",TRUE)</formula>
    </cfRule>
  </conditionalFormatting>
  <conditionalFormatting sqref="D17:J17">
    <cfRule type="expression" dxfId="121" priority="100" stopIfTrue="1">
      <formula>IF($D$17="",TRUE)</formula>
    </cfRule>
  </conditionalFormatting>
  <conditionalFormatting sqref="D18:J18">
    <cfRule type="expression" dxfId="120" priority="101" stopIfTrue="1">
      <formula>IF($D$18="",TRUE)</formula>
    </cfRule>
  </conditionalFormatting>
  <conditionalFormatting sqref="D20:J20">
    <cfRule type="expression" dxfId="119" priority="102" stopIfTrue="1">
      <formula>IF($D$20="",TRUE)</formula>
    </cfRule>
  </conditionalFormatting>
  <conditionalFormatting sqref="D21:J21">
    <cfRule type="expression" dxfId="118" priority="103" stopIfTrue="1">
      <formula>IF($D$21="",TRUE)</formula>
    </cfRule>
  </conditionalFormatting>
  <conditionalFormatting sqref="D22:E22">
    <cfRule type="expression" dxfId="117" priority="104" stopIfTrue="1">
      <formula>IF($D$22="",TRUE)</formula>
    </cfRule>
  </conditionalFormatting>
  <conditionalFormatting sqref="D39:E39 D45:E45 D51:E51 D57:E57 D63:E63">
    <cfRule type="expression" dxfId="116" priority="105" stopIfTrue="1">
      <formula>$P$39=""</formula>
    </cfRule>
    <cfRule type="expression" dxfId="115" priority="106" stopIfTrue="1">
      <formula>D39=""</formula>
    </cfRule>
  </conditionalFormatting>
  <conditionalFormatting sqref="D40:E40 D46:E46 D52:E52 D58:E58 D64:E64">
    <cfRule type="expression" dxfId="114" priority="107" stopIfTrue="1">
      <formula>$P$40=""</formula>
    </cfRule>
    <cfRule type="expression" dxfId="113" priority="108" stopIfTrue="1">
      <formula>D40=""</formula>
    </cfRule>
  </conditionalFormatting>
  <conditionalFormatting sqref="D41:E41 D47:E47 D53:E53 D59:E59 D65:E65">
    <cfRule type="expression" dxfId="112" priority="109" stopIfTrue="1">
      <formula>$P$41=""</formula>
    </cfRule>
    <cfRule type="expression" dxfId="111" priority="110" stopIfTrue="1">
      <formula>D41=""</formula>
    </cfRule>
  </conditionalFormatting>
  <conditionalFormatting sqref="D10:J10">
    <cfRule type="expression" dxfId="110" priority="1" stopIfTrue="1">
      <formula>IF($D$9=$Q$9,TRUE)</formula>
    </cfRule>
    <cfRule type="expression" dxfId="109" priority="111" stopIfTrue="1">
      <formula>IF(AND($D$10="",$D$9=$R$9),TRUE)</formula>
    </cfRule>
  </conditionalFormatting>
  <dataValidations count="6">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87:E87 D85:E85 D83:E83 D81:E81 D79:E79 D77:E77 D75:E75 D73:E73 D71:E71 D69:E69 D56:E59 D32:E35 D62:E65">
      <formula1>$D$94:$D$95</formula1>
    </dataValidation>
    <dataValidation type="list" allowBlank="1" showInputMessage="1" showErrorMessage="1" sqref="D38:E41 D44:E47">
      <formula1>$D$94:$D$96</formula1>
    </dataValidation>
    <dataValidation type="list" allowBlank="1" showInputMessage="1" showErrorMessage="1" sqref="D50:E53">
      <formula1>$D$97:$D$102</formula1>
    </dataValidation>
  </dataValidations>
  <hyperlinks>
    <hyperlink ref="I4:J4" location="Instructions!B71" display="Link to Terms &amp; Conditions"/>
    <hyperlink ref="F3:H3" location="Checker!A1" display="Checker!A1"/>
    <hyperlink ref="B88:J88" location="Checker!A1" display="Checker!A1"/>
    <hyperlink ref="B78:J78"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Y2508"/>
  <sheetViews>
    <sheetView showGridLines="0" showZeros="0" tabSelected="1" zoomScale="75" zoomScaleNormal="75" workbookViewId="0">
      <pane ySplit="4" topLeftCell="A89" activePane="bottomLeft" state="frozen"/>
      <selection pane="bottomLeft" activeCell="B2152" sqref="B2152:R2263"/>
    </sheetView>
  </sheetViews>
  <sheetFormatPr baseColWidth="10" defaultColWidth="8.75" defaultRowHeight="12.75"/>
  <cols>
    <col min="1" max="1" width="13.5" style="209" customWidth="1"/>
    <col min="2" max="2" width="13.375" style="209" customWidth="1"/>
    <col min="3" max="4" width="40.5" style="209" customWidth="1"/>
    <col min="5" max="5" width="25.75" style="209" customWidth="1"/>
    <col min="6" max="6" width="14.625" style="209" customWidth="1"/>
    <col min="7" max="7" width="15.625" style="209" customWidth="1"/>
    <col min="8" max="8" width="25.125" style="209" customWidth="1"/>
    <col min="9" max="9" width="24.25" style="209" customWidth="1"/>
    <col min="10" max="10" width="18.375" style="209" customWidth="1"/>
    <col min="11" max="11" width="27.375" style="209" customWidth="1"/>
    <col min="12" max="12" width="20.625" style="209" customWidth="1"/>
    <col min="13" max="13" width="35.125" style="209" customWidth="1"/>
    <col min="14" max="14" width="42.125" style="209" customWidth="1"/>
    <col min="15" max="15" width="32.125" style="209" customWidth="1"/>
    <col min="16" max="16" width="22.875" style="209" customWidth="1"/>
    <col min="17" max="17" width="43.5" style="209" customWidth="1"/>
    <col min="18" max="18" width="8.75" style="144" hidden="1" customWidth="1"/>
    <col min="19" max="19" width="6.125" style="144" hidden="1" customWidth="1"/>
    <col min="20" max="20" width="8.625" style="144" hidden="1" customWidth="1"/>
    <col min="21" max="21" width="8.75" style="144" hidden="1" customWidth="1"/>
    <col min="22" max="23" width="4.375" style="144" hidden="1" customWidth="1"/>
    <col min="24" max="24" width="4.375" style="209" hidden="1" customWidth="1"/>
    <col min="25" max="25" width="7.75" style="209" hidden="1" customWidth="1"/>
    <col min="26" max="31" width="4.375" style="209" customWidth="1"/>
    <col min="32" max="16384" width="8.75" style="209"/>
  </cols>
  <sheetData>
    <row r="1" spans="1:25" s="22" customFormat="1" ht="13.5" thickTop="1">
      <c r="A1" s="236"/>
      <c r="B1" s="229"/>
      <c r="C1" s="229"/>
      <c r="D1" s="229"/>
      <c r="E1" s="229"/>
      <c r="F1" s="229"/>
      <c r="G1" s="229"/>
      <c r="H1" s="229"/>
      <c r="I1" s="229"/>
      <c r="J1" s="229"/>
      <c r="K1" s="229"/>
      <c r="L1" s="229"/>
      <c r="M1" s="229"/>
      <c r="N1" s="229"/>
      <c r="O1" s="229"/>
      <c r="P1" s="229"/>
      <c r="Q1" s="230"/>
      <c r="R1" s="237" t="s">
        <v>4843</v>
      </c>
      <c r="S1" s="238"/>
      <c r="T1" s="239"/>
      <c r="U1" s="237"/>
      <c r="V1" s="237"/>
      <c r="W1" s="237"/>
    </row>
    <row r="2" spans="1:25" s="22" customFormat="1" ht="20.100000000000001" customHeight="1">
      <c r="A2" s="272"/>
      <c r="B2" s="271" t="str">
        <f ca="1">OFFSET(L!$C$1,MATCH("Smelter List"&amp;ADDRESS(ROW(),COLUMN(),4),L!$A:$A,0)-1,SL,,)</f>
        <v>TO BEGIN:</v>
      </c>
      <c r="C2" s="274"/>
      <c r="D2" s="274"/>
      <c r="E2" s="274"/>
      <c r="F2" s="115"/>
      <c r="G2" s="115"/>
      <c r="H2" s="115"/>
      <c r="I2" s="116"/>
      <c r="J2" s="387" t="str">
        <f ca="1">OFFSET(L!$C$1,MATCH("Smelter List"&amp;ADDRESS(ROW(),COLUMN(),4),L!$A:$A,0)-1,SL,,)</f>
        <v>Link to "CFSP Compliant Smelter List"</v>
      </c>
      <c r="K2" s="388"/>
      <c r="L2" s="388"/>
      <c r="M2" s="388"/>
      <c r="N2" s="388"/>
      <c r="O2" s="388"/>
      <c r="P2" s="173"/>
      <c r="Q2" s="162"/>
      <c r="R2" s="237"/>
      <c r="S2" s="237"/>
      <c r="T2" s="238"/>
      <c r="U2" s="237"/>
      <c r="V2" s="237"/>
      <c r="W2" s="237"/>
    </row>
    <row r="3" spans="1:25" s="22" customFormat="1" ht="188.25" customHeight="1">
      <c r="A3" s="273"/>
      <c r="B3" s="389" t="str">
        <f ca="1">OFFSET(L!$C$1,MATCH("Smelter List"&amp;ADDRESS(ROW(),COLUMN(),4),L!$A:$A,0)-1,SL,,)</f>
        <v xml:space="preserve">
Option A: If you know the Smelter Identification Number, input the number in Column A (columns B, C, D, E, F, G, I, and J will auto-populate).
Option B:  If you have a Metal and Smelter Reference List name combination, complete the following steps:
Step 1. Select Metal in column B
Step 2. Select from dropdown in column C (wrong combination will trigger RED color)
Step 3. If dropdown selection is "Smelter Not Listed" complete columns D &amp; E
Step 4. Enter all available smelter information in columns H thru P
Mandatory fields are noted with an asterisk (*).
NOTE: A combination of Options A and B can be used to complete the Smelter List tab.  Do not alter autopopulated cells.  All errors in the Smelter Reference List should be reported to CFSI by contacting info@conflictfreesmelter.org.
</v>
      </c>
      <c r="C3" s="389"/>
      <c r="D3" s="389"/>
      <c r="E3" s="389"/>
      <c r="F3" s="182"/>
      <c r="G3" s="182" t="str">
        <f ca="1">OFFSET(L!$C$1,MATCH("General"&amp;"Cpy",L!$A:$A,0)-1,SL,,)</f>
        <v>© 2016 Conflict-Free Sourcing Initiative. All rights reserved.</v>
      </c>
      <c r="H3" s="117"/>
      <c r="I3" s="118"/>
      <c r="J3" s="174"/>
      <c r="K3" s="175"/>
      <c r="L3" s="163"/>
      <c r="M3" s="176"/>
      <c r="N3" s="176"/>
      <c r="O3" s="126"/>
      <c r="P3" s="126"/>
      <c r="Q3" s="193" t="s">
        <v>4754</v>
      </c>
      <c r="R3" s="237"/>
      <c r="S3" s="237"/>
      <c r="T3" s="240" t="s">
        <v>2325</v>
      </c>
      <c r="U3" s="240" t="s">
        <v>2324</v>
      </c>
      <c r="V3" s="240" t="s">
        <v>2326</v>
      </c>
      <c r="W3" s="240" t="s">
        <v>2323</v>
      </c>
    </row>
    <row r="4" spans="1:25" s="243" customFormat="1" ht="76.150000000000006" customHeight="1">
      <c r="A4" s="203" t="str">
        <f ca="1">OFFSET(L!$C$1,MATCH("Smelter List"&amp;ADDRESS(ROW(),COLUMN(),4),L!$A:$A,0)-1,SL,,)</f>
        <v>Smelter Identification Number Input Column</v>
      </c>
      <c r="B4" s="203" t="str">
        <f ca="1">OFFSET(L!$C$1,MATCH("Smelter List"&amp;ADDRESS(ROW(),COLUMN(),4),L!$A:$A,0)-1,SL,,)</f>
        <v>Metal (*)</v>
      </c>
      <c r="C4" s="203" t="str">
        <f ca="1">OFFSET(L!$C$1,MATCH("Smelter List"&amp;ADDRESS(ROW(),COLUMN(),4),L!$A:$A,0)-1,SL,,)</f>
        <v>Smelter Reference List (*)</v>
      </c>
      <c r="D4" s="203" t="str">
        <f ca="1">OFFSET(L!$C$1,MATCH("Smelter List"&amp;ADDRESS(ROW(),COLUMN(),4),L!$A:$A,0)-1,SL,,)</f>
        <v>Smelter Name (*)</v>
      </c>
      <c r="E4" s="203" t="str">
        <f ca="1">OFFSET(L!$C$1,MATCH("Smelter List"&amp;ADDRESS(ROW(),COLUMN(),4),L!$A:$A,0)-1,SL,,)</f>
        <v>Smelter Country (*)</v>
      </c>
      <c r="F4" s="203" t="str">
        <f ca="1">OFFSET(L!$C$1,MATCH("Smelter List"&amp;ADDRESS(ROW(),COLUMN(),4),L!$A:$A,0)-1,SL,,)</f>
        <v>Smelter Identification</v>
      </c>
      <c r="G4" s="203" t="str">
        <f ca="1">OFFSET(L!$C$1,MATCH("Smelter List"&amp;ADDRESS(ROW(),COLUMN(),4),L!$A:$A,0)-1,SL,,)</f>
        <v>Source of Smelter Identification Number</v>
      </c>
      <c r="H4" s="204" t="str">
        <f ca="1">OFFSET(L!$C$1,MATCH("Smelter List"&amp;ADDRESS(ROW(),COLUMN(),4),L!$A:$A,0)-1,SL,,)</f>
        <v xml:space="preserve">Smelter Street </v>
      </c>
      <c r="I4" s="204" t="str">
        <f ca="1">OFFSET(L!$C$1,MATCH("Smelter List"&amp;ADDRESS(ROW(),COLUMN(),4),L!$A:$A,0)-1,SL,,)</f>
        <v>Smelter City</v>
      </c>
      <c r="J4" s="204" t="str">
        <f ca="1">OFFSET(L!$C$1,MATCH("Smelter List"&amp;ADDRESS(ROW(),COLUMN(),4),L!$A:$A,0)-1,SL,,)</f>
        <v>Smelter Facility Location: State / Province</v>
      </c>
      <c r="K4" s="204" t="str">
        <f ca="1">OFFSET(L!$C$1,MATCH("Smelter List"&amp;ADDRESS(ROW(),COLUMN(),4),L!$A:$A,0)-1,SL,,)</f>
        <v>Smelter Contact Name</v>
      </c>
      <c r="L4" s="204" t="str">
        <f ca="1">OFFSET(L!$C$1,MATCH("Smelter List"&amp;ADDRESS(ROW(),COLUMN(),4),L!$A:$A,0)-1,SL,,)</f>
        <v>Smelter Contact Email</v>
      </c>
      <c r="M4" s="204" t="str">
        <f ca="1">OFFSET(L!$C$1,MATCH("Smelter List"&amp;ADDRESS(ROW(),COLUMN(),4),L!$A:$A,0)-1,SL,,)</f>
        <v>Proposed next steps</v>
      </c>
      <c r="N4" s="204" t="str">
        <f ca="1">OFFSET(L!$C$1,MATCH("Smelter List"&amp;ADDRESS(ROW(),COLUMN(),4),L!$A:$A,0)-1,SL,,)</f>
        <v>Name of Mine(s) or if recycled or scrap sourced, enter "recycled" or "scrap"</v>
      </c>
      <c r="O4" s="204" t="str">
        <f ca="1">OFFSET(L!$C$1,MATCH("Smelter List"&amp;ADDRESS(ROW(),COLUMN(),4),L!$A:$A,0)-1,SL,,)</f>
        <v>Location (Country) of Mine(s) or if recycled or scrap sourced, enter "recycled" or "scrap"</v>
      </c>
      <c r="P4" s="204" t="str">
        <f ca="1">OFFSET(L!$C$1,MATCH("Smelter List"&amp;ADDRESS(ROW(),COLUMN(),4),L!$A:$A,0)-1,SL,,)</f>
        <v>Does 100% of the smelter’s feedstock originate from recycled or scrap sources?</v>
      </c>
      <c r="Q4" s="205" t="str">
        <f ca="1">OFFSET(L!$C$1,MATCH("Smelter List"&amp;ADDRESS(ROW(),COLUMN(),4),L!$A:$A,0)-1,SL,,)</f>
        <v>Comments</v>
      </c>
      <c r="R4" s="241"/>
      <c r="S4" s="242"/>
      <c r="T4" s="242" t="s">
        <v>2573</v>
      </c>
      <c r="U4" s="242" t="s">
        <v>1831</v>
      </c>
      <c r="V4" s="242"/>
      <c r="W4" s="242"/>
    </row>
    <row r="5" spans="1:25" s="228" customFormat="1" ht="20.25">
      <c r="A5" s="400" t="s">
        <v>1338</v>
      </c>
      <c r="B5" s="396" t="s">
        <v>2325</v>
      </c>
      <c r="C5" s="397" t="s">
        <v>3</v>
      </c>
      <c r="D5" s="396" t="s">
        <v>3</v>
      </c>
      <c r="E5" s="396" t="s">
        <v>2181</v>
      </c>
      <c r="F5" s="396" t="s">
        <v>1338</v>
      </c>
      <c r="G5" s="396" t="s">
        <v>3125</v>
      </c>
      <c r="H5" s="398" t="s">
        <v>5024</v>
      </c>
      <c r="I5" s="399" t="s">
        <v>3194</v>
      </c>
      <c r="J5" s="399" t="s">
        <v>3186</v>
      </c>
      <c r="K5" s="401"/>
      <c r="L5" s="401"/>
      <c r="M5" s="401" t="s">
        <v>5024</v>
      </c>
      <c r="N5" s="401" t="s">
        <v>5024</v>
      </c>
      <c r="O5" s="401" t="s">
        <v>5025</v>
      </c>
      <c r="P5" s="401" t="s">
        <v>925</v>
      </c>
      <c r="Q5" s="250" t="s">
        <v>5026</v>
      </c>
      <c r="R5" s="233"/>
      <c r="S5" s="234">
        <f>IF(C5="",NA(),MATCH($B5&amp;$C5,'Smelter Reference List'!$J:$J,0))</f>
        <v>240</v>
      </c>
      <c r="T5" s="235"/>
      <c r="U5" s="235">
        <f>IF(AND(C5="Smelter not listed",OR(LEN(D5)=0,LEN(E5)=0)),1,0)</f>
        <v>0</v>
      </c>
      <c r="V5" s="235"/>
      <c r="W5" s="235"/>
      <c r="Y5" s="258" t="str">
        <f>B5&amp;C5</f>
        <v>TantalumChangsha South Tantalum Niobium Co., Ltd.</v>
      </c>
    </row>
    <row r="6" spans="1:25" s="228" customFormat="1" ht="20.25">
      <c r="A6" s="400" t="s">
        <v>1339</v>
      </c>
      <c r="B6" s="396" t="s">
        <v>2325</v>
      </c>
      <c r="C6" s="397" t="s">
        <v>2374</v>
      </c>
      <c r="D6" s="396" t="s">
        <v>2374</v>
      </c>
      <c r="E6" s="396" t="s">
        <v>2181</v>
      </c>
      <c r="F6" s="396" t="s">
        <v>1339</v>
      </c>
      <c r="G6" s="396" t="s">
        <v>3125</v>
      </c>
      <c r="H6" s="398" t="s">
        <v>5024</v>
      </c>
      <c r="I6" s="399" t="s">
        <v>3371</v>
      </c>
      <c r="J6" s="399" t="s">
        <v>3335</v>
      </c>
      <c r="K6" s="402"/>
      <c r="L6" s="402"/>
      <c r="M6" s="402" t="s">
        <v>5024</v>
      </c>
      <c r="N6" s="402" t="s">
        <v>5024</v>
      </c>
      <c r="O6" s="402" t="s">
        <v>5027</v>
      </c>
      <c r="P6" s="402" t="s">
        <v>925</v>
      </c>
      <c r="Q6" s="403" t="s">
        <v>5026</v>
      </c>
      <c r="R6" s="233"/>
      <c r="S6" s="234">
        <f>IF(C6="",NA(),MATCH($B6&amp;$C6,'Smelter Reference List'!$J:$J,0))</f>
        <v>242</v>
      </c>
      <c r="T6" s="235"/>
      <c r="U6" s="235">
        <f t="shared" ref="U6:U69" si="0">IF(AND(C6="Smelter not listed",OR(LEN(D6)=0,LEN(E6)=0)),1,0)</f>
        <v>0</v>
      </c>
      <c r="V6" s="235"/>
      <c r="W6" s="235"/>
      <c r="Y6" s="228" t="str">
        <f t="shared" ref="Y6:Y69" si="1">B6&amp;C6</f>
        <v>TantalumConghua Tantalum and Niobium Smeltry</v>
      </c>
    </row>
    <row r="7" spans="1:25" s="228" customFormat="1" ht="20.25">
      <c r="A7" s="400" t="s">
        <v>2698</v>
      </c>
      <c r="B7" s="396" t="s">
        <v>2325</v>
      </c>
      <c r="C7" s="397" t="s">
        <v>2697</v>
      </c>
      <c r="D7" s="396" t="s">
        <v>2697</v>
      </c>
      <c r="E7" s="396" t="s">
        <v>5016</v>
      </c>
      <c r="F7" s="396" t="s">
        <v>2698</v>
      </c>
      <c r="G7" s="396" t="s">
        <v>3125</v>
      </c>
      <c r="H7" s="398" t="s">
        <v>5024</v>
      </c>
      <c r="I7" s="399" t="s">
        <v>3408</v>
      </c>
      <c r="J7" s="399" t="s">
        <v>3409</v>
      </c>
      <c r="K7" s="402"/>
      <c r="L7" s="402"/>
      <c r="M7" s="402" t="s">
        <v>5024</v>
      </c>
      <c r="N7" s="402" t="s">
        <v>5024</v>
      </c>
      <c r="O7" s="402" t="s">
        <v>5025</v>
      </c>
      <c r="P7" s="402" t="s">
        <v>925</v>
      </c>
      <c r="Q7" s="403" t="s">
        <v>5026</v>
      </c>
      <c r="R7" s="233"/>
      <c r="S7" s="234">
        <f>IF(C7="",NA(),MATCH($B7&amp;$C7,'Smelter Reference List'!$J:$J,0))</f>
        <v>243</v>
      </c>
      <c r="T7" s="235"/>
      <c r="U7" s="235">
        <f t="shared" si="0"/>
        <v>0</v>
      </c>
      <c r="V7" s="235"/>
      <c r="W7" s="235"/>
      <c r="Y7" s="228" t="str">
        <f t="shared" si="1"/>
        <v>TantalumD Block Metals, LLC</v>
      </c>
    </row>
    <row r="8" spans="1:25" s="228" customFormat="1" ht="20.25">
      <c r="A8" s="400" t="s">
        <v>1340</v>
      </c>
      <c r="B8" s="396" t="s">
        <v>2325</v>
      </c>
      <c r="C8" s="397" t="s">
        <v>2370</v>
      </c>
      <c r="D8" s="396" t="s">
        <v>2370</v>
      </c>
      <c r="E8" s="396" t="s">
        <v>2181</v>
      </c>
      <c r="F8" s="396" t="s">
        <v>1340</v>
      </c>
      <c r="G8" s="396" t="s">
        <v>3125</v>
      </c>
      <c r="H8" s="398" t="s">
        <v>5024</v>
      </c>
      <c r="I8" s="399" t="s">
        <v>3372</v>
      </c>
      <c r="J8" s="399" t="s">
        <v>3335</v>
      </c>
      <c r="K8" s="402"/>
      <c r="L8" s="402"/>
      <c r="M8" s="402" t="s">
        <v>5024</v>
      </c>
      <c r="N8" s="402" t="s">
        <v>5024</v>
      </c>
      <c r="O8" s="402" t="s">
        <v>5027</v>
      </c>
      <c r="P8" s="402" t="s">
        <v>925</v>
      </c>
      <c r="Q8" s="403" t="s">
        <v>5026</v>
      </c>
      <c r="R8" s="233"/>
      <c r="S8" s="234">
        <f>IF(C8="",NA(),MATCH($B8&amp;$C8,'Smelter Reference List'!$J:$J,0))</f>
        <v>245</v>
      </c>
      <c r="T8" s="235"/>
      <c r="U8" s="235">
        <f t="shared" si="0"/>
        <v>0</v>
      </c>
      <c r="V8" s="235"/>
      <c r="W8" s="235"/>
      <c r="Y8" s="228" t="str">
        <f t="shared" si="1"/>
        <v>TantalumDuoluoshan</v>
      </c>
    </row>
    <row r="9" spans="1:25" s="228" customFormat="1" ht="20.25">
      <c r="A9" s="400" t="s">
        <v>1341</v>
      </c>
      <c r="B9" s="396" t="s">
        <v>2325</v>
      </c>
      <c r="C9" s="397" t="s">
        <v>2307</v>
      </c>
      <c r="D9" s="396" t="s">
        <v>2307</v>
      </c>
      <c r="E9" s="396" t="s">
        <v>5016</v>
      </c>
      <c r="F9" s="396" t="s">
        <v>1341</v>
      </c>
      <c r="G9" s="396" t="s">
        <v>3125</v>
      </c>
      <c r="H9" s="398" t="s">
        <v>5024</v>
      </c>
      <c r="I9" s="399" t="s">
        <v>3373</v>
      </c>
      <c r="J9" s="399" t="s">
        <v>3348</v>
      </c>
      <c r="K9" s="402"/>
      <c r="L9" s="402"/>
      <c r="M9" s="402" t="s">
        <v>5024</v>
      </c>
      <c r="N9" s="402" t="s">
        <v>5024</v>
      </c>
      <c r="O9" s="402" t="s">
        <v>5027</v>
      </c>
      <c r="P9" s="402" t="s">
        <v>925</v>
      </c>
      <c r="Q9" s="403" t="s">
        <v>5026</v>
      </c>
      <c r="R9" s="233"/>
      <c r="S9" s="234">
        <f>IF(C9="",NA(),MATCH($B9&amp;$C9,'Smelter Reference List'!$J:$J,0))</f>
        <v>247</v>
      </c>
      <c r="T9" s="235"/>
      <c r="U9" s="235">
        <f t="shared" si="0"/>
        <v>0</v>
      </c>
      <c r="V9" s="235"/>
      <c r="W9" s="235"/>
      <c r="Y9" s="228" t="str">
        <f t="shared" si="1"/>
        <v>TantalumExotech Inc.</v>
      </c>
    </row>
    <row r="10" spans="1:25" s="228" customFormat="1" ht="20.25">
      <c r="A10" s="400" t="s">
        <v>1342</v>
      </c>
      <c r="B10" s="396" t="s">
        <v>2325</v>
      </c>
      <c r="C10" s="397" t="s">
        <v>63</v>
      </c>
      <c r="D10" s="396" t="s">
        <v>63</v>
      </c>
      <c r="E10" s="396" t="s">
        <v>2181</v>
      </c>
      <c r="F10" s="396" t="s">
        <v>1342</v>
      </c>
      <c r="G10" s="396" t="s">
        <v>3125</v>
      </c>
      <c r="H10" s="398" t="s">
        <v>5024</v>
      </c>
      <c r="I10" s="399" t="s">
        <v>3374</v>
      </c>
      <c r="J10" s="399" t="s">
        <v>3335</v>
      </c>
      <c r="K10" s="402"/>
      <c r="L10" s="402"/>
      <c r="M10" s="402" t="s">
        <v>5024</v>
      </c>
      <c r="N10" s="402" t="s">
        <v>5024</v>
      </c>
      <c r="O10" s="402" t="s">
        <v>5027</v>
      </c>
      <c r="P10" s="402" t="s">
        <v>925</v>
      </c>
      <c r="Q10" s="403" t="s">
        <v>5026</v>
      </c>
      <c r="R10" s="233"/>
      <c r="S10" s="234">
        <f>IF(C10="",NA(),MATCH($B10&amp;$C10,'Smelter Reference List'!$J:$J,0))</f>
        <v>249</v>
      </c>
      <c r="T10" s="235"/>
      <c r="U10" s="235">
        <f t="shared" si="0"/>
        <v>0</v>
      </c>
      <c r="V10" s="235"/>
      <c r="W10" s="235"/>
      <c r="Y10" s="228" t="str">
        <f t="shared" si="1"/>
        <v>TantalumF&amp;X Electro-Materials Ltd.</v>
      </c>
    </row>
    <row r="11" spans="1:25" s="228" customFormat="1" ht="20.25">
      <c r="A11" s="400" t="s">
        <v>2699</v>
      </c>
      <c r="B11" s="396" t="s">
        <v>2325</v>
      </c>
      <c r="C11" s="397" t="s">
        <v>4188</v>
      </c>
      <c r="D11" s="396" t="s">
        <v>4188</v>
      </c>
      <c r="E11" s="396" t="s">
        <v>2181</v>
      </c>
      <c r="F11" s="396" t="s">
        <v>2699</v>
      </c>
      <c r="G11" s="396" t="s">
        <v>3125</v>
      </c>
      <c r="H11" s="398" t="s">
        <v>5024</v>
      </c>
      <c r="I11" s="399" t="s">
        <v>3395</v>
      </c>
      <c r="J11" s="399" t="s">
        <v>3186</v>
      </c>
      <c r="K11" s="402"/>
      <c r="L11" s="402"/>
      <c r="M11" s="402" t="s">
        <v>5024</v>
      </c>
      <c r="N11" s="402" t="s">
        <v>5024</v>
      </c>
      <c r="O11" s="402" t="s">
        <v>5027</v>
      </c>
      <c r="P11" s="402" t="s">
        <v>925</v>
      </c>
      <c r="Q11" s="403" t="s">
        <v>5026</v>
      </c>
      <c r="R11" s="233"/>
      <c r="S11" s="234">
        <f>IF(C11="",NA(),MATCH($B11&amp;$C11,'Smelter Reference List'!$J:$J,0))</f>
        <v>250</v>
      </c>
      <c r="T11" s="235"/>
      <c r="U11" s="235">
        <f t="shared" si="0"/>
        <v>0</v>
      </c>
      <c r="V11" s="235"/>
      <c r="W11" s="235"/>
      <c r="Y11" s="228" t="str">
        <f t="shared" si="1"/>
        <v>TantalumFIR Metals &amp; Resource Ltd.</v>
      </c>
    </row>
    <row r="12" spans="1:25" s="228" customFormat="1" ht="20.25">
      <c r="A12" s="400" t="s">
        <v>2734</v>
      </c>
      <c r="B12" s="396" t="s">
        <v>2325</v>
      </c>
      <c r="C12" s="397" t="s">
        <v>2733</v>
      </c>
      <c r="D12" s="396" t="s">
        <v>2733</v>
      </c>
      <c r="E12" s="396" t="s">
        <v>2249</v>
      </c>
      <c r="F12" s="396" t="s">
        <v>2734</v>
      </c>
      <c r="G12" s="396" t="s">
        <v>3125</v>
      </c>
      <c r="H12" s="398" t="s">
        <v>5024</v>
      </c>
      <c r="I12" s="399" t="s">
        <v>3429</v>
      </c>
      <c r="J12" s="399" t="s">
        <v>3143</v>
      </c>
      <c r="K12" s="402"/>
      <c r="L12" s="402"/>
      <c r="M12" s="402" t="s">
        <v>5024</v>
      </c>
      <c r="N12" s="402" t="s">
        <v>5024</v>
      </c>
      <c r="O12" s="402" t="s">
        <v>5027</v>
      </c>
      <c r="P12" s="402" t="s">
        <v>925</v>
      </c>
      <c r="Q12" s="403" t="s">
        <v>5026</v>
      </c>
      <c r="R12" s="233"/>
      <c r="S12" s="234">
        <f>IF(C12="",NA(),MATCH($B12&amp;$C12,'Smelter Reference List'!$J:$J,0))</f>
        <v>251</v>
      </c>
      <c r="T12" s="235"/>
      <c r="U12" s="235">
        <f t="shared" si="0"/>
        <v>0</v>
      </c>
      <c r="V12" s="235"/>
      <c r="W12" s="235"/>
      <c r="Y12" s="228" t="str">
        <f t="shared" si="1"/>
        <v>TantalumGlobal Advanced Metals Aizu</v>
      </c>
    </row>
    <row r="13" spans="1:25" s="228" customFormat="1" ht="20.25">
      <c r="A13" s="400" t="s">
        <v>2736</v>
      </c>
      <c r="B13" s="396" t="s">
        <v>2325</v>
      </c>
      <c r="C13" s="397" t="s">
        <v>2735</v>
      </c>
      <c r="D13" s="396" t="s">
        <v>2735</v>
      </c>
      <c r="E13" s="396" t="s">
        <v>5016</v>
      </c>
      <c r="F13" s="396" t="s">
        <v>2736</v>
      </c>
      <c r="G13" s="396" t="s">
        <v>3125</v>
      </c>
      <c r="H13" s="398" t="s">
        <v>5024</v>
      </c>
      <c r="I13" s="399" t="s">
        <v>3428</v>
      </c>
      <c r="J13" s="399" t="s">
        <v>3401</v>
      </c>
      <c r="K13" s="402"/>
      <c r="L13" s="402"/>
      <c r="M13" s="402" t="s">
        <v>5024</v>
      </c>
      <c r="N13" s="402" t="s">
        <v>5024</v>
      </c>
      <c r="O13" s="402" t="s">
        <v>5027</v>
      </c>
      <c r="P13" s="402" t="s">
        <v>925</v>
      </c>
      <c r="Q13" s="403" t="s">
        <v>5026</v>
      </c>
      <c r="R13" s="233"/>
      <c r="S13" s="234">
        <f>IF(C13="",NA(),MATCH($B13&amp;$C13,'Smelter Reference List'!$J:$J,0))</f>
        <v>252</v>
      </c>
      <c r="T13" s="235"/>
      <c r="U13" s="235">
        <f t="shared" si="0"/>
        <v>0</v>
      </c>
      <c r="V13" s="235"/>
      <c r="W13" s="235"/>
      <c r="Y13" s="228" t="str">
        <f t="shared" si="1"/>
        <v>TantalumGlobal Advanced Metals Boyertown</v>
      </c>
    </row>
    <row r="14" spans="1:25" s="228" customFormat="1" ht="20.25">
      <c r="A14" s="400" t="s">
        <v>1344</v>
      </c>
      <c r="B14" s="396" t="s">
        <v>2325</v>
      </c>
      <c r="C14" s="397" t="s">
        <v>1343</v>
      </c>
      <c r="D14" s="396" t="s">
        <v>1343</v>
      </c>
      <c r="E14" s="396" t="s">
        <v>2181</v>
      </c>
      <c r="F14" s="396" t="s">
        <v>1344</v>
      </c>
      <c r="G14" s="396" t="s">
        <v>3125</v>
      </c>
      <c r="H14" s="398" t="s">
        <v>5024</v>
      </c>
      <c r="I14" s="399" t="s">
        <v>3376</v>
      </c>
      <c r="J14" s="399" t="s">
        <v>3335</v>
      </c>
      <c r="K14" s="402"/>
      <c r="L14" s="402"/>
      <c r="M14" s="402" t="s">
        <v>5024</v>
      </c>
      <c r="N14" s="402" t="s">
        <v>5024</v>
      </c>
      <c r="O14" s="402" t="s">
        <v>5027</v>
      </c>
      <c r="P14" s="402" t="s">
        <v>925</v>
      </c>
      <c r="Q14" s="403" t="s">
        <v>5026</v>
      </c>
      <c r="R14" s="233"/>
      <c r="S14" s="234">
        <f>IF(C14="",NA(),MATCH($B14&amp;$C14,'Smelter Reference List'!$J:$J,0))</f>
        <v>253</v>
      </c>
      <c r="T14" s="235"/>
      <c r="U14" s="235">
        <f t="shared" si="0"/>
        <v>0</v>
      </c>
      <c r="V14" s="235"/>
      <c r="W14" s="235"/>
      <c r="Y14" s="228" t="str">
        <f t="shared" si="1"/>
        <v>TantalumGuangdong Zhiyuan New Material Co., Ltd.</v>
      </c>
    </row>
    <row r="15" spans="1:25" s="228" customFormat="1" ht="20.25">
      <c r="A15" s="400" t="s">
        <v>2738</v>
      </c>
      <c r="B15" s="396" t="s">
        <v>2325</v>
      </c>
      <c r="C15" s="397" t="s">
        <v>2737</v>
      </c>
      <c r="D15" s="396" t="s">
        <v>2737</v>
      </c>
      <c r="E15" s="396" t="s">
        <v>1743</v>
      </c>
      <c r="F15" s="396" t="s">
        <v>2738</v>
      </c>
      <c r="G15" s="396" t="s">
        <v>3125</v>
      </c>
      <c r="H15" s="398" t="s">
        <v>5024</v>
      </c>
      <c r="I15" s="399" t="s">
        <v>3416</v>
      </c>
      <c r="J15" s="399" t="s">
        <v>3417</v>
      </c>
      <c r="K15" s="402"/>
      <c r="L15" s="402"/>
      <c r="M15" s="402" t="s">
        <v>5024</v>
      </c>
      <c r="N15" s="402" t="s">
        <v>5024</v>
      </c>
      <c r="O15" s="402" t="s">
        <v>5027</v>
      </c>
      <c r="P15" s="402" t="s">
        <v>925</v>
      </c>
      <c r="Q15" s="403" t="s">
        <v>5026</v>
      </c>
      <c r="R15" s="233"/>
      <c r="S15" s="234">
        <f>IF(C15="",NA(),MATCH($B15&amp;$C15,'Smelter Reference List'!$J:$J,0))</f>
        <v>254</v>
      </c>
      <c r="T15" s="235"/>
      <c r="U15" s="235">
        <f t="shared" si="0"/>
        <v>0</v>
      </c>
      <c r="V15" s="235"/>
      <c r="W15" s="235"/>
      <c r="Y15" s="228" t="str">
        <f t="shared" si="1"/>
        <v>TantalumH.C. Starck Co., Ltd.</v>
      </c>
    </row>
    <row r="16" spans="1:25" s="228" customFormat="1" ht="20.25">
      <c r="A16" s="400" t="s">
        <v>2744</v>
      </c>
      <c r="B16" s="396" t="s">
        <v>2325</v>
      </c>
      <c r="C16" s="397" t="s">
        <v>2743</v>
      </c>
      <c r="D16" s="396" t="s">
        <v>2743</v>
      </c>
      <c r="E16" s="396" t="s">
        <v>2195</v>
      </c>
      <c r="F16" s="396" t="s">
        <v>2744</v>
      </c>
      <c r="G16" s="396" t="s">
        <v>3125</v>
      </c>
      <c r="H16" s="398" t="s">
        <v>5024</v>
      </c>
      <c r="I16" s="399" t="s">
        <v>3421</v>
      </c>
      <c r="J16" s="399" t="s">
        <v>3422</v>
      </c>
      <c r="K16" s="402"/>
      <c r="L16" s="402"/>
      <c r="M16" s="402" t="s">
        <v>5024</v>
      </c>
      <c r="N16" s="402" t="s">
        <v>5024</v>
      </c>
      <c r="O16" s="402" t="s">
        <v>5025</v>
      </c>
      <c r="P16" s="402" t="s">
        <v>925</v>
      </c>
      <c r="Q16" s="403" t="s">
        <v>5026</v>
      </c>
      <c r="R16" s="233"/>
      <c r="S16" s="234">
        <f>IF(C16="",NA(),MATCH($B16&amp;$C16,'Smelter Reference List'!$J:$J,0))</f>
        <v>257</v>
      </c>
      <c r="T16" s="235"/>
      <c r="U16" s="235">
        <f t="shared" si="0"/>
        <v>0</v>
      </c>
      <c r="V16" s="235"/>
      <c r="W16" s="235"/>
      <c r="Y16" s="228" t="str">
        <f t="shared" si="1"/>
        <v>TantalumH.C. Starck Hermsdorf GmbH</v>
      </c>
    </row>
    <row r="17" spans="1:25" s="228" customFormat="1" ht="20.25">
      <c r="A17" s="400" t="s">
        <v>2746</v>
      </c>
      <c r="B17" s="396" t="s">
        <v>2325</v>
      </c>
      <c r="C17" s="397" t="s">
        <v>2745</v>
      </c>
      <c r="D17" s="396" t="s">
        <v>2745</v>
      </c>
      <c r="E17" s="396" t="s">
        <v>5016</v>
      </c>
      <c r="F17" s="396" t="s">
        <v>2746</v>
      </c>
      <c r="G17" s="396" t="s">
        <v>3125</v>
      </c>
      <c r="H17" s="398" t="s">
        <v>5024</v>
      </c>
      <c r="I17" s="399" t="s">
        <v>3423</v>
      </c>
      <c r="J17" s="399" t="s">
        <v>3242</v>
      </c>
      <c r="K17" s="402"/>
      <c r="L17" s="402"/>
      <c r="M17" s="402" t="s">
        <v>5024</v>
      </c>
      <c r="N17" s="402" t="s">
        <v>5024</v>
      </c>
      <c r="O17" s="402" t="s">
        <v>5027</v>
      </c>
      <c r="P17" s="402" t="s">
        <v>925</v>
      </c>
      <c r="Q17" s="403" t="s">
        <v>5026</v>
      </c>
      <c r="R17" s="233"/>
      <c r="S17" s="234">
        <f>IF(C17="",NA(),MATCH($B17&amp;$C17,'Smelter Reference List'!$J:$J,0))</f>
        <v>258</v>
      </c>
      <c r="T17" s="235"/>
      <c r="U17" s="235">
        <f t="shared" si="0"/>
        <v>0</v>
      </c>
      <c r="V17" s="235"/>
      <c r="W17" s="235"/>
      <c r="Y17" s="228" t="str">
        <f t="shared" si="1"/>
        <v>TantalumH.C. Starck Inc.</v>
      </c>
    </row>
    <row r="18" spans="1:25" s="228" customFormat="1" ht="20.25">
      <c r="A18" s="400" t="s">
        <v>2748</v>
      </c>
      <c r="B18" s="396" t="s">
        <v>2325</v>
      </c>
      <c r="C18" s="397" t="s">
        <v>2747</v>
      </c>
      <c r="D18" s="396" t="s">
        <v>2747</v>
      </c>
      <c r="E18" s="396" t="s">
        <v>2249</v>
      </c>
      <c r="F18" s="396" t="s">
        <v>2748</v>
      </c>
      <c r="G18" s="396" t="s">
        <v>3125</v>
      </c>
      <c r="H18" s="398" t="s">
        <v>5024</v>
      </c>
      <c r="I18" s="399" t="s">
        <v>3424</v>
      </c>
      <c r="J18" s="399" t="s">
        <v>3425</v>
      </c>
      <c r="K18" s="402"/>
      <c r="L18" s="402"/>
      <c r="M18" s="402" t="s">
        <v>5024</v>
      </c>
      <c r="N18" s="402" t="s">
        <v>5024</v>
      </c>
      <c r="O18" s="402" t="s">
        <v>5027</v>
      </c>
      <c r="P18" s="402" t="s">
        <v>925</v>
      </c>
      <c r="Q18" s="403" t="s">
        <v>5026</v>
      </c>
      <c r="R18" s="233"/>
      <c r="S18" s="234">
        <f>IF(C18="",NA(),MATCH($B18&amp;$C18,'Smelter Reference List'!$J:$J,0))</f>
        <v>259</v>
      </c>
      <c r="T18" s="235"/>
      <c r="U18" s="235">
        <f t="shared" si="0"/>
        <v>0</v>
      </c>
      <c r="V18" s="235"/>
      <c r="W18" s="235"/>
      <c r="Y18" s="228" t="str">
        <f t="shared" si="1"/>
        <v>TantalumH.C. Starck Ltd.</v>
      </c>
    </row>
    <row r="19" spans="1:25" s="228" customFormat="1" ht="20.25">
      <c r="A19" s="400" t="s">
        <v>2750</v>
      </c>
      <c r="B19" s="396" t="s">
        <v>2325</v>
      </c>
      <c r="C19" s="397" t="s">
        <v>4729</v>
      </c>
      <c r="D19" s="396" t="s">
        <v>4729</v>
      </c>
      <c r="E19" s="396" t="s">
        <v>2195</v>
      </c>
      <c r="F19" s="396" t="s">
        <v>2750</v>
      </c>
      <c r="G19" s="396" t="s">
        <v>3125</v>
      </c>
      <c r="H19" s="398" t="s">
        <v>5024</v>
      </c>
      <c r="I19" s="399" t="s">
        <v>3420</v>
      </c>
      <c r="J19" s="399" t="s">
        <v>3131</v>
      </c>
      <c r="K19" s="402"/>
      <c r="L19" s="402"/>
      <c r="M19" s="402" t="s">
        <v>5024</v>
      </c>
      <c r="N19" s="402" t="s">
        <v>5024</v>
      </c>
      <c r="O19" s="402" t="s">
        <v>5027</v>
      </c>
      <c r="P19" s="402" t="s">
        <v>925</v>
      </c>
      <c r="Q19" s="403" t="s">
        <v>5026</v>
      </c>
      <c r="R19" s="233"/>
      <c r="S19" s="234">
        <f>IF(C19="",NA(),MATCH($B19&amp;$C19,'Smelter Reference List'!$J:$J,0))</f>
        <v>260</v>
      </c>
      <c r="T19" s="235"/>
      <c r="U19" s="235">
        <f t="shared" si="0"/>
        <v>0</v>
      </c>
      <c r="V19" s="235"/>
      <c r="W19" s="235"/>
      <c r="Y19" s="228" t="str">
        <f t="shared" si="1"/>
        <v>TantalumH.C. Starck Smelting GmbH &amp; Co. KG</v>
      </c>
    </row>
    <row r="20" spans="1:25" s="228" customFormat="1" ht="20.25">
      <c r="A20" s="400" t="s">
        <v>2740</v>
      </c>
      <c r="B20" s="396" t="s">
        <v>2325</v>
      </c>
      <c r="C20" s="397" t="s">
        <v>2739</v>
      </c>
      <c r="D20" s="396" t="s">
        <v>2739</v>
      </c>
      <c r="E20" s="396" t="s">
        <v>2195</v>
      </c>
      <c r="F20" s="396" t="s">
        <v>2740</v>
      </c>
      <c r="G20" s="396" t="s">
        <v>3125</v>
      </c>
      <c r="H20" s="398" t="s">
        <v>5024</v>
      </c>
      <c r="I20" s="399" t="s">
        <v>3418</v>
      </c>
      <c r="J20" s="399" t="s">
        <v>3419</v>
      </c>
      <c r="K20" s="402"/>
      <c r="L20" s="402"/>
      <c r="M20" s="402" t="s">
        <v>5024</v>
      </c>
      <c r="N20" s="402" t="s">
        <v>5024</v>
      </c>
      <c r="O20" s="402" t="s">
        <v>5027</v>
      </c>
      <c r="P20" s="402" t="s">
        <v>925</v>
      </c>
      <c r="Q20" s="403" t="s">
        <v>5026</v>
      </c>
      <c r="R20" s="233"/>
      <c r="S20" s="234">
        <f>IF(C20="",NA(),MATCH($B20&amp;$C20,'Smelter Reference List'!$J:$J,0))</f>
        <v>255</v>
      </c>
      <c r="T20" s="235"/>
      <c r="U20" s="235">
        <f t="shared" si="0"/>
        <v>0</v>
      </c>
      <c r="V20" s="235"/>
      <c r="W20" s="235"/>
      <c r="Y20" s="228" t="str">
        <f t="shared" si="1"/>
        <v>TantalumH.C. Starck GmbH Goslar</v>
      </c>
    </row>
    <row r="21" spans="1:25" s="228" customFormat="1" ht="25.5">
      <c r="A21" s="400" t="s">
        <v>725</v>
      </c>
      <c r="B21" s="396" t="s">
        <v>2325</v>
      </c>
      <c r="C21" s="397" t="s">
        <v>4</v>
      </c>
      <c r="D21" s="396" t="s">
        <v>4</v>
      </c>
      <c r="E21" s="396" t="s">
        <v>2181</v>
      </c>
      <c r="F21" s="396" t="s">
        <v>725</v>
      </c>
      <c r="G21" s="396" t="s">
        <v>3125</v>
      </c>
      <c r="H21" s="398" t="s">
        <v>5024</v>
      </c>
      <c r="I21" s="399" t="s">
        <v>3407</v>
      </c>
      <c r="J21" s="399" t="s">
        <v>3186</v>
      </c>
      <c r="K21" s="402"/>
      <c r="L21" s="402"/>
      <c r="M21" s="402" t="s">
        <v>5024</v>
      </c>
      <c r="N21" s="402" t="s">
        <v>5024</v>
      </c>
      <c r="O21" s="402" t="s">
        <v>5027</v>
      </c>
      <c r="P21" s="402" t="s">
        <v>925</v>
      </c>
      <c r="Q21" s="403" t="s">
        <v>5026</v>
      </c>
      <c r="R21" s="233"/>
      <c r="S21" s="234">
        <f>IF(C21="",NA(),MATCH($B21&amp;$C21,'Smelter Reference List'!$J:$J,0))</f>
        <v>261</v>
      </c>
      <c r="T21" s="235"/>
      <c r="U21" s="235">
        <f t="shared" si="0"/>
        <v>0</v>
      </c>
      <c r="V21" s="235"/>
      <c r="W21" s="235"/>
      <c r="Y21" s="228" t="str">
        <f t="shared" si="1"/>
        <v>TantalumHengyang King Xing Lifeng New Materials Co., Ltd.</v>
      </c>
    </row>
    <row r="22" spans="1:25" s="228" customFormat="1" ht="20.25">
      <c r="A22" s="400" t="s">
        <v>1345</v>
      </c>
      <c r="B22" s="396" t="s">
        <v>2325</v>
      </c>
      <c r="C22" s="397" t="s">
        <v>3377</v>
      </c>
      <c r="D22" s="396" t="s">
        <v>3377</v>
      </c>
      <c r="E22" s="396" t="s">
        <v>5016</v>
      </c>
      <c r="F22" s="396" t="s">
        <v>1345</v>
      </c>
      <c r="G22" s="396" t="s">
        <v>3125</v>
      </c>
      <c r="H22" s="398" t="s">
        <v>5024</v>
      </c>
      <c r="I22" s="399" t="s">
        <v>3378</v>
      </c>
      <c r="J22" s="399" t="s">
        <v>3230</v>
      </c>
      <c r="K22" s="402"/>
      <c r="L22" s="402"/>
      <c r="M22" s="402" t="s">
        <v>5024</v>
      </c>
      <c r="N22" s="402" t="s">
        <v>5024</v>
      </c>
      <c r="O22" s="402" t="s">
        <v>5027</v>
      </c>
      <c r="P22" s="402" t="s">
        <v>925</v>
      </c>
      <c r="Q22" s="403" t="s">
        <v>5026</v>
      </c>
      <c r="R22" s="233"/>
      <c r="S22" s="234">
        <f>IF(C22="",NA(),MATCH($B22&amp;$C22,'Smelter Reference List'!$J:$J,0))</f>
        <v>263</v>
      </c>
      <c r="T22" s="235"/>
      <c r="U22" s="235">
        <f t="shared" si="0"/>
        <v>0</v>
      </c>
      <c r="V22" s="235"/>
      <c r="W22" s="235"/>
      <c r="Y22" s="228" t="str">
        <f t="shared" si="1"/>
        <v>TantalumHi-Temp Specialty Metals, Inc.</v>
      </c>
    </row>
    <row r="23" spans="1:25" s="228" customFormat="1" ht="20.25">
      <c r="A23" s="400" t="s">
        <v>2700</v>
      </c>
      <c r="B23" s="396" t="s">
        <v>2325</v>
      </c>
      <c r="C23" s="397" t="s">
        <v>4192</v>
      </c>
      <c r="D23" s="396" t="s">
        <v>4192</v>
      </c>
      <c r="E23" s="396" t="s">
        <v>2181</v>
      </c>
      <c r="F23" s="396" t="s">
        <v>2700</v>
      </c>
      <c r="G23" s="396" t="s">
        <v>3125</v>
      </c>
      <c r="H23" s="398" t="s">
        <v>5024</v>
      </c>
      <c r="I23" s="399" t="s">
        <v>3411</v>
      </c>
      <c r="J23" s="399" t="s">
        <v>3204</v>
      </c>
      <c r="K23" s="402"/>
      <c r="L23" s="402"/>
      <c r="M23" s="402" t="s">
        <v>5024</v>
      </c>
      <c r="N23" s="402" t="s">
        <v>5024</v>
      </c>
      <c r="O23" s="402" t="s">
        <v>5025</v>
      </c>
      <c r="P23" s="402" t="s">
        <v>925</v>
      </c>
      <c r="Q23" s="403" t="s">
        <v>5026</v>
      </c>
      <c r="R23" s="233"/>
      <c r="S23" s="234">
        <f>IF(C23="",NA(),MATCH($B23&amp;$C23,'Smelter Reference List'!$J:$J,0))</f>
        <v>264</v>
      </c>
      <c r="T23" s="235"/>
      <c r="U23" s="235">
        <f t="shared" si="0"/>
        <v>0</v>
      </c>
      <c r="V23" s="235"/>
      <c r="W23" s="235"/>
      <c r="Y23" s="228" t="str">
        <f t="shared" si="1"/>
        <v>TantalumJiangxi Dinghai Tantalum &amp; Niobium Co., Ltd.</v>
      </c>
    </row>
    <row r="24" spans="1:25" s="228" customFormat="1" ht="20.25">
      <c r="A24" s="400" t="s">
        <v>4371</v>
      </c>
      <c r="B24" s="396" t="s">
        <v>2325</v>
      </c>
      <c r="C24" s="397" t="s">
        <v>4370</v>
      </c>
      <c r="D24" s="396" t="s">
        <v>4370</v>
      </c>
      <c r="E24" s="396" t="s">
        <v>2181</v>
      </c>
      <c r="F24" s="396" t="s">
        <v>4371</v>
      </c>
      <c r="G24" s="396" t="s">
        <v>3125</v>
      </c>
      <c r="H24" s="398" t="s">
        <v>5024</v>
      </c>
      <c r="I24" s="399" t="s">
        <v>3406</v>
      </c>
      <c r="J24" s="399" t="s">
        <v>3204</v>
      </c>
      <c r="K24" s="402"/>
      <c r="L24" s="402"/>
      <c r="M24" s="402" t="s">
        <v>5024</v>
      </c>
      <c r="N24" s="402" t="s">
        <v>5024</v>
      </c>
      <c r="O24" s="402" t="s">
        <v>5025</v>
      </c>
      <c r="P24" s="402" t="s">
        <v>925</v>
      </c>
      <c r="Q24" s="403" t="s">
        <v>5026</v>
      </c>
      <c r="R24" s="233"/>
      <c r="S24" s="234">
        <f>IF(C24="",NA(),MATCH($B24&amp;$C24,'Smelter Reference List'!$J:$J,0))</f>
        <v>265</v>
      </c>
      <c r="T24" s="235"/>
      <c r="U24" s="235">
        <f t="shared" si="0"/>
        <v>0</v>
      </c>
      <c r="V24" s="235"/>
      <c r="W24" s="235"/>
      <c r="Y24" s="228" t="str">
        <f t="shared" si="1"/>
        <v>TantalumJiangxi Tuohong New Raw Material</v>
      </c>
    </row>
    <row r="25" spans="1:25" s="228" customFormat="1" ht="20.25">
      <c r="A25" s="400" t="s">
        <v>1346</v>
      </c>
      <c r="B25" s="396" t="s">
        <v>2325</v>
      </c>
      <c r="C25" s="397" t="s">
        <v>5</v>
      </c>
      <c r="D25" s="396" t="s">
        <v>5</v>
      </c>
      <c r="E25" s="396" t="s">
        <v>2181</v>
      </c>
      <c r="F25" s="396" t="s">
        <v>1346</v>
      </c>
      <c r="G25" s="396" t="s">
        <v>3125</v>
      </c>
      <c r="H25" s="398" t="s">
        <v>5024</v>
      </c>
      <c r="I25" s="399" t="s">
        <v>3379</v>
      </c>
      <c r="J25" s="399" t="s">
        <v>3204</v>
      </c>
      <c r="K25" s="402"/>
      <c r="L25" s="402"/>
      <c r="M25" s="402" t="s">
        <v>5024</v>
      </c>
      <c r="N25" s="402" t="s">
        <v>5024</v>
      </c>
      <c r="O25" s="402" t="s">
        <v>5027</v>
      </c>
      <c r="P25" s="402" t="s">
        <v>925</v>
      </c>
      <c r="Q25" s="403" t="s">
        <v>5026</v>
      </c>
      <c r="R25" s="233"/>
      <c r="S25" s="234">
        <f>IF(C25="",NA(),MATCH($B25&amp;$C25,'Smelter Reference List'!$J:$J,0))</f>
        <v>266</v>
      </c>
      <c r="T25" s="235"/>
      <c r="U25" s="235">
        <f t="shared" si="0"/>
        <v>0</v>
      </c>
      <c r="V25" s="235"/>
      <c r="W25" s="235"/>
      <c r="Y25" s="228" t="str">
        <f t="shared" si="1"/>
        <v>TantalumJiuJiang JinXin Nonferrous Metals Co., Ltd.</v>
      </c>
    </row>
    <row r="26" spans="1:25" s="228" customFormat="1" ht="20.25">
      <c r="A26" s="400" t="s">
        <v>1347</v>
      </c>
      <c r="B26" s="396" t="s">
        <v>2325</v>
      </c>
      <c r="C26" s="397" t="s">
        <v>64</v>
      </c>
      <c r="D26" s="396" t="s">
        <v>64</v>
      </c>
      <c r="E26" s="396" t="s">
        <v>2181</v>
      </c>
      <c r="F26" s="396" t="s">
        <v>1347</v>
      </c>
      <c r="G26" s="396" t="s">
        <v>3125</v>
      </c>
      <c r="H26" s="398" t="s">
        <v>5024</v>
      </c>
      <c r="I26" s="399" t="s">
        <v>3379</v>
      </c>
      <c r="J26" s="399" t="s">
        <v>3204</v>
      </c>
      <c r="K26" s="402"/>
      <c r="L26" s="402"/>
      <c r="M26" s="402" t="s">
        <v>5024</v>
      </c>
      <c r="N26" s="402" t="s">
        <v>5024</v>
      </c>
      <c r="O26" s="402" t="s">
        <v>5027</v>
      </c>
      <c r="P26" s="402" t="s">
        <v>925</v>
      </c>
      <c r="Q26" s="403" t="s">
        <v>5026</v>
      </c>
      <c r="R26" s="233"/>
      <c r="S26" s="234">
        <f>IF(C26="",NA(),MATCH($B26&amp;$C26,'Smelter Reference List'!$J:$J,0))</f>
        <v>267</v>
      </c>
      <c r="T26" s="235"/>
      <c r="U26" s="235">
        <f t="shared" si="0"/>
        <v>0</v>
      </c>
      <c r="V26" s="235"/>
      <c r="W26" s="235"/>
      <c r="Y26" s="228" t="str">
        <f t="shared" si="1"/>
        <v>TantalumJiujiang Tanbre Co., Ltd.</v>
      </c>
    </row>
    <row r="27" spans="1:25" s="228" customFormat="1" ht="20.25">
      <c r="A27" s="400" t="s">
        <v>2701</v>
      </c>
      <c r="B27" s="396" t="s">
        <v>2325</v>
      </c>
      <c r="C27" s="397" t="s">
        <v>4189</v>
      </c>
      <c r="D27" s="396" t="s">
        <v>4189</v>
      </c>
      <c r="E27" s="396" t="s">
        <v>2181</v>
      </c>
      <c r="F27" s="396" t="s">
        <v>2701</v>
      </c>
      <c r="G27" s="396" t="s">
        <v>3125</v>
      </c>
      <c r="H27" s="398" t="s">
        <v>5024</v>
      </c>
      <c r="I27" s="399" t="s">
        <v>3379</v>
      </c>
      <c r="J27" s="399" t="s">
        <v>3204</v>
      </c>
      <c r="K27" s="402"/>
      <c r="L27" s="402"/>
      <c r="M27" s="402" t="s">
        <v>5024</v>
      </c>
      <c r="N27" s="402" t="s">
        <v>5024</v>
      </c>
      <c r="O27" s="402" t="s">
        <v>5027</v>
      </c>
      <c r="P27" s="402" t="s">
        <v>925</v>
      </c>
      <c r="Q27" s="403" t="s">
        <v>5026</v>
      </c>
      <c r="R27" s="233"/>
      <c r="S27" s="234">
        <f>IF(C27="",NA(),MATCH($B27&amp;$C27,'Smelter Reference List'!$J:$J,0))</f>
        <v>268</v>
      </c>
      <c r="T27" s="235"/>
      <c r="U27" s="235">
        <f t="shared" si="0"/>
        <v>0</v>
      </c>
      <c r="V27" s="235"/>
      <c r="W27" s="235"/>
      <c r="Y27" s="228" t="str">
        <f t="shared" si="1"/>
        <v>TantalumJiujiang Zhongao Tantalum &amp; Niobium Co., Ltd.</v>
      </c>
    </row>
    <row r="28" spans="1:25" s="228" customFormat="1" ht="20.25">
      <c r="A28" s="400" t="s">
        <v>2752</v>
      </c>
      <c r="B28" s="396" t="s">
        <v>2325</v>
      </c>
      <c r="C28" s="397" t="s">
        <v>2751</v>
      </c>
      <c r="D28" s="396" t="s">
        <v>2751</v>
      </c>
      <c r="E28" s="396" t="s">
        <v>2275</v>
      </c>
      <c r="F28" s="396" t="s">
        <v>2752</v>
      </c>
      <c r="G28" s="396" t="s">
        <v>3125</v>
      </c>
      <c r="H28" s="398" t="s">
        <v>5024</v>
      </c>
      <c r="I28" s="399" t="s">
        <v>3412</v>
      </c>
      <c r="J28" s="399" t="s">
        <v>3413</v>
      </c>
      <c r="K28" s="402"/>
      <c r="L28" s="402"/>
      <c r="M28" s="402" t="s">
        <v>5024</v>
      </c>
      <c r="N28" s="402" t="s">
        <v>5024</v>
      </c>
      <c r="O28" s="402" t="s">
        <v>5027</v>
      </c>
      <c r="P28" s="402" t="s">
        <v>925</v>
      </c>
      <c r="Q28" s="403" t="s">
        <v>5026</v>
      </c>
      <c r="R28" s="233"/>
      <c r="S28" s="234">
        <f>IF(C28="",NA(),MATCH($B28&amp;$C28,'Smelter Reference List'!$J:$J,0))</f>
        <v>269</v>
      </c>
      <c r="T28" s="235"/>
      <c r="U28" s="235">
        <f t="shared" si="0"/>
        <v>0</v>
      </c>
      <c r="V28" s="235"/>
      <c r="W28" s="235"/>
      <c r="Y28" s="228" t="str">
        <f t="shared" si="1"/>
        <v>TantalumKEMET Blue Metals</v>
      </c>
    </row>
    <row r="29" spans="1:25" s="228" customFormat="1" ht="20.25">
      <c r="A29" s="400" t="s">
        <v>2769</v>
      </c>
      <c r="B29" s="396" t="s">
        <v>2325</v>
      </c>
      <c r="C29" s="397" t="s">
        <v>2768</v>
      </c>
      <c r="D29" s="396" t="s">
        <v>2768</v>
      </c>
      <c r="E29" s="396" t="s">
        <v>5016</v>
      </c>
      <c r="F29" s="396" t="s">
        <v>2769</v>
      </c>
      <c r="G29" s="396" t="s">
        <v>3125</v>
      </c>
      <c r="H29" s="398" t="s">
        <v>5024</v>
      </c>
      <c r="I29" s="399" t="s">
        <v>3430</v>
      </c>
      <c r="J29" s="399" t="s">
        <v>3431</v>
      </c>
      <c r="K29" s="402"/>
      <c r="L29" s="402"/>
      <c r="M29" s="402" t="s">
        <v>5024</v>
      </c>
      <c r="N29" s="402" t="s">
        <v>5024</v>
      </c>
      <c r="O29" s="402" t="s">
        <v>5027</v>
      </c>
      <c r="P29" s="402" t="s">
        <v>925</v>
      </c>
      <c r="Q29" s="403" t="s">
        <v>5026</v>
      </c>
      <c r="R29" s="233"/>
      <c r="S29" s="234">
        <f>IF(C29="",NA(),MATCH($B29&amp;$C29,'Smelter Reference List'!$J:$J,0))</f>
        <v>270</v>
      </c>
      <c r="T29" s="235"/>
      <c r="U29" s="235">
        <f t="shared" si="0"/>
        <v>0</v>
      </c>
      <c r="V29" s="235"/>
      <c r="W29" s="235"/>
      <c r="Y29" s="228" t="str">
        <f t="shared" si="1"/>
        <v>TantalumKEMET Blue Powder</v>
      </c>
    </row>
    <row r="30" spans="1:25" s="228" customFormat="1" ht="20.25">
      <c r="A30" s="400" t="s">
        <v>1348</v>
      </c>
      <c r="B30" s="396" t="s">
        <v>2325</v>
      </c>
      <c r="C30" s="397" t="s">
        <v>4157</v>
      </c>
      <c r="D30" s="396" t="s">
        <v>4157</v>
      </c>
      <c r="E30" s="396" t="s">
        <v>2181</v>
      </c>
      <c r="F30" s="396" t="s">
        <v>1348</v>
      </c>
      <c r="G30" s="396" t="s">
        <v>3125</v>
      </c>
      <c r="H30" s="398" t="s">
        <v>5024</v>
      </c>
      <c r="I30" s="399" t="s">
        <v>3380</v>
      </c>
      <c r="J30" s="399" t="s">
        <v>3204</v>
      </c>
      <c r="K30" s="402"/>
      <c r="L30" s="402"/>
      <c r="M30" s="402" t="s">
        <v>5024</v>
      </c>
      <c r="N30" s="402" t="s">
        <v>5024</v>
      </c>
      <c r="O30" s="402" t="s">
        <v>5025</v>
      </c>
      <c r="P30" s="402" t="s">
        <v>925</v>
      </c>
      <c r="Q30" s="403" t="s">
        <v>5026</v>
      </c>
      <c r="R30" s="233"/>
      <c r="S30" s="234">
        <f>IF(C30="",NA(),MATCH($B30&amp;$C30,'Smelter Reference List'!$J:$J,0))</f>
        <v>271</v>
      </c>
      <c r="T30" s="235"/>
      <c r="U30" s="235">
        <f t="shared" si="0"/>
        <v>0</v>
      </c>
      <c r="V30" s="235"/>
      <c r="W30" s="235"/>
      <c r="Y30" s="228" t="str">
        <f t="shared" si="1"/>
        <v>TantalumKing-Tan Tantalum Industry Ltd.</v>
      </c>
    </row>
    <row r="31" spans="1:25" s="228" customFormat="1" ht="20.25">
      <c r="A31" s="400" t="s">
        <v>1349</v>
      </c>
      <c r="B31" s="396" t="s">
        <v>2325</v>
      </c>
      <c r="C31" s="397" t="s">
        <v>65</v>
      </c>
      <c r="D31" s="396" t="s">
        <v>65</v>
      </c>
      <c r="E31" s="396" t="s">
        <v>2170</v>
      </c>
      <c r="F31" s="396" t="s">
        <v>1349</v>
      </c>
      <c r="G31" s="396" t="s">
        <v>3125</v>
      </c>
      <c r="H31" s="398" t="s">
        <v>5024</v>
      </c>
      <c r="I31" s="399" t="s">
        <v>3381</v>
      </c>
      <c r="J31" s="399" t="s">
        <v>3136</v>
      </c>
      <c r="K31" s="402"/>
      <c r="L31" s="402"/>
      <c r="M31" s="402" t="s">
        <v>5024</v>
      </c>
      <c r="N31" s="402" t="s">
        <v>5024</v>
      </c>
      <c r="O31" s="402" t="s">
        <v>5025</v>
      </c>
      <c r="P31" s="402" t="s">
        <v>925</v>
      </c>
      <c r="Q31" s="403" t="s">
        <v>5026</v>
      </c>
      <c r="R31" s="233"/>
      <c r="S31" s="234">
        <f>IF(C31="",NA(),MATCH($B31&amp;$C31,'Smelter Reference List'!$J:$J,0))</f>
        <v>272</v>
      </c>
      <c r="T31" s="235"/>
      <c r="U31" s="235">
        <f t="shared" si="0"/>
        <v>0</v>
      </c>
      <c r="V31" s="235"/>
      <c r="W31" s="235"/>
      <c r="Y31" s="228" t="str">
        <f t="shared" si="1"/>
        <v>TantalumLSM Brasil S.A.</v>
      </c>
    </row>
    <row r="32" spans="1:25" s="228" customFormat="1" ht="20.25">
      <c r="A32" s="400" t="s">
        <v>1350</v>
      </c>
      <c r="B32" s="396" t="s">
        <v>2325</v>
      </c>
      <c r="C32" s="397" t="s">
        <v>4164</v>
      </c>
      <c r="D32" s="396" t="s">
        <v>4164</v>
      </c>
      <c r="E32" s="396" t="s">
        <v>2239</v>
      </c>
      <c r="F32" s="396" t="s">
        <v>1350</v>
      </c>
      <c r="G32" s="396" t="s">
        <v>3125</v>
      </c>
      <c r="H32" s="398" t="s">
        <v>5024</v>
      </c>
      <c r="I32" s="399" t="s">
        <v>3382</v>
      </c>
      <c r="J32" s="399" t="s">
        <v>3383</v>
      </c>
      <c r="K32" s="402"/>
      <c r="L32" s="402"/>
      <c r="M32" s="402" t="s">
        <v>5024</v>
      </c>
      <c r="N32" s="402" t="s">
        <v>5024</v>
      </c>
      <c r="O32" s="402" t="s">
        <v>5025</v>
      </c>
      <c r="P32" s="402" t="s">
        <v>925</v>
      </c>
      <c r="Q32" s="403" t="s">
        <v>5026</v>
      </c>
      <c r="R32" s="233"/>
      <c r="S32" s="234">
        <f>IF(C32="",NA(),MATCH($B32&amp;$C32,'Smelter Reference List'!$J:$J,0))</f>
        <v>274</v>
      </c>
      <c r="T32" s="235"/>
      <c r="U32" s="235">
        <f t="shared" si="0"/>
        <v>0</v>
      </c>
      <c r="V32" s="235"/>
      <c r="W32" s="235"/>
      <c r="Y32" s="228" t="str">
        <f t="shared" si="1"/>
        <v>TantalumMetallurgical Products India Pvt., Ltd.</v>
      </c>
    </row>
    <row r="33" spans="1:25" s="228" customFormat="1" ht="20.25">
      <c r="A33" s="400" t="s">
        <v>1351</v>
      </c>
      <c r="B33" s="396" t="s">
        <v>2325</v>
      </c>
      <c r="C33" s="397" t="s">
        <v>1953</v>
      </c>
      <c r="D33" s="396" t="s">
        <v>1953</v>
      </c>
      <c r="E33" s="396" t="s">
        <v>2170</v>
      </c>
      <c r="F33" s="396" t="s">
        <v>1351</v>
      </c>
      <c r="G33" s="396" t="s">
        <v>3125</v>
      </c>
      <c r="H33" s="398" t="s">
        <v>5024</v>
      </c>
      <c r="I33" s="399" t="s">
        <v>3385</v>
      </c>
      <c r="J33" s="399" t="s">
        <v>3386</v>
      </c>
      <c r="K33" s="402"/>
      <c r="L33" s="402"/>
      <c r="M33" s="402" t="s">
        <v>5024</v>
      </c>
      <c r="N33" s="402" t="s">
        <v>5024</v>
      </c>
      <c r="O33" s="402" t="s">
        <v>5025</v>
      </c>
      <c r="P33" s="402" t="s">
        <v>925</v>
      </c>
      <c r="Q33" s="403" t="s">
        <v>5026</v>
      </c>
      <c r="R33" s="233"/>
      <c r="S33" s="234">
        <f>IF(C33="",NA(),MATCH($B33&amp;$C33,'Smelter Reference List'!$J:$J,0))</f>
        <v>275</v>
      </c>
      <c r="T33" s="235"/>
      <c r="U33" s="235">
        <f t="shared" si="0"/>
        <v>0</v>
      </c>
      <c r="V33" s="235"/>
      <c r="W33" s="235"/>
      <c r="Y33" s="228" t="str">
        <f t="shared" si="1"/>
        <v>TantalumMineração Taboca S.A.</v>
      </c>
    </row>
    <row r="34" spans="1:25" s="228" customFormat="1" ht="20.25">
      <c r="A34" s="400" t="s">
        <v>1352</v>
      </c>
      <c r="B34" s="396" t="s">
        <v>2325</v>
      </c>
      <c r="C34" s="397" t="s">
        <v>2454</v>
      </c>
      <c r="D34" s="396" t="s">
        <v>2454</v>
      </c>
      <c r="E34" s="396" t="s">
        <v>2249</v>
      </c>
      <c r="F34" s="396" t="s">
        <v>1352</v>
      </c>
      <c r="G34" s="396" t="s">
        <v>3125</v>
      </c>
      <c r="H34" s="398" t="s">
        <v>5024</v>
      </c>
      <c r="I34" s="399" t="s">
        <v>3387</v>
      </c>
      <c r="J34" s="399" t="s">
        <v>3388</v>
      </c>
      <c r="K34" s="402"/>
      <c r="L34" s="402"/>
      <c r="M34" s="402" t="s">
        <v>5024</v>
      </c>
      <c r="N34" s="402" t="s">
        <v>5024</v>
      </c>
      <c r="O34" s="402" t="s">
        <v>5027</v>
      </c>
      <c r="P34" s="402" t="s">
        <v>925</v>
      </c>
      <c r="Q34" s="403" t="s">
        <v>5026</v>
      </c>
      <c r="R34" s="233"/>
      <c r="S34" s="234" t="e">
        <f>IF(C34="",NA(),MATCH($B34&amp;$C34,'Smelter Reference List'!$J:$J,0))</f>
        <v>#N/A</v>
      </c>
      <c r="T34" s="235"/>
      <c r="U34" s="235">
        <f t="shared" si="0"/>
        <v>0</v>
      </c>
      <c r="V34" s="235"/>
      <c r="W34" s="235"/>
      <c r="Y34" s="228" t="str">
        <f t="shared" si="1"/>
        <v>TantalumMitsui Mining and Smelting Co., Ltd.</v>
      </c>
    </row>
    <row r="35" spans="1:25" s="228" customFormat="1" ht="20.25">
      <c r="A35" s="400" t="s">
        <v>1354</v>
      </c>
      <c r="B35" s="396" t="s">
        <v>2325</v>
      </c>
      <c r="C35" s="397" t="s">
        <v>1950</v>
      </c>
      <c r="D35" s="396" t="s">
        <v>1950</v>
      </c>
      <c r="E35" s="396" t="s">
        <v>2181</v>
      </c>
      <c r="F35" s="396" t="s">
        <v>1354</v>
      </c>
      <c r="G35" s="396" t="s">
        <v>3125</v>
      </c>
      <c r="H35" s="398" t="s">
        <v>5024</v>
      </c>
      <c r="I35" s="399" t="s">
        <v>3391</v>
      </c>
      <c r="J35" s="399" t="s">
        <v>3392</v>
      </c>
      <c r="K35" s="402"/>
      <c r="L35" s="402"/>
      <c r="M35" s="402" t="s">
        <v>5024</v>
      </c>
      <c r="N35" s="402" t="s">
        <v>5024</v>
      </c>
      <c r="O35" s="402" t="s">
        <v>5027</v>
      </c>
      <c r="P35" s="402" t="s">
        <v>925</v>
      </c>
      <c r="Q35" s="403" t="s">
        <v>5026</v>
      </c>
      <c r="R35" s="233"/>
      <c r="S35" s="234">
        <f>IF(C35="",NA(),MATCH($B35&amp;$C35,'Smelter Reference List'!$J:$J,0))</f>
        <v>278</v>
      </c>
      <c r="T35" s="235"/>
      <c r="U35" s="235">
        <f t="shared" si="0"/>
        <v>0</v>
      </c>
      <c r="V35" s="235"/>
      <c r="W35" s="235"/>
      <c r="Y35" s="228" t="str">
        <f t="shared" si="1"/>
        <v>TantalumNingxia Orient Tantalum Industry Co., Ltd.</v>
      </c>
    </row>
    <row r="36" spans="1:25" s="228" customFormat="1" ht="20.25">
      <c r="A36" s="400" t="s">
        <v>1353</v>
      </c>
      <c r="B36" s="396" t="s">
        <v>2325</v>
      </c>
      <c r="C36" s="397" t="s">
        <v>66</v>
      </c>
      <c r="D36" s="396" t="s">
        <v>66</v>
      </c>
      <c r="E36" s="396" t="s">
        <v>2206</v>
      </c>
      <c r="F36" s="396" t="s">
        <v>1353</v>
      </c>
      <c r="G36" s="396" t="s">
        <v>3125</v>
      </c>
      <c r="H36" s="398" t="s">
        <v>5024</v>
      </c>
      <c r="I36" s="399" t="s">
        <v>3389</v>
      </c>
      <c r="J36" s="399" t="s">
        <v>3390</v>
      </c>
      <c r="K36" s="402"/>
      <c r="L36" s="402"/>
      <c r="M36" s="402" t="s">
        <v>5024</v>
      </c>
      <c r="N36" s="402" t="s">
        <v>5024</v>
      </c>
      <c r="O36" s="402" t="s">
        <v>5027</v>
      </c>
      <c r="P36" s="402" t="s">
        <v>925</v>
      </c>
      <c r="Q36" s="403" t="s">
        <v>5026</v>
      </c>
      <c r="R36" s="233"/>
      <c r="S36" s="234">
        <f>IF(C36="",NA(),MATCH($B36&amp;$C36,'Smelter Reference List'!$J:$J,0))</f>
        <v>277</v>
      </c>
      <c r="T36" s="235"/>
      <c r="U36" s="235">
        <f t="shared" si="0"/>
        <v>0</v>
      </c>
      <c r="V36" s="235"/>
      <c r="W36" s="235"/>
      <c r="Y36" s="228" t="str">
        <f t="shared" si="1"/>
        <v>TantalumMolycorp Silmet A.S.</v>
      </c>
    </row>
    <row r="37" spans="1:25" s="228" customFormat="1" ht="25.5">
      <c r="A37" s="400" t="s">
        <v>4730</v>
      </c>
      <c r="B37" s="396" t="s">
        <v>2325</v>
      </c>
      <c r="C37" s="397" t="s">
        <v>4838</v>
      </c>
      <c r="D37" s="396" t="s">
        <v>4838</v>
      </c>
      <c r="E37" s="396" t="s">
        <v>5028</v>
      </c>
      <c r="F37" s="396" t="s">
        <v>4730</v>
      </c>
      <c r="G37" s="396" t="s">
        <v>3125</v>
      </c>
      <c r="H37" s="398" t="s">
        <v>5024</v>
      </c>
      <c r="I37" s="399" t="s">
        <v>4769</v>
      </c>
      <c r="J37" s="399" t="s">
        <v>4770</v>
      </c>
      <c r="K37" s="402"/>
      <c r="L37" s="402"/>
      <c r="M37" s="402" t="s">
        <v>5024</v>
      </c>
      <c r="N37" s="402" t="s">
        <v>5024</v>
      </c>
      <c r="O37" s="402" t="s">
        <v>5027</v>
      </c>
      <c r="P37" s="402" t="s">
        <v>925</v>
      </c>
      <c r="Q37" s="403" t="s">
        <v>5026</v>
      </c>
      <c r="R37" s="233"/>
      <c r="S37" s="234">
        <f>IF(C37="",NA(),MATCH($B37&amp;$C37,'Smelter Reference List'!$J:$J,0))</f>
        <v>281</v>
      </c>
      <c r="T37" s="235"/>
      <c r="U37" s="235">
        <f t="shared" si="0"/>
        <v>0</v>
      </c>
      <c r="V37" s="235"/>
      <c r="W37" s="235"/>
      <c r="Y37" s="228" t="str">
        <f t="shared" si="1"/>
        <v>TantalumPower Resources Ltd.</v>
      </c>
    </row>
    <row r="38" spans="1:25" s="228" customFormat="1" ht="20.25">
      <c r="A38" s="400" t="s">
        <v>1355</v>
      </c>
      <c r="B38" s="396" t="s">
        <v>2325</v>
      </c>
      <c r="C38" s="397" t="s">
        <v>1467</v>
      </c>
      <c r="D38" s="396" t="s">
        <v>1467</v>
      </c>
      <c r="E38" s="396" t="s">
        <v>5016</v>
      </c>
      <c r="F38" s="396" t="s">
        <v>1355</v>
      </c>
      <c r="G38" s="396" t="s">
        <v>3125</v>
      </c>
      <c r="H38" s="398" t="s">
        <v>5024</v>
      </c>
      <c r="I38" s="399" t="s">
        <v>3393</v>
      </c>
      <c r="J38" s="399" t="s">
        <v>3394</v>
      </c>
      <c r="K38" s="402"/>
      <c r="L38" s="402"/>
      <c r="M38" s="402" t="s">
        <v>5024</v>
      </c>
      <c r="N38" s="402" t="s">
        <v>5024</v>
      </c>
      <c r="O38" s="402" t="s">
        <v>5029</v>
      </c>
      <c r="P38" s="402" t="s">
        <v>924</v>
      </c>
      <c r="Q38" s="403" t="s">
        <v>5026</v>
      </c>
      <c r="R38" s="233"/>
      <c r="S38" s="234">
        <f>IF(C38="",NA(),MATCH($B38&amp;$C38,'Smelter Reference List'!$J:$J,0))</f>
        <v>282</v>
      </c>
      <c r="T38" s="235"/>
      <c r="U38" s="235">
        <f t="shared" si="0"/>
        <v>0</v>
      </c>
      <c r="V38" s="235"/>
      <c r="W38" s="235"/>
      <c r="Y38" s="228" t="str">
        <f t="shared" si="1"/>
        <v>TantalumQuantumClean</v>
      </c>
    </row>
    <row r="39" spans="1:25" s="228" customFormat="1" ht="20.25">
      <c r="A39" s="400" t="s">
        <v>3435</v>
      </c>
      <c r="B39" s="396" t="s">
        <v>2325</v>
      </c>
      <c r="C39" s="397" t="s">
        <v>4294</v>
      </c>
      <c r="D39" s="396" t="s">
        <v>4294</v>
      </c>
      <c r="E39" s="396" t="s">
        <v>2170</v>
      </c>
      <c r="F39" s="396" t="s">
        <v>3435</v>
      </c>
      <c r="G39" s="396" t="s">
        <v>3125</v>
      </c>
      <c r="H39" s="398" t="s">
        <v>5024</v>
      </c>
      <c r="I39" s="399" t="s">
        <v>3381</v>
      </c>
      <c r="J39" s="399" t="s">
        <v>3436</v>
      </c>
      <c r="K39" s="402"/>
      <c r="L39" s="402"/>
      <c r="M39" s="402" t="s">
        <v>5024</v>
      </c>
      <c r="N39" s="402" t="s">
        <v>5024</v>
      </c>
      <c r="O39" s="402" t="s">
        <v>5025</v>
      </c>
      <c r="P39" s="402" t="s">
        <v>925</v>
      </c>
      <c r="Q39" s="403" t="s">
        <v>5026</v>
      </c>
      <c r="R39" s="233"/>
      <c r="S39" s="234">
        <f>IF(C39="",NA(),MATCH($B39&amp;$C39,'Smelter Reference List'!$J:$J,0))</f>
        <v>283</v>
      </c>
      <c r="T39" s="235"/>
      <c r="U39" s="235">
        <f t="shared" si="0"/>
        <v>0</v>
      </c>
      <c r="V39" s="235"/>
      <c r="W39" s="235"/>
      <c r="Y39" s="228" t="str">
        <f t="shared" si="1"/>
        <v>TantalumResind Indústria e Comércio Ltda.</v>
      </c>
    </row>
    <row r="40" spans="1:25" s="228" customFormat="1" ht="20.25">
      <c r="A40" s="400" t="s">
        <v>1357</v>
      </c>
      <c r="B40" s="396" t="s">
        <v>2325</v>
      </c>
      <c r="C40" s="397" t="s">
        <v>2658</v>
      </c>
      <c r="D40" s="396" t="s">
        <v>2658</v>
      </c>
      <c r="E40" s="396" t="s">
        <v>1717</v>
      </c>
      <c r="F40" s="396" t="s">
        <v>1357</v>
      </c>
      <c r="G40" s="396" t="s">
        <v>3125</v>
      </c>
      <c r="H40" s="398" t="s">
        <v>5024</v>
      </c>
      <c r="I40" s="399" t="s">
        <v>3396</v>
      </c>
      <c r="J40" s="399" t="s">
        <v>3397</v>
      </c>
      <c r="K40" s="402"/>
      <c r="L40" s="402"/>
      <c r="M40" s="402" t="s">
        <v>5024</v>
      </c>
      <c r="N40" s="402" t="s">
        <v>5024</v>
      </c>
      <c r="O40" s="402" t="s">
        <v>5025</v>
      </c>
      <c r="P40" s="402" t="s">
        <v>925</v>
      </c>
      <c r="Q40" s="403" t="s">
        <v>5026</v>
      </c>
      <c r="R40" s="233"/>
      <c r="S40" s="234">
        <f>IF(C40="",NA(),MATCH($B40&amp;$C40,'Smelter Reference List'!$J:$J,0))</f>
        <v>288</v>
      </c>
      <c r="T40" s="235"/>
      <c r="U40" s="235">
        <f t="shared" si="0"/>
        <v>0</v>
      </c>
      <c r="V40" s="235"/>
      <c r="W40" s="235"/>
      <c r="Y40" s="228" t="str">
        <f t="shared" si="1"/>
        <v>TantalumSolikamsk Magnesium Works OAO</v>
      </c>
    </row>
    <row r="41" spans="1:25" s="228" customFormat="1" ht="20.25">
      <c r="A41" s="400" t="s">
        <v>1358</v>
      </c>
      <c r="B41" s="396" t="s">
        <v>2325</v>
      </c>
      <c r="C41" s="397" t="s">
        <v>5019</v>
      </c>
      <c r="D41" s="396" t="s">
        <v>5019</v>
      </c>
      <c r="E41" s="396" t="s">
        <v>2249</v>
      </c>
      <c r="F41" s="396" t="s">
        <v>1358</v>
      </c>
      <c r="G41" s="396" t="s">
        <v>3125</v>
      </c>
      <c r="H41" s="398" t="s">
        <v>5024</v>
      </c>
      <c r="I41" s="399" t="s">
        <v>3398</v>
      </c>
      <c r="J41" s="399" t="s">
        <v>3140</v>
      </c>
      <c r="K41" s="402"/>
      <c r="L41" s="402"/>
      <c r="M41" s="402" t="s">
        <v>5024</v>
      </c>
      <c r="N41" s="402" t="s">
        <v>5024</v>
      </c>
      <c r="O41" s="402" t="s">
        <v>5027</v>
      </c>
      <c r="P41" s="402" t="s">
        <v>925</v>
      </c>
      <c r="Q41" s="403" t="s">
        <v>5026</v>
      </c>
      <c r="R41" s="233"/>
      <c r="S41" s="234" t="e">
        <f>IF(C41="",NA(),MATCH($B41&amp;$C41,'Smelter Reference List'!$J:$J,0))</f>
        <v>#N/A</v>
      </c>
      <c r="T41" s="235"/>
      <c r="U41" s="235">
        <f t="shared" si="0"/>
        <v>0</v>
      </c>
      <c r="V41" s="235"/>
      <c r="W41" s="235"/>
      <c r="Y41" s="228" t="str">
        <f t="shared" si="1"/>
        <v>TantalumTaki Chemical Co., Ltd.</v>
      </c>
    </row>
    <row r="42" spans="1:25" s="228" customFormat="1" ht="20.25">
      <c r="A42" s="400" t="s">
        <v>1359</v>
      </c>
      <c r="B42" s="396" t="s">
        <v>2325</v>
      </c>
      <c r="C42" s="397" t="s">
        <v>3399</v>
      </c>
      <c r="D42" s="396" t="s">
        <v>3399</v>
      </c>
      <c r="E42" s="396" t="s">
        <v>5016</v>
      </c>
      <c r="F42" s="396" t="s">
        <v>1359</v>
      </c>
      <c r="G42" s="396" t="s">
        <v>3125</v>
      </c>
      <c r="H42" s="398" t="s">
        <v>5024</v>
      </c>
      <c r="I42" s="399" t="s">
        <v>3400</v>
      </c>
      <c r="J42" s="399" t="s">
        <v>3401</v>
      </c>
      <c r="K42" s="402"/>
      <c r="L42" s="402"/>
      <c r="M42" s="402" t="s">
        <v>5024</v>
      </c>
      <c r="N42" s="402" t="s">
        <v>5024</v>
      </c>
      <c r="O42" s="402" t="s">
        <v>5027</v>
      </c>
      <c r="P42" s="402" t="s">
        <v>925</v>
      </c>
      <c r="Q42" s="403" t="s">
        <v>5026</v>
      </c>
      <c r="R42" s="233"/>
      <c r="S42" s="234">
        <f>IF(C42="",NA(),MATCH($B42&amp;$C42,'Smelter Reference List'!$J:$J,0))</f>
        <v>291</v>
      </c>
      <c r="T42" s="235"/>
      <c r="U42" s="235">
        <f t="shared" si="0"/>
        <v>0</v>
      </c>
      <c r="V42" s="235"/>
      <c r="W42" s="235"/>
      <c r="Y42" s="228" t="str">
        <f t="shared" si="1"/>
        <v>TantalumTelex Metals</v>
      </c>
    </row>
    <row r="43" spans="1:25" s="228" customFormat="1" ht="20.25">
      <c r="A43" s="400" t="s">
        <v>3433</v>
      </c>
      <c r="B43" s="396" t="s">
        <v>2325</v>
      </c>
      <c r="C43" s="397" t="s">
        <v>3432</v>
      </c>
      <c r="D43" s="396" t="s">
        <v>3432</v>
      </c>
      <c r="E43" s="396" t="s">
        <v>5016</v>
      </c>
      <c r="F43" s="396" t="s">
        <v>3433</v>
      </c>
      <c r="G43" s="396" t="s">
        <v>3125</v>
      </c>
      <c r="H43" s="398" t="s">
        <v>5024</v>
      </c>
      <c r="I43" s="399" t="s">
        <v>3434</v>
      </c>
      <c r="J43" s="399" t="s">
        <v>3401</v>
      </c>
      <c r="K43" s="402"/>
      <c r="L43" s="402"/>
      <c r="M43" s="402" t="s">
        <v>5024</v>
      </c>
      <c r="N43" s="402" t="s">
        <v>5024</v>
      </c>
      <c r="O43" s="402" t="s">
        <v>5025</v>
      </c>
      <c r="P43" s="402" t="s">
        <v>925</v>
      </c>
      <c r="Q43" s="403" t="s">
        <v>5026</v>
      </c>
      <c r="R43" s="233"/>
      <c r="S43" s="234">
        <f>IF(C43="",NA(),MATCH($B43&amp;$C43,'Smelter Reference List'!$J:$J,0))</f>
        <v>292</v>
      </c>
      <c r="T43" s="235"/>
      <c r="U43" s="235">
        <f t="shared" si="0"/>
        <v>0</v>
      </c>
      <c r="V43" s="235"/>
      <c r="W43" s="235"/>
      <c r="Y43" s="228" t="str">
        <f t="shared" si="1"/>
        <v>TantalumTranzact, Inc.</v>
      </c>
    </row>
    <row r="44" spans="1:25" s="228" customFormat="1" ht="20.25">
      <c r="A44" s="400" t="s">
        <v>1360</v>
      </c>
      <c r="B44" s="396" t="s">
        <v>2325</v>
      </c>
      <c r="C44" s="397" t="s">
        <v>3402</v>
      </c>
      <c r="D44" s="396" t="s">
        <v>3402</v>
      </c>
      <c r="E44" s="396" t="s">
        <v>2250</v>
      </c>
      <c r="F44" s="396" t="s">
        <v>1360</v>
      </c>
      <c r="G44" s="396" t="s">
        <v>3125</v>
      </c>
      <c r="H44" s="398" t="s">
        <v>5024</v>
      </c>
      <c r="I44" s="399" t="s">
        <v>3214</v>
      </c>
      <c r="J44" s="399" t="s">
        <v>3403</v>
      </c>
      <c r="K44" s="402"/>
      <c r="L44" s="402"/>
      <c r="M44" s="402" t="s">
        <v>5024</v>
      </c>
      <c r="N44" s="402" t="s">
        <v>5024</v>
      </c>
      <c r="O44" s="402" t="s">
        <v>5027</v>
      </c>
      <c r="P44" s="402" t="s">
        <v>925</v>
      </c>
      <c r="Q44" s="403" t="s">
        <v>5026</v>
      </c>
      <c r="R44" s="233"/>
      <c r="S44" s="234">
        <f>IF(C44="",NA(),MATCH($B44&amp;$C44,'Smelter Reference List'!$J:$J,0))</f>
        <v>294</v>
      </c>
      <c r="T44" s="235"/>
      <c r="U44" s="235">
        <f t="shared" si="0"/>
        <v>0</v>
      </c>
      <c r="V44" s="235"/>
      <c r="W44" s="235"/>
      <c r="Y44" s="228" t="str">
        <f t="shared" si="1"/>
        <v>TantalumUlba Metallurgical Plant JSC</v>
      </c>
    </row>
    <row r="45" spans="1:25" s="228" customFormat="1" ht="20.25">
      <c r="A45" s="400" t="s">
        <v>2703</v>
      </c>
      <c r="B45" s="396" t="s">
        <v>2325</v>
      </c>
      <c r="C45" s="397" t="s">
        <v>4190</v>
      </c>
      <c r="D45" s="396" t="s">
        <v>4190</v>
      </c>
      <c r="E45" s="396" t="s">
        <v>2181</v>
      </c>
      <c r="F45" s="396" t="s">
        <v>2703</v>
      </c>
      <c r="G45" s="396" t="s">
        <v>3125</v>
      </c>
      <c r="H45" s="398" t="s">
        <v>5024</v>
      </c>
      <c r="I45" s="399" t="s">
        <v>3410</v>
      </c>
      <c r="J45" s="399" t="s">
        <v>3335</v>
      </c>
      <c r="K45" s="402"/>
      <c r="L45" s="402"/>
      <c r="M45" s="402" t="s">
        <v>5024</v>
      </c>
      <c r="N45" s="402" t="s">
        <v>5024</v>
      </c>
      <c r="O45" s="402" t="s">
        <v>5025</v>
      </c>
      <c r="P45" s="402" t="s">
        <v>925</v>
      </c>
      <c r="Q45" s="403" t="s">
        <v>5026</v>
      </c>
      <c r="R45" s="233"/>
      <c r="S45" s="234">
        <f>IF(C45="",NA(),MATCH($B45&amp;$C45,'Smelter Reference List'!$J:$J,0))</f>
        <v>295</v>
      </c>
      <c r="T45" s="235"/>
      <c r="U45" s="235">
        <f t="shared" si="0"/>
        <v>0</v>
      </c>
      <c r="V45" s="235"/>
      <c r="W45" s="235"/>
      <c r="Y45" s="228" t="str">
        <f t="shared" si="1"/>
        <v>TantalumXinXing HaoRong Electronic Material Co., Ltd.</v>
      </c>
    </row>
    <row r="46" spans="1:25" s="228" customFormat="1" ht="20.25">
      <c r="A46" s="400" t="s">
        <v>1356</v>
      </c>
      <c r="B46" s="396" t="s">
        <v>2325</v>
      </c>
      <c r="C46" s="397" t="s">
        <v>4172</v>
      </c>
      <c r="D46" s="396" t="s">
        <v>4172</v>
      </c>
      <c r="E46" s="396" t="s">
        <v>2181</v>
      </c>
      <c r="F46" s="396" t="s">
        <v>1356</v>
      </c>
      <c r="G46" s="396" t="s">
        <v>3125</v>
      </c>
      <c r="H46" s="398" t="s">
        <v>5024</v>
      </c>
      <c r="I46" s="399" t="s">
        <v>3395</v>
      </c>
      <c r="J46" s="399" t="s">
        <v>3186</v>
      </c>
      <c r="K46" s="402"/>
      <c r="L46" s="402"/>
      <c r="M46" s="402" t="s">
        <v>5024</v>
      </c>
      <c r="N46" s="402" t="s">
        <v>5024</v>
      </c>
      <c r="O46" s="402" t="s">
        <v>5025</v>
      </c>
      <c r="P46" s="402" t="s">
        <v>925</v>
      </c>
      <c r="Q46" s="403" t="s">
        <v>5026</v>
      </c>
      <c r="R46" s="233"/>
      <c r="S46" s="234">
        <f>IF(C46="",NA(),MATCH($B46&amp;$C46,'Smelter Reference List'!$J:$J,0))</f>
        <v>286</v>
      </c>
      <c r="T46" s="235"/>
      <c r="U46" s="235">
        <f t="shared" si="0"/>
        <v>0</v>
      </c>
      <c r="V46" s="235"/>
      <c r="W46" s="235"/>
      <c r="Y46" s="228" t="str">
        <f t="shared" si="1"/>
        <v>TantalumRFH Tantalum Smeltry Co., Ltd.</v>
      </c>
    </row>
    <row r="47" spans="1:25" s="228" customFormat="1" ht="20.25">
      <c r="A47" s="400" t="s">
        <v>78</v>
      </c>
      <c r="B47" s="396" t="s">
        <v>2325</v>
      </c>
      <c r="C47" s="397" t="s">
        <v>4185</v>
      </c>
      <c r="D47" s="396" t="s">
        <v>4185</v>
      </c>
      <c r="E47" s="396" t="s">
        <v>2181</v>
      </c>
      <c r="F47" s="396" t="s">
        <v>78</v>
      </c>
      <c r="G47" s="396" t="s">
        <v>3125</v>
      </c>
      <c r="H47" s="398" t="s">
        <v>5024</v>
      </c>
      <c r="I47" s="399" t="s">
        <v>3380</v>
      </c>
      <c r="J47" s="399" t="s">
        <v>3204</v>
      </c>
      <c r="K47" s="402"/>
      <c r="L47" s="402"/>
      <c r="M47" s="402" t="s">
        <v>5024</v>
      </c>
      <c r="N47" s="402" t="s">
        <v>5024</v>
      </c>
      <c r="O47" s="402" t="s">
        <v>5027</v>
      </c>
      <c r="P47" s="402" t="s">
        <v>925</v>
      </c>
      <c r="Q47" s="403" t="s">
        <v>5026</v>
      </c>
      <c r="R47" s="233"/>
      <c r="S47" s="234">
        <f>IF(C47="",NA(),MATCH($B47&amp;$C47,'Smelter Reference List'!$J:$J,0))</f>
        <v>296</v>
      </c>
      <c r="T47" s="235"/>
      <c r="U47" s="235">
        <f t="shared" si="0"/>
        <v>0</v>
      </c>
      <c r="V47" s="235"/>
      <c r="W47" s="235"/>
      <c r="Y47" s="228" t="str">
        <f t="shared" si="1"/>
        <v>TantalumYichun Jin Yang Rare Metal Co., Ltd.</v>
      </c>
    </row>
    <row r="48" spans="1:25" s="228" customFormat="1" ht="20.25">
      <c r="A48" s="400" t="s">
        <v>1361</v>
      </c>
      <c r="B48" s="396" t="s">
        <v>2325</v>
      </c>
      <c r="C48" s="397" t="s">
        <v>5020</v>
      </c>
      <c r="D48" s="396" t="s">
        <v>5020</v>
      </c>
      <c r="E48" s="396" t="s">
        <v>2181</v>
      </c>
      <c r="F48" s="396" t="s">
        <v>1361</v>
      </c>
      <c r="G48" s="396" t="s">
        <v>3125</v>
      </c>
      <c r="H48" s="398" t="s">
        <v>5024</v>
      </c>
      <c r="I48" s="399" t="s">
        <v>3395</v>
      </c>
      <c r="J48" s="399" t="s">
        <v>3186</v>
      </c>
      <c r="K48" s="402"/>
      <c r="L48" s="402"/>
      <c r="M48" s="402" t="s">
        <v>5024</v>
      </c>
      <c r="N48" s="402" t="s">
        <v>5024</v>
      </c>
      <c r="O48" s="402" t="s">
        <v>5027</v>
      </c>
      <c r="P48" s="402" t="s">
        <v>925</v>
      </c>
      <c r="Q48" s="403" t="s">
        <v>5026</v>
      </c>
      <c r="R48" s="233"/>
      <c r="S48" s="234" t="e">
        <f>IF(C48="",NA(),MATCH($B48&amp;$C48,'Smelter Reference List'!$J:$J,0))</f>
        <v>#N/A</v>
      </c>
      <c r="T48" s="235"/>
      <c r="U48" s="235">
        <f t="shared" si="0"/>
        <v>0</v>
      </c>
      <c r="V48" s="235"/>
      <c r="W48" s="235"/>
      <c r="Y48" s="228" t="str">
        <f t="shared" si="1"/>
        <v>TantalumZhuzhou Cemented Carbide Group Co., Ltd.</v>
      </c>
    </row>
    <row r="49" spans="1:25" s="228" customFormat="1" ht="20.25">
      <c r="A49" s="400" t="s">
        <v>1364</v>
      </c>
      <c r="B49" s="396" t="s">
        <v>2324</v>
      </c>
      <c r="C49" s="397" t="s">
        <v>67</v>
      </c>
      <c r="D49" s="396" t="s">
        <v>67</v>
      </c>
      <c r="E49" s="396" t="s">
        <v>5016</v>
      </c>
      <c r="F49" s="396" t="s">
        <v>1364</v>
      </c>
      <c r="G49" s="396" t="s">
        <v>3125</v>
      </c>
      <c r="H49" s="398" t="s">
        <v>5024</v>
      </c>
      <c r="I49" s="399" t="s">
        <v>3444</v>
      </c>
      <c r="J49" s="399" t="s">
        <v>3401</v>
      </c>
      <c r="K49" s="402"/>
      <c r="L49" s="402"/>
      <c r="M49" s="402" t="s">
        <v>5024</v>
      </c>
      <c r="N49" s="402" t="s">
        <v>5024</v>
      </c>
      <c r="O49" s="402" t="s">
        <v>5027</v>
      </c>
      <c r="P49" s="402" t="s">
        <v>925</v>
      </c>
      <c r="Q49" s="403" t="s">
        <v>5026</v>
      </c>
      <c r="R49" s="233"/>
      <c r="S49" s="234">
        <f>IF(C49="",NA(),MATCH($B49&amp;$C49,'Smelter Reference List'!$J:$J,0))</f>
        <v>304</v>
      </c>
      <c r="T49" s="235"/>
      <c r="U49" s="235">
        <f t="shared" si="0"/>
        <v>0</v>
      </c>
      <c r="V49" s="235"/>
      <c r="W49" s="235"/>
      <c r="Y49" s="228" t="str">
        <f t="shared" si="1"/>
        <v>TinAlpha</v>
      </c>
    </row>
    <row r="50" spans="1:25" s="228" customFormat="1" ht="25.5">
      <c r="A50" s="400" t="s">
        <v>4322</v>
      </c>
      <c r="B50" s="396" t="s">
        <v>2324</v>
      </c>
      <c r="C50" s="397" t="s">
        <v>4732</v>
      </c>
      <c r="D50" s="396" t="s">
        <v>4732</v>
      </c>
      <c r="E50" s="396" t="s">
        <v>1766</v>
      </c>
      <c r="F50" s="396" t="s">
        <v>4322</v>
      </c>
      <c r="G50" s="396" t="s">
        <v>3125</v>
      </c>
      <c r="H50" s="398" t="s">
        <v>5024</v>
      </c>
      <c r="I50" s="399" t="s">
        <v>3537</v>
      </c>
      <c r="J50" s="399" t="s">
        <v>3538</v>
      </c>
      <c r="K50" s="402"/>
      <c r="L50" s="402"/>
      <c r="M50" s="402" t="s">
        <v>5030</v>
      </c>
      <c r="N50" s="402" t="s">
        <v>5024</v>
      </c>
      <c r="O50" s="402" t="s">
        <v>926</v>
      </c>
      <c r="P50" s="402" t="s">
        <v>5024</v>
      </c>
      <c r="Q50" s="403" t="s">
        <v>5024</v>
      </c>
      <c r="R50" s="233"/>
      <c r="S50" s="234">
        <f>IF(C50="",NA(),MATCH($B50&amp;$C50,'Smelter Reference List'!$J:$J,0))</f>
        <v>308</v>
      </c>
      <c r="T50" s="235"/>
      <c r="U50" s="235">
        <f t="shared" si="0"/>
        <v>0</v>
      </c>
      <c r="V50" s="235"/>
      <c r="W50" s="235"/>
      <c r="Y50" s="228" t="str">
        <f t="shared" si="1"/>
        <v>TinAn Thai Minerals Co., Ltd.</v>
      </c>
    </row>
    <row r="51" spans="1:25" s="228" customFormat="1" ht="25.5">
      <c r="A51" s="400" t="s">
        <v>4141</v>
      </c>
      <c r="B51" s="396" t="s">
        <v>2324</v>
      </c>
      <c r="C51" s="397" t="s">
        <v>4140</v>
      </c>
      <c r="D51" s="396" t="s">
        <v>4140</v>
      </c>
      <c r="E51" s="396" t="s">
        <v>1766</v>
      </c>
      <c r="F51" s="396" t="s">
        <v>4141</v>
      </c>
      <c r="G51" s="396" t="s">
        <v>3125</v>
      </c>
      <c r="H51" s="398" t="s">
        <v>5024</v>
      </c>
      <c r="I51" s="399" t="s">
        <v>3537</v>
      </c>
      <c r="J51" s="399" t="s">
        <v>3538</v>
      </c>
      <c r="K51" s="402"/>
      <c r="L51" s="402"/>
      <c r="M51" s="402" t="s">
        <v>5031</v>
      </c>
      <c r="N51" s="402" t="s">
        <v>5024</v>
      </c>
      <c r="O51" s="402" t="s">
        <v>5025</v>
      </c>
      <c r="P51" s="402" t="s">
        <v>925</v>
      </c>
      <c r="Q51" s="403" t="s">
        <v>5024</v>
      </c>
      <c r="R51" s="233"/>
      <c r="S51" s="234">
        <f>IF(C51="",NA(),MATCH($B51&amp;$C51,'Smelter Reference List'!$J:$J,0))</f>
        <v>309</v>
      </c>
      <c r="T51" s="235"/>
      <c r="U51" s="235">
        <f t="shared" si="0"/>
        <v>0</v>
      </c>
      <c r="V51" s="235"/>
      <c r="W51" s="235"/>
      <c r="Y51" s="228" t="str">
        <f t="shared" si="1"/>
        <v>TinAn Vinh Joint Stock Mineral Processing Company</v>
      </c>
    </row>
    <row r="52" spans="1:25" s="228" customFormat="1" ht="25.5">
      <c r="A52" s="400" t="s">
        <v>4393</v>
      </c>
      <c r="B52" s="396" t="s">
        <v>2324</v>
      </c>
      <c r="C52" s="397" t="s">
        <v>4733</v>
      </c>
      <c r="D52" s="396" t="s">
        <v>4733</v>
      </c>
      <c r="E52" s="396" t="s">
        <v>2181</v>
      </c>
      <c r="F52" s="396" t="s">
        <v>4393</v>
      </c>
      <c r="G52" s="396" t="s">
        <v>3125</v>
      </c>
      <c r="H52" s="398" t="s">
        <v>5024</v>
      </c>
      <c r="I52" s="399" t="s">
        <v>4845</v>
      </c>
      <c r="J52" s="399" t="s">
        <v>3186</v>
      </c>
      <c r="K52" s="402"/>
      <c r="L52" s="402"/>
      <c r="M52" s="402" t="s">
        <v>5024</v>
      </c>
      <c r="N52" s="402" t="s">
        <v>5024</v>
      </c>
      <c r="O52" s="402" t="s">
        <v>5025</v>
      </c>
      <c r="P52" s="402" t="s">
        <v>925</v>
      </c>
      <c r="Q52" s="403" t="s">
        <v>5026</v>
      </c>
      <c r="R52" s="233"/>
      <c r="S52" s="234">
        <f>IF(C52="",NA(),MATCH($B52&amp;$C52,'Smelter Reference List'!$J:$J,0))</f>
        <v>315</v>
      </c>
      <c r="T52" s="235"/>
      <c r="U52" s="235">
        <f t="shared" si="0"/>
        <v>0</v>
      </c>
      <c r="V52" s="235"/>
      <c r="W52" s="235"/>
      <c r="Y52" s="228" t="str">
        <f t="shared" si="1"/>
        <v>TinChenzhou Yunxiang Mining and Metallurgy Co., Ltd.</v>
      </c>
    </row>
    <row r="53" spans="1:25" s="228" customFormat="1" ht="20.25">
      <c r="A53" s="400" t="s">
        <v>1377</v>
      </c>
      <c r="B53" s="396" t="s">
        <v>2324</v>
      </c>
      <c r="C53" s="397" t="s">
        <v>2578</v>
      </c>
      <c r="D53" s="396" t="s">
        <v>2578</v>
      </c>
      <c r="E53" s="396" t="s">
        <v>2181</v>
      </c>
      <c r="F53" s="396" t="s">
        <v>1377</v>
      </c>
      <c r="G53" s="396" t="s">
        <v>3125</v>
      </c>
      <c r="H53" s="398" t="s">
        <v>5024</v>
      </c>
      <c r="I53" s="399" t="s">
        <v>3476</v>
      </c>
      <c r="J53" s="399" t="s">
        <v>3442</v>
      </c>
      <c r="K53" s="402"/>
      <c r="L53" s="402"/>
      <c r="M53" s="402" t="s">
        <v>5024</v>
      </c>
      <c r="N53" s="402" t="s">
        <v>5024</v>
      </c>
      <c r="O53" s="402" t="s">
        <v>5025</v>
      </c>
      <c r="P53" s="402" t="s">
        <v>925</v>
      </c>
      <c r="Q53" s="403" t="s">
        <v>5026</v>
      </c>
      <c r="R53" s="233"/>
      <c r="S53" s="234">
        <f>IF(C53="",NA(),MATCH($B53&amp;$C53,'Smelter Reference List'!$J:$J,0))</f>
        <v>318</v>
      </c>
      <c r="T53" s="235"/>
      <c r="U53" s="235">
        <f t="shared" si="0"/>
        <v>0</v>
      </c>
      <c r="V53" s="235"/>
      <c r="W53" s="235"/>
      <c r="Y53" s="228" t="str">
        <f t="shared" si="1"/>
        <v>TinChina Tin Group Co., Ltd.</v>
      </c>
    </row>
    <row r="54" spans="1:25" s="228" customFormat="1" ht="20.25">
      <c r="A54" s="400" t="s">
        <v>1365</v>
      </c>
      <c r="B54" s="396" t="s">
        <v>2324</v>
      </c>
      <c r="C54" s="397" t="s">
        <v>3450</v>
      </c>
      <c r="D54" s="396" t="s">
        <v>3450</v>
      </c>
      <c r="E54" s="396" t="s">
        <v>2170</v>
      </c>
      <c r="F54" s="396" t="s">
        <v>1365</v>
      </c>
      <c r="G54" s="396" t="s">
        <v>3125</v>
      </c>
      <c r="H54" s="398" t="s">
        <v>5024</v>
      </c>
      <c r="I54" s="399" t="s">
        <v>3451</v>
      </c>
      <c r="J54" s="399" t="s">
        <v>3452</v>
      </c>
      <c r="K54" s="402"/>
      <c r="L54" s="402"/>
      <c r="M54" s="402" t="s">
        <v>5024</v>
      </c>
      <c r="N54" s="402" t="s">
        <v>5024</v>
      </c>
      <c r="O54" s="402" t="s">
        <v>5025</v>
      </c>
      <c r="P54" s="402" t="s">
        <v>925</v>
      </c>
      <c r="Q54" s="403" t="s">
        <v>5026</v>
      </c>
      <c r="R54" s="233"/>
      <c r="S54" s="234">
        <f>IF(C54="",NA(),MATCH($B54&amp;$C54,'Smelter Reference List'!$J:$J,0))</f>
        <v>326</v>
      </c>
      <c r="T54" s="235"/>
      <c r="U54" s="235">
        <f t="shared" si="0"/>
        <v>0</v>
      </c>
      <c r="V54" s="235"/>
      <c r="W54" s="235"/>
      <c r="Y54" s="228" t="str">
        <f t="shared" si="1"/>
        <v>TinCooperativa Metalurgica de Rondônia Ltda.</v>
      </c>
    </row>
    <row r="55" spans="1:25" s="228" customFormat="1" ht="20.25">
      <c r="A55" s="400" t="s">
        <v>4390</v>
      </c>
      <c r="B55" s="396" t="s">
        <v>2324</v>
      </c>
      <c r="C55" s="397" t="s">
        <v>4389</v>
      </c>
      <c r="D55" s="396" t="s">
        <v>4389</v>
      </c>
      <c r="E55" s="396" t="s">
        <v>2238</v>
      </c>
      <c r="F55" s="396" t="s">
        <v>4390</v>
      </c>
      <c r="G55" s="396" t="s">
        <v>3125</v>
      </c>
      <c r="H55" s="398" t="s">
        <v>5024</v>
      </c>
      <c r="I55" s="399" t="s">
        <v>3457</v>
      </c>
      <c r="J55" s="399" t="s">
        <v>3454</v>
      </c>
      <c r="K55" s="402"/>
      <c r="L55" s="402"/>
      <c r="M55" s="402" t="s">
        <v>5024</v>
      </c>
      <c r="N55" s="402" t="s">
        <v>5024</v>
      </c>
      <c r="O55" s="402" t="s">
        <v>5025</v>
      </c>
      <c r="P55" s="402" t="s">
        <v>925</v>
      </c>
      <c r="Q55" s="403" t="s">
        <v>5026</v>
      </c>
      <c r="R55" s="233"/>
      <c r="S55" s="234">
        <f>IF(C55="",NA(),MATCH($B55&amp;$C55,'Smelter Reference List'!$J:$J,0))</f>
        <v>329</v>
      </c>
      <c r="T55" s="235"/>
      <c r="U55" s="235">
        <f t="shared" si="0"/>
        <v>0</v>
      </c>
      <c r="V55" s="235"/>
      <c r="W55" s="235"/>
      <c r="Y55" s="228" t="str">
        <f t="shared" si="1"/>
        <v>TinCV Dua Sekawan</v>
      </c>
    </row>
    <row r="56" spans="1:25" s="228" customFormat="1" ht="20.25">
      <c r="A56" s="400" t="s">
        <v>2665</v>
      </c>
      <c r="B56" s="396" t="s">
        <v>2324</v>
      </c>
      <c r="C56" s="397" t="s">
        <v>2664</v>
      </c>
      <c r="D56" s="396" t="s">
        <v>2664</v>
      </c>
      <c r="E56" s="396" t="s">
        <v>2238</v>
      </c>
      <c r="F56" s="396" t="s">
        <v>2665</v>
      </c>
      <c r="G56" s="396" t="s">
        <v>3125</v>
      </c>
      <c r="H56" s="398" t="s">
        <v>5024</v>
      </c>
      <c r="I56" s="399" t="s">
        <v>3453</v>
      </c>
      <c r="J56" s="399" t="s">
        <v>3454</v>
      </c>
      <c r="K56" s="402"/>
      <c r="L56" s="402"/>
      <c r="M56" s="402" t="s">
        <v>5024</v>
      </c>
      <c r="N56" s="402" t="s">
        <v>5024</v>
      </c>
      <c r="O56" s="402" t="s">
        <v>5025</v>
      </c>
      <c r="P56" s="402" t="s">
        <v>925</v>
      </c>
      <c r="Q56" s="403" t="s">
        <v>5026</v>
      </c>
      <c r="R56" s="233"/>
      <c r="S56" s="234">
        <f>IF(C56="",NA(),MATCH($B56&amp;$C56,'Smelter Reference List'!$J:$J,0))</f>
        <v>330</v>
      </c>
      <c r="T56" s="235"/>
      <c r="U56" s="235">
        <f t="shared" si="0"/>
        <v>0</v>
      </c>
      <c r="V56" s="235"/>
      <c r="W56" s="235"/>
      <c r="Y56" s="228" t="str">
        <f t="shared" si="1"/>
        <v>TinCV Gita Pesona</v>
      </c>
    </row>
    <row r="57" spans="1:25" s="228" customFormat="1" ht="20.25">
      <c r="A57" s="400" t="s">
        <v>1366</v>
      </c>
      <c r="B57" s="396" t="s">
        <v>2324</v>
      </c>
      <c r="C57" s="397" t="s">
        <v>1504</v>
      </c>
      <c r="D57" s="396" t="s">
        <v>1504</v>
      </c>
      <c r="E57" s="396" t="s">
        <v>2238</v>
      </c>
      <c r="F57" s="396" t="s">
        <v>1366</v>
      </c>
      <c r="G57" s="396" t="s">
        <v>3125</v>
      </c>
      <c r="H57" s="398" t="s">
        <v>5024</v>
      </c>
      <c r="I57" s="399" t="s">
        <v>3456</v>
      </c>
      <c r="J57" s="399" t="s">
        <v>3454</v>
      </c>
      <c r="K57" s="402"/>
      <c r="L57" s="402"/>
      <c r="M57" s="402" t="s">
        <v>5024</v>
      </c>
      <c r="N57" s="402" t="s">
        <v>5024</v>
      </c>
      <c r="O57" s="402" t="s">
        <v>5025</v>
      </c>
      <c r="P57" s="402" t="s">
        <v>925</v>
      </c>
      <c r="Q57" s="403" t="s">
        <v>5026</v>
      </c>
      <c r="R57" s="233"/>
      <c r="S57" s="234">
        <f>IF(C57="",NA(),MATCH($B57&amp;$C57,'Smelter Reference List'!$J:$J,0))</f>
        <v>333</v>
      </c>
      <c r="T57" s="235"/>
      <c r="U57" s="235">
        <f t="shared" si="0"/>
        <v>0</v>
      </c>
      <c r="V57" s="235"/>
      <c r="W57" s="235"/>
      <c r="Y57" s="228" t="str">
        <f t="shared" si="1"/>
        <v>TinCV Serumpun Sebalai</v>
      </c>
    </row>
    <row r="58" spans="1:25" s="228" customFormat="1" ht="20.25">
      <c r="A58" s="400" t="s">
        <v>4357</v>
      </c>
      <c r="B58" s="396" t="s">
        <v>2324</v>
      </c>
      <c r="C58" s="397" t="s">
        <v>4356</v>
      </c>
      <c r="D58" s="396" t="s">
        <v>4356</v>
      </c>
      <c r="E58" s="396" t="s">
        <v>2238</v>
      </c>
      <c r="F58" s="396" t="s">
        <v>4357</v>
      </c>
      <c r="G58" s="396" t="s">
        <v>3125</v>
      </c>
      <c r="H58" s="398" t="s">
        <v>5024</v>
      </c>
      <c r="I58" s="399" t="s">
        <v>3457</v>
      </c>
      <c r="J58" s="399" t="s">
        <v>3454</v>
      </c>
      <c r="K58" s="402"/>
      <c r="L58" s="402"/>
      <c r="M58" s="402" t="s">
        <v>5024</v>
      </c>
      <c r="N58" s="402" t="s">
        <v>5024</v>
      </c>
      <c r="O58" s="402" t="s">
        <v>5025</v>
      </c>
      <c r="P58" s="402" t="s">
        <v>925</v>
      </c>
      <c r="Q58" s="403" t="s">
        <v>5026</v>
      </c>
      <c r="R58" s="233"/>
      <c r="S58" s="234">
        <f>IF(C58="",NA(),MATCH($B58&amp;$C58,'Smelter Reference List'!$J:$J,0))</f>
        <v>334</v>
      </c>
      <c r="T58" s="235"/>
      <c r="U58" s="235">
        <f t="shared" si="0"/>
        <v>0</v>
      </c>
      <c r="V58" s="235"/>
      <c r="W58" s="235"/>
      <c r="Y58" s="228" t="str">
        <f t="shared" si="1"/>
        <v>TinCV Tiga Sekawan</v>
      </c>
    </row>
    <row r="59" spans="1:25" s="228" customFormat="1" ht="20.25">
      <c r="A59" s="400" t="s">
        <v>1367</v>
      </c>
      <c r="B59" s="396" t="s">
        <v>2324</v>
      </c>
      <c r="C59" s="397" t="s">
        <v>1505</v>
      </c>
      <c r="D59" s="396" t="s">
        <v>1505</v>
      </c>
      <c r="E59" s="396" t="s">
        <v>2238</v>
      </c>
      <c r="F59" s="396" t="s">
        <v>1367</v>
      </c>
      <c r="G59" s="396" t="s">
        <v>3125</v>
      </c>
      <c r="H59" s="398" t="s">
        <v>5024</v>
      </c>
      <c r="I59" s="399" t="s">
        <v>3457</v>
      </c>
      <c r="J59" s="399" t="s">
        <v>3454</v>
      </c>
      <c r="K59" s="402"/>
      <c r="L59" s="402"/>
      <c r="M59" s="402" t="s">
        <v>5024</v>
      </c>
      <c r="N59" s="402" t="s">
        <v>5024</v>
      </c>
      <c r="O59" s="402" t="s">
        <v>5025</v>
      </c>
      <c r="P59" s="402" t="s">
        <v>925</v>
      </c>
      <c r="Q59" s="403" t="s">
        <v>5026</v>
      </c>
      <c r="R59" s="233"/>
      <c r="S59" s="234">
        <f>IF(C59="",NA(),MATCH($B59&amp;$C59,'Smelter Reference List'!$J:$J,0))</f>
        <v>335</v>
      </c>
      <c r="T59" s="235"/>
      <c r="U59" s="235">
        <f t="shared" si="0"/>
        <v>0</v>
      </c>
      <c r="V59" s="235"/>
      <c r="W59" s="235"/>
      <c r="Y59" s="228" t="str">
        <f t="shared" si="1"/>
        <v>TinCV United Smelting</v>
      </c>
    </row>
    <row r="60" spans="1:25" s="228" customFormat="1" ht="20.25">
      <c r="A60" s="400" t="s">
        <v>2705</v>
      </c>
      <c r="B60" s="396" t="s">
        <v>2324</v>
      </c>
      <c r="C60" s="397" t="s">
        <v>2704</v>
      </c>
      <c r="D60" s="396" t="s">
        <v>2704</v>
      </c>
      <c r="E60" s="396" t="s">
        <v>2238</v>
      </c>
      <c r="F60" s="396" t="s">
        <v>2705</v>
      </c>
      <c r="G60" s="396" t="s">
        <v>3125</v>
      </c>
      <c r="H60" s="398" t="s">
        <v>5024</v>
      </c>
      <c r="I60" s="399" t="s">
        <v>3457</v>
      </c>
      <c r="J60" s="399" t="s">
        <v>3454</v>
      </c>
      <c r="K60" s="402"/>
      <c r="L60" s="402"/>
      <c r="M60" s="402" t="s">
        <v>5024</v>
      </c>
      <c r="N60" s="402" t="s">
        <v>5024</v>
      </c>
      <c r="O60" s="402" t="s">
        <v>5025</v>
      </c>
      <c r="P60" s="402" t="s">
        <v>925</v>
      </c>
      <c r="Q60" s="403" t="s">
        <v>5026</v>
      </c>
      <c r="R60" s="233"/>
      <c r="S60" s="234">
        <f>IF(C60="",NA(),MATCH($B60&amp;$C60,'Smelter Reference List'!$J:$J,0))</f>
        <v>336</v>
      </c>
      <c r="T60" s="235"/>
      <c r="U60" s="235">
        <f t="shared" si="0"/>
        <v>0</v>
      </c>
      <c r="V60" s="235"/>
      <c r="W60" s="235"/>
      <c r="Y60" s="228" t="str">
        <f t="shared" si="1"/>
        <v>TinCV Venus Inti Perkasa</v>
      </c>
    </row>
    <row r="61" spans="1:25" s="228" customFormat="1" ht="20.25">
      <c r="A61" s="400" t="s">
        <v>2732</v>
      </c>
      <c r="B61" s="396" t="s">
        <v>2324</v>
      </c>
      <c r="C61" s="397" t="s">
        <v>1788</v>
      </c>
      <c r="D61" s="396" t="s">
        <v>1788</v>
      </c>
      <c r="E61" s="396" t="s">
        <v>2249</v>
      </c>
      <c r="F61" s="396" t="s">
        <v>2732</v>
      </c>
      <c r="G61" s="396" t="s">
        <v>3125</v>
      </c>
      <c r="H61" s="398" t="s">
        <v>5024</v>
      </c>
      <c r="I61" s="399" t="s">
        <v>3173</v>
      </c>
      <c r="J61" s="399" t="s">
        <v>3174</v>
      </c>
      <c r="K61" s="402"/>
      <c r="L61" s="402"/>
      <c r="M61" s="402" t="s">
        <v>5024</v>
      </c>
      <c r="N61" s="402" t="s">
        <v>5024</v>
      </c>
      <c r="O61" s="402" t="s">
        <v>5025</v>
      </c>
      <c r="P61" s="402" t="s">
        <v>925</v>
      </c>
      <c r="Q61" s="403" t="s">
        <v>5026</v>
      </c>
      <c r="R61" s="233"/>
      <c r="S61" s="234">
        <f>IF(C61="",NA(),MATCH($B61&amp;$C61,'Smelter Reference List'!$J:$J,0))</f>
        <v>337</v>
      </c>
      <c r="T61" s="235"/>
      <c r="U61" s="235">
        <f t="shared" si="0"/>
        <v>0</v>
      </c>
      <c r="V61" s="235"/>
      <c r="W61" s="235"/>
      <c r="Y61" s="228" t="str">
        <f t="shared" si="1"/>
        <v>TinDowa</v>
      </c>
    </row>
    <row r="62" spans="1:25" s="228" customFormat="1" ht="25.5">
      <c r="A62" s="400" t="s">
        <v>3532</v>
      </c>
      <c r="B62" s="396" t="s">
        <v>2324</v>
      </c>
      <c r="C62" s="397" t="s">
        <v>3531</v>
      </c>
      <c r="D62" s="396" t="s">
        <v>3531</v>
      </c>
      <c r="E62" s="396" t="s">
        <v>1766</v>
      </c>
      <c r="F62" s="396" t="s">
        <v>3532</v>
      </c>
      <c r="G62" s="396" t="s">
        <v>3125</v>
      </c>
      <c r="H62" s="398" t="s">
        <v>5024</v>
      </c>
      <c r="I62" s="399" t="s">
        <v>3533</v>
      </c>
      <c r="J62" s="399" t="s">
        <v>3534</v>
      </c>
      <c r="K62" s="402"/>
      <c r="L62" s="402"/>
      <c r="M62" s="402" t="s">
        <v>5032</v>
      </c>
      <c r="N62" s="402" t="s">
        <v>5024</v>
      </c>
      <c r="O62" s="402" t="s">
        <v>926</v>
      </c>
      <c r="P62" s="402" t="s">
        <v>5024</v>
      </c>
      <c r="Q62" s="403" t="s">
        <v>5033</v>
      </c>
      <c r="R62" s="233"/>
      <c r="S62" s="234">
        <f>IF(C62="",NA(),MATCH($B62&amp;$C62,'Smelter Reference List'!$J:$J,0))</f>
        <v>339</v>
      </c>
      <c r="T62" s="235"/>
      <c r="U62" s="235">
        <f t="shared" si="0"/>
        <v>0</v>
      </c>
      <c r="V62" s="235"/>
      <c r="W62" s="235"/>
      <c r="Y62" s="228" t="str">
        <f t="shared" si="1"/>
        <v>TinElectro-Mechanical Facility of the Cao Bang Minerals &amp; Metallurgy Joint Stock Company</v>
      </c>
    </row>
    <row r="63" spans="1:25" s="228" customFormat="1" ht="20.25">
      <c r="A63" s="400" t="s">
        <v>3549</v>
      </c>
      <c r="B63" s="396" t="s">
        <v>2324</v>
      </c>
      <c r="C63" s="397" t="s">
        <v>4736</v>
      </c>
      <c r="D63" s="396" t="s">
        <v>4736</v>
      </c>
      <c r="E63" s="396" t="s">
        <v>2205</v>
      </c>
      <c r="F63" s="396" t="s">
        <v>3549</v>
      </c>
      <c r="G63" s="396" t="s">
        <v>3125</v>
      </c>
      <c r="H63" s="398" t="s">
        <v>5024</v>
      </c>
      <c r="I63" s="399" t="s">
        <v>3550</v>
      </c>
      <c r="J63" s="399" t="s">
        <v>3551</v>
      </c>
      <c r="K63" s="402"/>
      <c r="L63" s="402"/>
      <c r="M63" s="402" t="s">
        <v>5024</v>
      </c>
      <c r="N63" s="402" t="s">
        <v>5024</v>
      </c>
      <c r="O63" s="402" t="s">
        <v>5025</v>
      </c>
      <c r="P63" s="402" t="s">
        <v>925</v>
      </c>
      <c r="Q63" s="403" t="s">
        <v>5026</v>
      </c>
      <c r="R63" s="233"/>
      <c r="S63" s="234">
        <f>IF(C63="",NA(),MATCH($B63&amp;$C63,'Smelter Reference List'!$J:$J,0))</f>
        <v>340</v>
      </c>
      <c r="T63" s="235"/>
      <c r="U63" s="235">
        <f t="shared" si="0"/>
        <v>0</v>
      </c>
      <c r="V63" s="235"/>
      <c r="W63" s="235"/>
      <c r="Y63" s="228" t="str">
        <f t="shared" si="1"/>
        <v>TinElmet S.L.U.</v>
      </c>
    </row>
    <row r="64" spans="1:25" s="228" customFormat="1" ht="25.5">
      <c r="A64" s="400" t="s">
        <v>1368</v>
      </c>
      <c r="B64" s="396" t="s">
        <v>2324</v>
      </c>
      <c r="C64" s="397" t="s">
        <v>1506</v>
      </c>
      <c r="D64" s="396" t="s">
        <v>1506</v>
      </c>
      <c r="E64" s="396" t="s">
        <v>5022</v>
      </c>
      <c r="F64" s="396" t="s">
        <v>1368</v>
      </c>
      <c r="G64" s="396" t="s">
        <v>3125</v>
      </c>
      <c r="H64" s="398" t="s">
        <v>5024</v>
      </c>
      <c r="I64" s="399" t="s">
        <v>3459</v>
      </c>
      <c r="J64" s="399" t="s">
        <v>3460</v>
      </c>
      <c r="K64" s="402"/>
      <c r="L64" s="402"/>
      <c r="M64" s="402" t="s">
        <v>5024</v>
      </c>
      <c r="N64" s="402" t="s">
        <v>5024</v>
      </c>
      <c r="O64" s="402" t="s">
        <v>5025</v>
      </c>
      <c r="P64" s="402" t="s">
        <v>925</v>
      </c>
      <c r="Q64" s="403" t="s">
        <v>5026</v>
      </c>
      <c r="R64" s="233"/>
      <c r="S64" s="234">
        <f>IF(C64="",NA(),MATCH($B64&amp;$C64,'Smelter Reference List'!$J:$J,0))</f>
        <v>341</v>
      </c>
      <c r="T64" s="235"/>
      <c r="U64" s="235">
        <f t="shared" si="0"/>
        <v>0</v>
      </c>
      <c r="V64" s="235"/>
      <c r="W64" s="235"/>
      <c r="Y64" s="228" t="str">
        <f t="shared" si="1"/>
        <v>TinEM Vinto</v>
      </c>
    </row>
    <row r="65" spans="1:25" s="228" customFormat="1" ht="89.25">
      <c r="A65" s="400" t="s">
        <v>1370</v>
      </c>
      <c r="B65" s="396" t="s">
        <v>2324</v>
      </c>
      <c r="C65" s="397" t="s">
        <v>1369</v>
      </c>
      <c r="D65" s="396" t="s">
        <v>1369</v>
      </c>
      <c r="E65" s="396" t="s">
        <v>2170</v>
      </c>
      <c r="F65" s="396" t="s">
        <v>1370</v>
      </c>
      <c r="G65" s="396" t="s">
        <v>3125</v>
      </c>
      <c r="H65" s="398" t="s">
        <v>5024</v>
      </c>
      <c r="I65" s="399" t="s">
        <v>3451</v>
      </c>
      <c r="J65" s="399" t="s">
        <v>3461</v>
      </c>
      <c r="K65" s="402"/>
      <c r="L65" s="402"/>
      <c r="M65" s="402" t="s">
        <v>5024</v>
      </c>
      <c r="N65" s="402" t="s">
        <v>5024</v>
      </c>
      <c r="O65" s="402" t="s">
        <v>5025</v>
      </c>
      <c r="P65" s="402" t="s">
        <v>925</v>
      </c>
      <c r="Q65" s="403" t="s">
        <v>5034</v>
      </c>
      <c r="R65" s="233"/>
      <c r="S65" s="234">
        <f>IF(C65="",NA(),MATCH($B65&amp;$C65,'Smelter Reference List'!$J:$J,0))</f>
        <v>345</v>
      </c>
      <c r="T65" s="235"/>
      <c r="U65" s="235">
        <f t="shared" si="0"/>
        <v>0</v>
      </c>
      <c r="V65" s="235"/>
      <c r="W65" s="235"/>
      <c r="Y65" s="228" t="str">
        <f t="shared" si="1"/>
        <v>TinEstanho de Rondônia S.A.</v>
      </c>
    </row>
    <row r="66" spans="1:25" s="228" customFormat="1" ht="25.5">
      <c r="A66" s="400" t="s">
        <v>1371</v>
      </c>
      <c r="B66" s="396" t="s">
        <v>2324</v>
      </c>
      <c r="C66" s="397" t="s">
        <v>1462</v>
      </c>
      <c r="D66" s="396" t="s">
        <v>1462</v>
      </c>
      <c r="E66" s="396" t="s">
        <v>1708</v>
      </c>
      <c r="F66" s="396" t="s">
        <v>1371</v>
      </c>
      <c r="G66" s="396" t="s">
        <v>3125</v>
      </c>
      <c r="H66" s="398" t="s">
        <v>5024</v>
      </c>
      <c r="I66" s="399" t="s">
        <v>3466</v>
      </c>
      <c r="J66" s="399" t="s">
        <v>3467</v>
      </c>
      <c r="K66" s="402"/>
      <c r="L66" s="402"/>
      <c r="M66" s="402" t="s">
        <v>5024</v>
      </c>
      <c r="N66" s="402" t="s">
        <v>5024</v>
      </c>
      <c r="O66" s="402" t="s">
        <v>5025</v>
      </c>
      <c r="P66" s="402" t="s">
        <v>925</v>
      </c>
      <c r="Q66" s="403" t="s">
        <v>5026</v>
      </c>
      <c r="R66" s="233"/>
      <c r="S66" s="234">
        <f>IF(C66="",NA(),MATCH($B66&amp;$C66,'Smelter Reference List'!$J:$J,0))</f>
        <v>347</v>
      </c>
      <c r="T66" s="235"/>
      <c r="U66" s="235">
        <f t="shared" si="0"/>
        <v>0</v>
      </c>
      <c r="V66" s="235"/>
      <c r="W66" s="235"/>
      <c r="Y66" s="228" t="str">
        <f t="shared" si="1"/>
        <v>TinFenix Metals</v>
      </c>
    </row>
    <row r="67" spans="1:25" s="228" customFormat="1" ht="20.25">
      <c r="A67" s="400" t="s">
        <v>4358</v>
      </c>
      <c r="B67" s="396" t="s">
        <v>2324</v>
      </c>
      <c r="C67" s="397" t="s">
        <v>4737</v>
      </c>
      <c r="D67" s="396" t="s">
        <v>4737</v>
      </c>
      <c r="E67" s="396" t="s">
        <v>2181</v>
      </c>
      <c r="F67" s="396" t="s">
        <v>4358</v>
      </c>
      <c r="G67" s="396" t="s">
        <v>3125</v>
      </c>
      <c r="H67" s="398" t="s">
        <v>5024</v>
      </c>
      <c r="I67" s="399" t="s">
        <v>5023</v>
      </c>
      <c r="J67" s="399" t="s">
        <v>3161</v>
      </c>
      <c r="K67" s="402"/>
      <c r="L67" s="402"/>
      <c r="M67" s="402" t="s">
        <v>5024</v>
      </c>
      <c r="N67" s="402" t="s">
        <v>5024</v>
      </c>
      <c r="O67" s="402" t="s">
        <v>926</v>
      </c>
      <c r="P67" s="402" t="s">
        <v>5024</v>
      </c>
      <c r="Q67" s="403" t="s">
        <v>5026</v>
      </c>
      <c r="R67" s="233"/>
      <c r="S67" s="234">
        <f>IF(C67="",NA(),MATCH($B67&amp;$C67,'Smelter Reference List'!$J:$J,0))</f>
        <v>350</v>
      </c>
      <c r="T67" s="235"/>
      <c r="U67" s="235">
        <f t="shared" si="0"/>
        <v>0</v>
      </c>
      <c r="V67" s="235"/>
      <c r="W67" s="235"/>
      <c r="Y67" s="228" t="str">
        <f t="shared" si="1"/>
        <v>TinGejiu Fengming Metallurgy Chemical Plant</v>
      </c>
    </row>
    <row r="68" spans="1:25" s="228" customFormat="1" ht="20.25">
      <c r="A68" s="400" t="s">
        <v>4739</v>
      </c>
      <c r="B68" s="396" t="s">
        <v>2324</v>
      </c>
      <c r="C68" s="397" t="s">
        <v>4738</v>
      </c>
      <c r="D68" s="396" t="s">
        <v>4738</v>
      </c>
      <c r="E68" s="396" t="s">
        <v>2181</v>
      </c>
      <c r="F68" s="396" t="s">
        <v>4739</v>
      </c>
      <c r="G68" s="396" t="s">
        <v>3125</v>
      </c>
      <c r="H68" s="398" t="s">
        <v>5024</v>
      </c>
      <c r="I68" s="399" t="s">
        <v>5023</v>
      </c>
      <c r="J68" s="399" t="s">
        <v>3161</v>
      </c>
      <c r="K68" s="402"/>
      <c r="L68" s="402"/>
      <c r="M68" s="402" t="s">
        <v>5024</v>
      </c>
      <c r="N68" s="402" t="s">
        <v>5024</v>
      </c>
      <c r="O68" s="402" t="s">
        <v>926</v>
      </c>
      <c r="P68" s="402" t="s">
        <v>5024</v>
      </c>
      <c r="Q68" s="403" t="s">
        <v>5026</v>
      </c>
      <c r="R68" s="233"/>
      <c r="S68" s="234">
        <f>IF(C68="",NA(),MATCH($B68&amp;$C68,'Smelter Reference List'!$J:$J,0))</f>
        <v>351</v>
      </c>
      <c r="T68" s="235"/>
      <c r="U68" s="235">
        <f t="shared" si="0"/>
        <v>0</v>
      </c>
      <c r="V68" s="235"/>
      <c r="W68" s="235"/>
      <c r="Y68" s="228" t="str">
        <f t="shared" si="1"/>
        <v>TinGejiu Jinye Mineral Company</v>
      </c>
    </row>
    <row r="69" spans="1:25" s="228" customFormat="1" ht="20.25">
      <c r="A69" s="400" t="s">
        <v>1375</v>
      </c>
      <c r="B69" s="396" t="s">
        <v>2324</v>
      </c>
      <c r="C69" s="397" t="s">
        <v>2757</v>
      </c>
      <c r="D69" s="396" t="s">
        <v>2757</v>
      </c>
      <c r="E69" s="396" t="s">
        <v>2181</v>
      </c>
      <c r="F69" s="396" t="s">
        <v>1375</v>
      </c>
      <c r="G69" s="396" t="s">
        <v>3125</v>
      </c>
      <c r="H69" s="398" t="s">
        <v>5024</v>
      </c>
      <c r="I69" s="399" t="s">
        <v>5023</v>
      </c>
      <c r="J69" s="399" t="s">
        <v>3161</v>
      </c>
      <c r="K69" s="402"/>
      <c r="L69" s="402"/>
      <c r="M69" s="402" t="s">
        <v>5031</v>
      </c>
      <c r="N69" s="402" t="s">
        <v>5024</v>
      </c>
      <c r="O69" s="402" t="s">
        <v>926</v>
      </c>
      <c r="P69" s="402" t="s">
        <v>5024</v>
      </c>
      <c r="Q69" s="403" t="s">
        <v>5033</v>
      </c>
      <c r="R69" s="233"/>
      <c r="S69" s="234">
        <f>IF(C69="",NA(),MATCH($B69&amp;$C69,'Smelter Reference List'!$J:$J,0))</f>
        <v>352</v>
      </c>
      <c r="T69" s="235"/>
      <c r="U69" s="235">
        <f t="shared" si="0"/>
        <v>0</v>
      </c>
      <c r="V69" s="235"/>
      <c r="W69" s="235"/>
      <c r="Y69" s="228" t="str">
        <f t="shared" si="1"/>
        <v>TinGejiu Kai Meng Industry and Trade LLC</v>
      </c>
    </row>
    <row r="70" spans="1:25" s="228" customFormat="1" ht="20.25">
      <c r="A70" s="400" t="s">
        <v>1372</v>
      </c>
      <c r="B70" s="396" t="s">
        <v>2324</v>
      </c>
      <c r="C70" s="397" t="s">
        <v>4152</v>
      </c>
      <c r="D70" s="396" t="s">
        <v>4152</v>
      </c>
      <c r="E70" s="396" t="s">
        <v>2181</v>
      </c>
      <c r="F70" s="396" t="s">
        <v>1372</v>
      </c>
      <c r="G70" s="396" t="s">
        <v>3125</v>
      </c>
      <c r="H70" s="398" t="s">
        <v>5024</v>
      </c>
      <c r="I70" s="399" t="s">
        <v>5023</v>
      </c>
      <c r="J70" s="399" t="s">
        <v>3161</v>
      </c>
      <c r="K70" s="402"/>
      <c r="L70" s="402"/>
      <c r="M70" s="402" t="s">
        <v>5024</v>
      </c>
      <c r="N70" s="402" t="s">
        <v>5024</v>
      </c>
      <c r="O70" s="402" t="s">
        <v>5025</v>
      </c>
      <c r="P70" s="402" t="s">
        <v>925</v>
      </c>
      <c r="Q70" s="403" t="s">
        <v>5026</v>
      </c>
      <c r="R70" s="233"/>
      <c r="S70" s="234">
        <f>IF(C70="",NA(),MATCH($B70&amp;$C70,'Smelter Reference List'!$J:$J,0))</f>
        <v>353</v>
      </c>
      <c r="T70" s="235"/>
      <c r="U70" s="235">
        <f t="shared" ref="U70:U133" si="2">IF(AND(C70="Smelter not listed",OR(LEN(D70)=0,LEN(E70)=0)),1,0)</f>
        <v>0</v>
      </c>
      <c r="V70" s="235"/>
      <c r="W70" s="235"/>
      <c r="Y70" s="228" t="str">
        <f t="shared" ref="Y70:Y133" si="3">B70&amp;C70</f>
        <v>TinGejiu Non-Ferrous Metal Processing Co., Ltd.</v>
      </c>
    </row>
    <row r="71" spans="1:25" s="228" customFormat="1" ht="20.25">
      <c r="A71" s="400" t="s">
        <v>3514</v>
      </c>
      <c r="B71" s="396" t="s">
        <v>2324</v>
      </c>
      <c r="C71" s="397" t="s">
        <v>3513</v>
      </c>
      <c r="D71" s="396" t="s">
        <v>3513</v>
      </c>
      <c r="E71" s="396" t="s">
        <v>2181</v>
      </c>
      <c r="F71" s="396" t="s">
        <v>3514</v>
      </c>
      <c r="G71" s="396" t="s">
        <v>3125</v>
      </c>
      <c r="H71" s="398" t="s">
        <v>5024</v>
      </c>
      <c r="I71" s="399" t="s">
        <v>5023</v>
      </c>
      <c r="J71" s="399" t="s">
        <v>3161</v>
      </c>
      <c r="K71" s="402"/>
      <c r="L71" s="402"/>
      <c r="M71" s="402" t="s">
        <v>5031</v>
      </c>
      <c r="N71" s="402" t="s">
        <v>5024</v>
      </c>
      <c r="O71" s="402" t="s">
        <v>926</v>
      </c>
      <c r="P71" s="402" t="s">
        <v>5024</v>
      </c>
      <c r="Q71" s="403" t="s">
        <v>5033</v>
      </c>
      <c r="R71" s="233"/>
      <c r="S71" s="234">
        <f>IF(C71="",NA(),MATCH($B71&amp;$C71,'Smelter Reference List'!$J:$J,0))</f>
        <v>354</v>
      </c>
      <c r="T71" s="235"/>
      <c r="U71" s="235">
        <f t="shared" si="2"/>
        <v>0</v>
      </c>
      <c r="V71" s="235"/>
      <c r="W71" s="235"/>
      <c r="Y71" s="228" t="str">
        <f t="shared" si="3"/>
        <v>TinGejiu Yunxin Nonferrous Electrolysis Co., Ltd.</v>
      </c>
    </row>
    <row r="72" spans="1:25" s="228" customFormat="1" ht="38.25">
      <c r="A72" s="400" t="s">
        <v>1373</v>
      </c>
      <c r="B72" s="396" t="s">
        <v>2324</v>
      </c>
      <c r="C72" s="397" t="s">
        <v>3469</v>
      </c>
      <c r="D72" s="396" t="s">
        <v>3469</v>
      </c>
      <c r="E72" s="396" t="s">
        <v>2181</v>
      </c>
      <c r="F72" s="396" t="s">
        <v>1373</v>
      </c>
      <c r="G72" s="396" t="s">
        <v>3125</v>
      </c>
      <c r="H72" s="398" t="s">
        <v>5024</v>
      </c>
      <c r="I72" s="399" t="s">
        <v>5023</v>
      </c>
      <c r="J72" s="399" t="s">
        <v>3161</v>
      </c>
      <c r="K72" s="402"/>
      <c r="L72" s="402"/>
      <c r="M72" s="402" t="s">
        <v>5030</v>
      </c>
      <c r="N72" s="402" t="s">
        <v>5024</v>
      </c>
      <c r="O72" s="402" t="s">
        <v>5025</v>
      </c>
      <c r="P72" s="402" t="s">
        <v>925</v>
      </c>
      <c r="Q72" s="403" t="s">
        <v>5035</v>
      </c>
      <c r="R72" s="233"/>
      <c r="S72" s="234">
        <f>IF(C72="",NA(),MATCH($B72&amp;$C72,'Smelter Reference List'!$J:$J,0))</f>
        <v>356</v>
      </c>
      <c r="T72" s="235"/>
      <c r="U72" s="235">
        <f t="shared" si="2"/>
        <v>0</v>
      </c>
      <c r="V72" s="235"/>
      <c r="W72" s="235"/>
      <c r="Y72" s="228" t="str">
        <f t="shared" si="3"/>
        <v>TinGejiu Zili Mining And Metallurgy Co., Ltd.</v>
      </c>
    </row>
    <row r="73" spans="1:25" s="228" customFormat="1" ht="25.5">
      <c r="A73" s="400" t="s">
        <v>4361</v>
      </c>
      <c r="B73" s="396" t="s">
        <v>2324</v>
      </c>
      <c r="C73" s="397" t="s">
        <v>4360</v>
      </c>
      <c r="D73" s="396" t="s">
        <v>4360</v>
      </c>
      <c r="E73" s="396" t="s">
        <v>2181</v>
      </c>
      <c r="F73" s="396" t="s">
        <v>4361</v>
      </c>
      <c r="G73" s="396" t="s">
        <v>3125</v>
      </c>
      <c r="H73" s="398" t="s">
        <v>5024</v>
      </c>
      <c r="I73" s="399" t="s">
        <v>4362</v>
      </c>
      <c r="J73" s="399" t="s">
        <v>3442</v>
      </c>
      <c r="K73" s="402"/>
      <c r="L73" s="402"/>
      <c r="M73" s="402" t="s">
        <v>5024</v>
      </c>
      <c r="N73" s="402" t="s">
        <v>5024</v>
      </c>
      <c r="O73" s="402" t="s">
        <v>5025</v>
      </c>
      <c r="P73" s="402" t="s">
        <v>925</v>
      </c>
      <c r="Q73" s="403" t="s">
        <v>5026</v>
      </c>
      <c r="R73" s="233"/>
      <c r="S73" s="234">
        <f>IF(C73="",NA(),MATCH($B73&amp;$C73,'Smelter Reference List'!$J:$J,0))</f>
        <v>361</v>
      </c>
      <c r="T73" s="235"/>
      <c r="U73" s="235">
        <f t="shared" si="2"/>
        <v>0</v>
      </c>
      <c r="V73" s="235"/>
      <c r="W73" s="235"/>
      <c r="Y73" s="228" t="str">
        <f t="shared" si="3"/>
        <v>TinGuanyang Guida Nonferrous Metal Smelting Plant</v>
      </c>
    </row>
    <row r="74" spans="1:25" s="228" customFormat="1" ht="20.25">
      <c r="A74" s="400" t="s">
        <v>4392</v>
      </c>
      <c r="B74" s="396" t="s">
        <v>2324</v>
      </c>
      <c r="C74" s="397" t="s">
        <v>4391</v>
      </c>
      <c r="D74" s="396" t="s">
        <v>4391</v>
      </c>
      <c r="E74" s="396" t="s">
        <v>2181</v>
      </c>
      <c r="F74" s="396" t="s">
        <v>4392</v>
      </c>
      <c r="G74" s="396" t="s">
        <v>3125</v>
      </c>
      <c r="H74" s="398" t="s">
        <v>5024</v>
      </c>
      <c r="I74" s="399" t="s">
        <v>3471</v>
      </c>
      <c r="J74" s="399" t="s">
        <v>3204</v>
      </c>
      <c r="K74" s="402"/>
      <c r="L74" s="402"/>
      <c r="M74" s="402" t="s">
        <v>5024</v>
      </c>
      <c r="N74" s="402" t="s">
        <v>5024</v>
      </c>
      <c r="O74" s="402" t="s">
        <v>5025</v>
      </c>
      <c r="P74" s="402" t="s">
        <v>925</v>
      </c>
      <c r="Q74" s="403" t="s">
        <v>5026</v>
      </c>
      <c r="R74" s="233"/>
      <c r="S74" s="234">
        <f>IF(C74="",NA(),MATCH($B74&amp;$C74,'Smelter Reference List'!$J:$J,0))</f>
        <v>362</v>
      </c>
      <c r="T74" s="235"/>
      <c r="U74" s="235">
        <f t="shared" si="2"/>
        <v>0</v>
      </c>
      <c r="V74" s="235"/>
      <c r="W74" s="235"/>
      <c r="Y74" s="228" t="str">
        <f t="shared" si="3"/>
        <v>TinHuiChang Hill Tin Industry Co., Ltd.</v>
      </c>
    </row>
    <row r="75" spans="1:25" s="228" customFormat="1" ht="38.25">
      <c r="A75" s="400" t="s">
        <v>1374</v>
      </c>
      <c r="B75" s="396" t="s">
        <v>2324</v>
      </c>
      <c r="C75" s="397" t="s">
        <v>4153</v>
      </c>
      <c r="D75" s="396" t="s">
        <v>4153</v>
      </c>
      <c r="E75" s="396" t="s">
        <v>2181</v>
      </c>
      <c r="F75" s="396" t="s">
        <v>1374</v>
      </c>
      <c r="G75" s="396" t="s">
        <v>3125</v>
      </c>
      <c r="H75" s="398" t="s">
        <v>5024</v>
      </c>
      <c r="I75" s="399" t="s">
        <v>3471</v>
      </c>
      <c r="J75" s="399" t="s">
        <v>3204</v>
      </c>
      <c r="K75" s="402"/>
      <c r="L75" s="402"/>
      <c r="M75" s="402" t="s">
        <v>5030</v>
      </c>
      <c r="N75" s="402" t="s">
        <v>5024</v>
      </c>
      <c r="O75" s="402" t="s">
        <v>5025</v>
      </c>
      <c r="P75" s="402" t="s">
        <v>925</v>
      </c>
      <c r="Q75" s="403" t="s">
        <v>5035</v>
      </c>
      <c r="R75" s="233"/>
      <c r="S75" s="234">
        <f>IF(C75="",NA(),MATCH($B75&amp;$C75,'Smelter Reference List'!$J:$J,0))</f>
        <v>363</v>
      </c>
      <c r="T75" s="235"/>
      <c r="U75" s="235">
        <f t="shared" si="2"/>
        <v>0</v>
      </c>
      <c r="V75" s="235"/>
      <c r="W75" s="235"/>
      <c r="Y75" s="228" t="str">
        <f t="shared" si="3"/>
        <v>TinHuichang Jinshunda Tin Co., Ltd.</v>
      </c>
    </row>
    <row r="76" spans="1:25" s="228" customFormat="1" ht="20.25">
      <c r="A76" s="400" t="s">
        <v>1362</v>
      </c>
      <c r="B76" s="396" t="s">
        <v>2324</v>
      </c>
      <c r="C76" s="397" t="s">
        <v>3440</v>
      </c>
      <c r="D76" s="396" t="s">
        <v>3440</v>
      </c>
      <c r="E76" s="396" t="s">
        <v>2181</v>
      </c>
      <c r="F76" s="396" t="s">
        <v>1362</v>
      </c>
      <c r="G76" s="396" t="s">
        <v>3125</v>
      </c>
      <c r="H76" s="398" t="s">
        <v>5024</v>
      </c>
      <c r="I76" s="399" t="s">
        <v>3406</v>
      </c>
      <c r="J76" s="399" t="s">
        <v>3204</v>
      </c>
      <c r="K76" s="402"/>
      <c r="L76" s="402"/>
      <c r="M76" s="402" t="s">
        <v>5024</v>
      </c>
      <c r="N76" s="402" t="s">
        <v>5024</v>
      </c>
      <c r="O76" s="402" t="s">
        <v>5025</v>
      </c>
      <c r="P76" s="402" t="s">
        <v>925</v>
      </c>
      <c r="Q76" s="403" t="s">
        <v>5026</v>
      </c>
      <c r="R76" s="233"/>
      <c r="S76" s="234">
        <f>IF(C76="",NA(),MATCH($B76&amp;$C76,'Smelter Reference List'!$J:$J,0))</f>
        <v>367</v>
      </c>
      <c r="T76" s="235"/>
      <c r="U76" s="235">
        <f t="shared" si="2"/>
        <v>0</v>
      </c>
      <c r="V76" s="235"/>
      <c r="W76" s="235"/>
      <c r="Y76" s="228" t="str">
        <f t="shared" si="3"/>
        <v>TinJiangxi Ketai Advanced Material Co., Ltd.</v>
      </c>
    </row>
    <row r="77" spans="1:25" s="228" customFormat="1" ht="20.25">
      <c r="A77" s="400" t="s">
        <v>200</v>
      </c>
      <c r="B77" s="396" t="s">
        <v>2324</v>
      </c>
      <c r="C77" s="397" t="s">
        <v>4186</v>
      </c>
      <c r="D77" s="396" t="s">
        <v>4186</v>
      </c>
      <c r="E77" s="396" t="s">
        <v>2170</v>
      </c>
      <c r="F77" s="396" t="s">
        <v>200</v>
      </c>
      <c r="G77" s="396" t="s">
        <v>3125</v>
      </c>
      <c r="H77" s="398" t="s">
        <v>5024</v>
      </c>
      <c r="I77" s="399" t="s">
        <v>3381</v>
      </c>
      <c r="J77" s="399" t="s">
        <v>3136</v>
      </c>
      <c r="K77" s="402"/>
      <c r="L77" s="402"/>
      <c r="M77" s="402" t="s">
        <v>5024</v>
      </c>
      <c r="N77" s="402" t="s">
        <v>5024</v>
      </c>
      <c r="O77" s="402" t="s">
        <v>5025</v>
      </c>
      <c r="P77" s="402" t="s">
        <v>925</v>
      </c>
      <c r="Q77" s="403" t="s">
        <v>5026</v>
      </c>
      <c r="R77" s="233"/>
      <c r="S77" s="234">
        <f>IF(C77="",NA(),MATCH($B77&amp;$C77,'Smelter Reference List'!$J:$J,0))</f>
        <v>376</v>
      </c>
      <c r="T77" s="235"/>
      <c r="U77" s="235">
        <f t="shared" si="2"/>
        <v>0</v>
      </c>
      <c r="V77" s="235"/>
      <c r="W77" s="235"/>
      <c r="Y77" s="228" t="str">
        <f t="shared" si="3"/>
        <v>TinMagnu's Minerais Metais e Ligas Ltda.</v>
      </c>
    </row>
    <row r="78" spans="1:25" s="228" customFormat="1" ht="20.25">
      <c r="A78" s="400" t="s">
        <v>1378</v>
      </c>
      <c r="B78" s="396" t="s">
        <v>2324</v>
      </c>
      <c r="C78" s="397" t="s">
        <v>1471</v>
      </c>
      <c r="D78" s="396" t="s">
        <v>1471</v>
      </c>
      <c r="E78" s="396" t="s">
        <v>2289</v>
      </c>
      <c r="F78" s="396" t="s">
        <v>1378</v>
      </c>
      <c r="G78" s="396" t="s">
        <v>3125</v>
      </c>
      <c r="H78" s="398" t="s">
        <v>5024</v>
      </c>
      <c r="I78" s="399" t="s">
        <v>3481</v>
      </c>
      <c r="J78" s="399" t="s">
        <v>3482</v>
      </c>
      <c r="K78" s="402"/>
      <c r="L78" s="402"/>
      <c r="M78" s="402" t="s">
        <v>5024</v>
      </c>
      <c r="N78" s="402" t="s">
        <v>5024</v>
      </c>
      <c r="O78" s="402" t="s">
        <v>5027</v>
      </c>
      <c r="P78" s="402" t="s">
        <v>925</v>
      </c>
      <c r="Q78" s="403" t="s">
        <v>5026</v>
      </c>
      <c r="R78" s="233"/>
      <c r="S78" s="234">
        <f>IF(C78="",NA(),MATCH($B78&amp;$C78,'Smelter Reference List'!$J:$J,0))</f>
        <v>377</v>
      </c>
      <c r="T78" s="235"/>
      <c r="U78" s="235">
        <f t="shared" si="2"/>
        <v>0</v>
      </c>
      <c r="V78" s="235"/>
      <c r="W78" s="235"/>
      <c r="Y78" s="228" t="str">
        <f t="shared" si="3"/>
        <v>TinMalaysia Smelting Corporation (MSC)</v>
      </c>
    </row>
    <row r="79" spans="1:25" s="228" customFormat="1" ht="20.25">
      <c r="A79" s="400" t="s">
        <v>2576</v>
      </c>
      <c r="B79" s="396" t="s">
        <v>2324</v>
      </c>
      <c r="C79" s="397" t="s">
        <v>4743</v>
      </c>
      <c r="D79" s="396" t="s">
        <v>4743</v>
      </c>
      <c r="E79" s="396" t="s">
        <v>2170</v>
      </c>
      <c r="F79" s="396" t="s">
        <v>2576</v>
      </c>
      <c r="G79" s="396" t="s">
        <v>3125</v>
      </c>
      <c r="H79" s="398" t="s">
        <v>5024</v>
      </c>
      <c r="I79" s="399" t="s">
        <v>3451</v>
      </c>
      <c r="J79" s="399" t="s">
        <v>3452</v>
      </c>
      <c r="K79" s="402"/>
      <c r="L79" s="402"/>
      <c r="M79" s="402" t="s">
        <v>5024</v>
      </c>
      <c r="N79" s="402" t="s">
        <v>5024</v>
      </c>
      <c r="O79" s="402" t="s">
        <v>5025</v>
      </c>
      <c r="P79" s="402" t="s">
        <v>925</v>
      </c>
      <c r="Q79" s="403" t="s">
        <v>5026</v>
      </c>
      <c r="R79" s="233"/>
      <c r="S79" s="234">
        <f>IF(C79="",NA(),MATCH($B79&amp;$C79,'Smelter Reference List'!$J:$J,0))</f>
        <v>378</v>
      </c>
      <c r="T79" s="235"/>
      <c r="U79" s="235">
        <f t="shared" si="2"/>
        <v>0</v>
      </c>
      <c r="V79" s="235"/>
      <c r="W79" s="235"/>
      <c r="Y79" s="228" t="str">
        <f t="shared" si="3"/>
        <v>TinMelt Metais e Ligas S.A.</v>
      </c>
    </row>
    <row r="80" spans="1:25" s="228" customFormat="1" ht="20.25">
      <c r="A80" s="400" t="s">
        <v>3483</v>
      </c>
      <c r="B80" s="396" t="s">
        <v>2324</v>
      </c>
      <c r="C80" s="397" t="s">
        <v>4161</v>
      </c>
      <c r="D80" s="396" t="s">
        <v>4161</v>
      </c>
      <c r="E80" s="396" t="s">
        <v>5016</v>
      </c>
      <c r="F80" s="396" t="s">
        <v>3483</v>
      </c>
      <c r="G80" s="396" t="s">
        <v>3125</v>
      </c>
      <c r="H80" s="398" t="s">
        <v>5024</v>
      </c>
      <c r="I80" s="399" t="s">
        <v>3484</v>
      </c>
      <c r="J80" s="399" t="s">
        <v>3256</v>
      </c>
      <c r="K80" s="402"/>
      <c r="L80" s="402"/>
      <c r="M80" s="402" t="s">
        <v>5024</v>
      </c>
      <c r="N80" s="402" t="s">
        <v>5024</v>
      </c>
      <c r="O80" s="402" t="s">
        <v>5029</v>
      </c>
      <c r="P80" s="402" t="s">
        <v>924</v>
      </c>
      <c r="Q80" s="403" t="s">
        <v>5026</v>
      </c>
      <c r="R80" s="233"/>
      <c r="S80" s="234">
        <f>IF(C80="",NA(),MATCH($B80&amp;$C80,'Smelter Reference List'!$J:$J,0))</f>
        <v>381</v>
      </c>
      <c r="T80" s="235"/>
      <c r="U80" s="235">
        <f t="shared" si="2"/>
        <v>0</v>
      </c>
      <c r="V80" s="235"/>
      <c r="W80" s="235"/>
      <c r="Y80" s="228" t="str">
        <f t="shared" si="3"/>
        <v>TinMetallic Resources, Inc.</v>
      </c>
    </row>
    <row r="81" spans="1:25" s="228" customFormat="1" ht="20.25">
      <c r="A81" s="400" t="s">
        <v>3547</v>
      </c>
      <c r="B81" s="396" t="s">
        <v>2324</v>
      </c>
      <c r="C81" s="397" t="s">
        <v>3546</v>
      </c>
      <c r="D81" s="396" t="s">
        <v>3546</v>
      </c>
      <c r="E81" s="396" t="s">
        <v>2158</v>
      </c>
      <c r="F81" s="396" t="s">
        <v>3547</v>
      </c>
      <c r="G81" s="396" t="s">
        <v>3125</v>
      </c>
      <c r="H81" s="398" t="s">
        <v>5024</v>
      </c>
      <c r="I81" s="399" t="s">
        <v>3548</v>
      </c>
      <c r="J81" s="399" t="s">
        <v>3315</v>
      </c>
      <c r="K81" s="402"/>
      <c r="L81" s="402"/>
      <c r="M81" s="402" t="s">
        <v>5024</v>
      </c>
      <c r="N81" s="402" t="s">
        <v>5024</v>
      </c>
      <c r="O81" s="402" t="s">
        <v>5027</v>
      </c>
      <c r="P81" s="402" t="s">
        <v>925</v>
      </c>
      <c r="Q81" s="403" t="s">
        <v>5026</v>
      </c>
      <c r="R81" s="233"/>
      <c r="S81" s="234">
        <f>IF(C81="",NA(),MATCH($B81&amp;$C81,'Smelter Reference List'!$J:$J,0))</f>
        <v>382</v>
      </c>
      <c r="T81" s="235"/>
      <c r="U81" s="235">
        <f t="shared" si="2"/>
        <v>0</v>
      </c>
      <c r="V81" s="235"/>
      <c r="W81" s="235"/>
      <c r="Y81" s="228" t="str">
        <f t="shared" si="3"/>
        <v>TinMetallo-Chimique N.V.</v>
      </c>
    </row>
    <row r="82" spans="1:25" s="228" customFormat="1" ht="20.25">
      <c r="A82" s="400" t="s">
        <v>1379</v>
      </c>
      <c r="B82" s="396" t="s">
        <v>2324</v>
      </c>
      <c r="C82" s="397" t="s">
        <v>1953</v>
      </c>
      <c r="D82" s="396" t="s">
        <v>1953</v>
      </c>
      <c r="E82" s="396" t="s">
        <v>2170</v>
      </c>
      <c r="F82" s="396" t="s">
        <v>1379</v>
      </c>
      <c r="G82" s="396" t="s">
        <v>3125</v>
      </c>
      <c r="H82" s="398" t="s">
        <v>5024</v>
      </c>
      <c r="I82" s="399" t="s">
        <v>3485</v>
      </c>
      <c r="J82" s="399" t="s">
        <v>3313</v>
      </c>
      <c r="K82" s="402"/>
      <c r="L82" s="402"/>
      <c r="M82" s="402" t="s">
        <v>5024</v>
      </c>
      <c r="N82" s="402" t="s">
        <v>5024</v>
      </c>
      <c r="O82" s="402" t="s">
        <v>5025</v>
      </c>
      <c r="P82" s="402" t="s">
        <v>925</v>
      </c>
      <c r="Q82" s="403" t="s">
        <v>5026</v>
      </c>
      <c r="R82" s="233"/>
      <c r="S82" s="234">
        <f>IF(C82="",NA(),MATCH($B82&amp;$C82,'Smelter Reference List'!$J:$J,0))</f>
        <v>383</v>
      </c>
      <c r="T82" s="235"/>
      <c r="U82" s="235">
        <f t="shared" si="2"/>
        <v>0</v>
      </c>
      <c r="V82" s="235"/>
      <c r="W82" s="235"/>
      <c r="Y82" s="228" t="str">
        <f t="shared" si="3"/>
        <v>TinMineração Taboca S.A.</v>
      </c>
    </row>
    <row r="83" spans="1:25" s="228" customFormat="1" ht="20.25">
      <c r="A83" s="400" t="s">
        <v>1380</v>
      </c>
      <c r="B83" s="396" t="s">
        <v>2324</v>
      </c>
      <c r="C83" s="397" t="s">
        <v>1954</v>
      </c>
      <c r="D83" s="396" t="s">
        <v>1954</v>
      </c>
      <c r="E83" s="396" t="s">
        <v>1704</v>
      </c>
      <c r="F83" s="396" t="s">
        <v>1380</v>
      </c>
      <c r="G83" s="396" t="s">
        <v>3125</v>
      </c>
      <c r="H83" s="398" t="s">
        <v>5024</v>
      </c>
      <c r="I83" s="399" t="s">
        <v>3487</v>
      </c>
      <c r="J83" s="399" t="s">
        <v>3488</v>
      </c>
      <c r="K83" s="402"/>
      <c r="L83" s="402"/>
      <c r="M83" s="402" t="s">
        <v>5024</v>
      </c>
      <c r="N83" s="402" t="s">
        <v>5024</v>
      </c>
      <c r="O83" s="402" t="s">
        <v>5025</v>
      </c>
      <c r="P83" s="402" t="s">
        <v>925</v>
      </c>
      <c r="Q83" s="403" t="s">
        <v>5026</v>
      </c>
      <c r="R83" s="233"/>
      <c r="S83" s="234">
        <f>IF(C83="",NA(),MATCH($B83&amp;$C83,'Smelter Reference List'!$J:$J,0))</f>
        <v>384</v>
      </c>
      <c r="T83" s="235"/>
      <c r="U83" s="235">
        <f t="shared" si="2"/>
        <v>0</v>
      </c>
      <c r="V83" s="235"/>
      <c r="W83" s="235"/>
      <c r="Y83" s="228" t="str">
        <f t="shared" si="3"/>
        <v>TinMinsur</v>
      </c>
    </row>
    <row r="84" spans="1:25" s="228" customFormat="1" ht="20.25">
      <c r="A84" s="400" t="s">
        <v>1381</v>
      </c>
      <c r="B84" s="396" t="s">
        <v>2324</v>
      </c>
      <c r="C84" s="397" t="s">
        <v>2371</v>
      </c>
      <c r="D84" s="396" t="s">
        <v>2371</v>
      </c>
      <c r="E84" s="396" t="s">
        <v>2249</v>
      </c>
      <c r="F84" s="396" t="s">
        <v>1381</v>
      </c>
      <c r="G84" s="396" t="s">
        <v>3125</v>
      </c>
      <c r="H84" s="398" t="s">
        <v>5024</v>
      </c>
      <c r="I84" s="399" t="s">
        <v>3490</v>
      </c>
      <c r="J84" s="399" t="s">
        <v>3140</v>
      </c>
      <c r="K84" s="402"/>
      <c r="L84" s="402"/>
      <c r="M84" s="402" t="s">
        <v>5024</v>
      </c>
      <c r="N84" s="402" t="s">
        <v>5024</v>
      </c>
      <c r="O84" s="402" t="s">
        <v>5029</v>
      </c>
      <c r="P84" s="402" t="s">
        <v>924</v>
      </c>
      <c r="Q84" s="403" t="s">
        <v>5026</v>
      </c>
      <c r="R84" s="233"/>
      <c r="S84" s="234">
        <f>IF(C84="",NA(),MATCH($B84&amp;$C84,'Smelter Reference List'!$J:$J,0))</f>
        <v>385</v>
      </c>
      <c r="T84" s="235"/>
      <c r="U84" s="235">
        <f t="shared" si="2"/>
        <v>0</v>
      </c>
      <c r="V84" s="235"/>
      <c r="W84" s="235"/>
      <c r="Y84" s="228" t="str">
        <f t="shared" si="3"/>
        <v>TinMitsubishi Materials Corporation</v>
      </c>
    </row>
    <row r="85" spans="1:25" s="228" customFormat="1" ht="38.25">
      <c r="A85" s="400" t="s">
        <v>4753</v>
      </c>
      <c r="B85" s="396" t="s">
        <v>2324</v>
      </c>
      <c r="C85" s="397" t="s">
        <v>4702</v>
      </c>
      <c r="D85" s="396" t="s">
        <v>4702</v>
      </c>
      <c r="E85" s="396" t="s">
        <v>2289</v>
      </c>
      <c r="F85" s="396" t="s">
        <v>4753</v>
      </c>
      <c r="G85" s="396" t="s">
        <v>3125</v>
      </c>
      <c r="H85" s="398" t="s">
        <v>5024</v>
      </c>
      <c r="I85" s="399" t="s">
        <v>4764</v>
      </c>
      <c r="J85" s="399" t="s">
        <v>4765</v>
      </c>
      <c r="K85" s="402"/>
      <c r="L85" s="402"/>
      <c r="M85" s="402" t="s">
        <v>5031</v>
      </c>
      <c r="N85" s="402" t="s">
        <v>5024</v>
      </c>
      <c r="O85" s="402" t="s">
        <v>5029</v>
      </c>
      <c r="P85" s="402" t="s">
        <v>924</v>
      </c>
      <c r="Q85" s="403" t="s">
        <v>5035</v>
      </c>
      <c r="R85" s="233"/>
      <c r="S85" s="234">
        <f>IF(C85="",NA(),MATCH($B85&amp;$C85,'Smelter Reference List'!$J:$J,0))</f>
        <v>386</v>
      </c>
      <c r="T85" s="235"/>
      <c r="U85" s="235">
        <f t="shared" si="2"/>
        <v>0</v>
      </c>
      <c r="V85" s="235"/>
      <c r="W85" s="235"/>
      <c r="Y85" s="228" t="str">
        <f t="shared" si="3"/>
        <v>TinModeltech Sdn Bhd</v>
      </c>
    </row>
    <row r="86" spans="1:25" s="228" customFormat="1" ht="25.5">
      <c r="A86" s="400" t="s">
        <v>3536</v>
      </c>
      <c r="B86" s="396" t="s">
        <v>2324</v>
      </c>
      <c r="C86" s="397" t="s">
        <v>3535</v>
      </c>
      <c r="D86" s="396" t="s">
        <v>3535</v>
      </c>
      <c r="E86" s="396" t="s">
        <v>1766</v>
      </c>
      <c r="F86" s="396" t="s">
        <v>3536</v>
      </c>
      <c r="G86" s="396" t="s">
        <v>3125</v>
      </c>
      <c r="H86" s="398" t="s">
        <v>5024</v>
      </c>
      <c r="I86" s="399" t="s">
        <v>3537</v>
      </c>
      <c r="J86" s="399" t="s">
        <v>3538</v>
      </c>
      <c r="K86" s="402"/>
      <c r="L86" s="402"/>
      <c r="M86" s="402" t="s">
        <v>5030</v>
      </c>
      <c r="N86" s="402" t="s">
        <v>5024</v>
      </c>
      <c r="O86" s="402" t="s">
        <v>926</v>
      </c>
      <c r="P86" s="402" t="s">
        <v>5024</v>
      </c>
      <c r="Q86" s="403" t="s">
        <v>5024</v>
      </c>
      <c r="R86" s="233"/>
      <c r="S86" s="234">
        <f>IF(C86="",NA(),MATCH($B86&amp;$C86,'Smelter Reference List'!$J:$J,0))</f>
        <v>390</v>
      </c>
      <c r="T86" s="235"/>
      <c r="U86" s="235">
        <f t="shared" si="2"/>
        <v>0</v>
      </c>
      <c r="V86" s="235"/>
      <c r="W86" s="235"/>
      <c r="Y86" s="228" t="str">
        <f t="shared" si="3"/>
        <v>TinNghe Tinh Non-Ferrous Metals Joint Stock Company</v>
      </c>
    </row>
    <row r="87" spans="1:25" s="228" customFormat="1" ht="20.25">
      <c r="A87" s="400" t="s">
        <v>1383</v>
      </c>
      <c r="B87" s="396" t="s">
        <v>2324</v>
      </c>
      <c r="C87" s="397" t="s">
        <v>1382</v>
      </c>
      <c r="D87" s="396" t="s">
        <v>1382</v>
      </c>
      <c r="E87" s="396" t="s">
        <v>1743</v>
      </c>
      <c r="F87" s="396" t="s">
        <v>1383</v>
      </c>
      <c r="G87" s="396" t="s">
        <v>3125</v>
      </c>
      <c r="H87" s="398" t="s">
        <v>5024</v>
      </c>
      <c r="I87" s="399" t="s">
        <v>4744</v>
      </c>
      <c r="J87" s="399" t="s">
        <v>3493</v>
      </c>
      <c r="K87" s="402"/>
      <c r="L87" s="402"/>
      <c r="M87" s="402" t="s">
        <v>5024</v>
      </c>
      <c r="N87" s="402" t="s">
        <v>5024</v>
      </c>
      <c r="O87" s="402" t="s">
        <v>5029</v>
      </c>
      <c r="P87" s="402" t="s">
        <v>924</v>
      </c>
      <c r="Q87" s="403" t="s">
        <v>5026</v>
      </c>
      <c r="R87" s="233"/>
      <c r="S87" s="234">
        <f>IF(C87="",NA(),MATCH($B87&amp;$C87,'Smelter Reference List'!$J:$J,0))</f>
        <v>391</v>
      </c>
      <c r="T87" s="235"/>
      <c r="U87" s="235">
        <f t="shared" si="2"/>
        <v>0</v>
      </c>
      <c r="V87" s="235"/>
      <c r="W87" s="235"/>
      <c r="Y87" s="228" t="str">
        <f t="shared" si="3"/>
        <v>TinO.M. Manufacturing (Thailand) Co., Ltd.</v>
      </c>
    </row>
    <row r="88" spans="1:25" s="228" customFormat="1" ht="20.25">
      <c r="A88" s="400" t="s">
        <v>2707</v>
      </c>
      <c r="B88" s="396" t="s">
        <v>2324</v>
      </c>
      <c r="C88" s="397" t="s">
        <v>2706</v>
      </c>
      <c r="D88" s="396" t="s">
        <v>2706</v>
      </c>
      <c r="E88" s="396" t="s">
        <v>1705</v>
      </c>
      <c r="F88" s="396" t="s">
        <v>2707</v>
      </c>
      <c r="G88" s="396" t="s">
        <v>3125</v>
      </c>
      <c r="H88" s="398" t="s">
        <v>5024</v>
      </c>
      <c r="I88" s="399" t="s">
        <v>3527</v>
      </c>
      <c r="J88" s="399" t="s">
        <v>3528</v>
      </c>
      <c r="K88" s="402"/>
      <c r="L88" s="402"/>
      <c r="M88" s="402" t="s">
        <v>5024</v>
      </c>
      <c r="N88" s="402" t="s">
        <v>5024</v>
      </c>
      <c r="O88" s="402" t="s">
        <v>5025</v>
      </c>
      <c r="P88" s="402" t="s">
        <v>925</v>
      </c>
      <c r="Q88" s="403" t="s">
        <v>5026</v>
      </c>
      <c r="R88" s="233"/>
      <c r="S88" s="234">
        <f>IF(C88="",NA(),MATCH($B88&amp;$C88,'Smelter Reference List'!$J:$J,0))</f>
        <v>392</v>
      </c>
      <c r="T88" s="235"/>
      <c r="U88" s="235">
        <f t="shared" si="2"/>
        <v>0</v>
      </c>
      <c r="V88" s="235"/>
      <c r="W88" s="235"/>
      <c r="Y88" s="228" t="str">
        <f t="shared" si="3"/>
        <v>TinO.M. Manufacturing Philippines, Inc.</v>
      </c>
    </row>
    <row r="89" spans="1:25" s="228" customFormat="1" ht="25.5">
      <c r="A89" s="400" t="s">
        <v>1384</v>
      </c>
      <c r="B89" s="396" t="s">
        <v>2324</v>
      </c>
      <c r="C89" s="397" t="s">
        <v>3494</v>
      </c>
      <c r="D89" s="396" t="s">
        <v>3494</v>
      </c>
      <c r="E89" s="396" t="s">
        <v>5022</v>
      </c>
      <c r="F89" s="396" t="s">
        <v>1384</v>
      </c>
      <c r="G89" s="396" t="s">
        <v>3125</v>
      </c>
      <c r="H89" s="398" t="s">
        <v>5024</v>
      </c>
      <c r="I89" s="399" t="s">
        <v>3459</v>
      </c>
      <c r="J89" s="399" t="s">
        <v>3460</v>
      </c>
      <c r="K89" s="402"/>
      <c r="L89" s="402"/>
      <c r="M89" s="402" t="s">
        <v>5024</v>
      </c>
      <c r="N89" s="402" t="s">
        <v>5024</v>
      </c>
      <c r="O89" s="402" t="s">
        <v>5025</v>
      </c>
      <c r="P89" s="402" t="s">
        <v>925</v>
      </c>
      <c r="Q89" s="403" t="s">
        <v>5026</v>
      </c>
      <c r="R89" s="233"/>
      <c r="S89" s="234">
        <f>IF(C89="",NA(),MATCH($B89&amp;$C89,'Smelter Reference List'!$J:$J,0))</f>
        <v>394</v>
      </c>
      <c r="T89" s="235"/>
      <c r="U89" s="235">
        <f t="shared" si="2"/>
        <v>0</v>
      </c>
      <c r="V89" s="235"/>
      <c r="W89" s="235"/>
      <c r="Y89" s="228" t="str">
        <f t="shared" si="3"/>
        <v>TinOperaciones Metalurgical S.A.</v>
      </c>
    </row>
    <row r="90" spans="1:25" s="228" customFormat="1" ht="20.25">
      <c r="A90" s="400" t="s">
        <v>2667</v>
      </c>
      <c r="B90" s="396" t="s">
        <v>2324</v>
      </c>
      <c r="C90" s="397" t="s">
        <v>4289</v>
      </c>
      <c r="D90" s="396" t="s">
        <v>4289</v>
      </c>
      <c r="E90" s="396" t="s">
        <v>2238</v>
      </c>
      <c r="F90" s="396" t="s">
        <v>2667</v>
      </c>
      <c r="G90" s="396" t="s">
        <v>3125</v>
      </c>
      <c r="H90" s="398" t="s">
        <v>5024</v>
      </c>
      <c r="I90" s="399" t="s">
        <v>5021</v>
      </c>
      <c r="J90" s="399" t="s">
        <v>3454</v>
      </c>
      <c r="K90" s="402"/>
      <c r="L90" s="402"/>
      <c r="M90" s="402" t="s">
        <v>5024</v>
      </c>
      <c r="N90" s="402" t="s">
        <v>5024</v>
      </c>
      <c r="O90" s="402" t="s">
        <v>5025</v>
      </c>
      <c r="P90" s="402" t="s">
        <v>925</v>
      </c>
      <c r="Q90" s="403" t="s">
        <v>5026</v>
      </c>
      <c r="R90" s="233"/>
      <c r="S90" s="234">
        <f>IF(C90="",NA(),MATCH($B90&amp;$C90,'Smelter Reference List'!$J:$J,0))</f>
        <v>398</v>
      </c>
      <c r="T90" s="235"/>
      <c r="U90" s="235">
        <f t="shared" si="2"/>
        <v>0</v>
      </c>
      <c r="V90" s="235"/>
      <c r="W90" s="235"/>
      <c r="Y90" s="228" t="str">
        <f t="shared" si="3"/>
        <v>TinPT Aries Kencana Sejahtera</v>
      </c>
    </row>
    <row r="91" spans="1:25" s="228" customFormat="1" ht="20.25">
      <c r="A91" s="400" t="s">
        <v>1385</v>
      </c>
      <c r="B91" s="396" t="s">
        <v>2324</v>
      </c>
      <c r="C91" s="397" t="s">
        <v>1508</v>
      </c>
      <c r="D91" s="396" t="s">
        <v>1508</v>
      </c>
      <c r="E91" s="396" t="s">
        <v>2238</v>
      </c>
      <c r="F91" s="396" t="s">
        <v>1385</v>
      </c>
      <c r="G91" s="396" t="s">
        <v>3125</v>
      </c>
      <c r="H91" s="398" t="s">
        <v>5024</v>
      </c>
      <c r="I91" s="399" t="s">
        <v>3453</v>
      </c>
      <c r="J91" s="399" t="s">
        <v>3454</v>
      </c>
      <c r="K91" s="402"/>
      <c r="L91" s="402"/>
      <c r="M91" s="402" t="s">
        <v>5024</v>
      </c>
      <c r="N91" s="402" t="s">
        <v>5024</v>
      </c>
      <c r="O91" s="402" t="s">
        <v>5025</v>
      </c>
      <c r="P91" s="402" t="s">
        <v>925</v>
      </c>
      <c r="Q91" s="403" t="s">
        <v>5026</v>
      </c>
      <c r="R91" s="233"/>
      <c r="S91" s="234">
        <f>IF(C91="",NA(),MATCH($B91&amp;$C91,'Smelter Reference List'!$J:$J,0))</f>
        <v>399</v>
      </c>
      <c r="T91" s="235"/>
      <c r="U91" s="235">
        <f t="shared" si="2"/>
        <v>0</v>
      </c>
      <c r="V91" s="235"/>
      <c r="W91" s="235"/>
      <c r="Y91" s="228" t="str">
        <f t="shared" si="3"/>
        <v>TinPT Artha Cipta Langgeng</v>
      </c>
    </row>
    <row r="92" spans="1:25" s="228" customFormat="1" ht="20.25">
      <c r="A92" s="400" t="s">
        <v>2709</v>
      </c>
      <c r="B92" s="396" t="s">
        <v>2324</v>
      </c>
      <c r="C92" s="397" t="s">
        <v>2708</v>
      </c>
      <c r="D92" s="396" t="s">
        <v>2708</v>
      </c>
      <c r="E92" s="396" t="s">
        <v>2238</v>
      </c>
      <c r="F92" s="396" t="s">
        <v>2709</v>
      </c>
      <c r="G92" s="396" t="s">
        <v>3125</v>
      </c>
      <c r="H92" s="398" t="s">
        <v>5024</v>
      </c>
      <c r="I92" s="399" t="s">
        <v>3453</v>
      </c>
      <c r="J92" s="399" t="s">
        <v>3454</v>
      </c>
      <c r="K92" s="402"/>
      <c r="L92" s="402"/>
      <c r="M92" s="402" t="s">
        <v>5024</v>
      </c>
      <c r="N92" s="402" t="s">
        <v>5024</v>
      </c>
      <c r="O92" s="402" t="s">
        <v>5025</v>
      </c>
      <c r="P92" s="402" t="s">
        <v>925</v>
      </c>
      <c r="Q92" s="403" t="s">
        <v>5026</v>
      </c>
      <c r="R92" s="233"/>
      <c r="S92" s="234">
        <f>IF(C92="",NA(),MATCH($B92&amp;$C92,'Smelter Reference List'!$J:$J,0))</f>
        <v>400</v>
      </c>
      <c r="T92" s="235"/>
      <c r="U92" s="235">
        <f t="shared" si="2"/>
        <v>0</v>
      </c>
      <c r="V92" s="235"/>
      <c r="W92" s="235"/>
      <c r="Y92" s="228" t="str">
        <f t="shared" si="3"/>
        <v>TinPT ATD Makmur Mandiri Jaya</v>
      </c>
    </row>
    <row r="93" spans="1:25" s="228" customFormat="1" ht="20.25">
      <c r="A93" s="400" t="s">
        <v>1386</v>
      </c>
      <c r="B93" s="396" t="s">
        <v>2324</v>
      </c>
      <c r="C93" s="397" t="s">
        <v>1509</v>
      </c>
      <c r="D93" s="396" t="s">
        <v>1509</v>
      </c>
      <c r="E93" s="396" t="s">
        <v>2238</v>
      </c>
      <c r="F93" s="396" t="s">
        <v>1386</v>
      </c>
      <c r="G93" s="396" t="s">
        <v>3125</v>
      </c>
      <c r="H93" s="398" t="s">
        <v>5024</v>
      </c>
      <c r="I93" s="399" t="s">
        <v>3495</v>
      </c>
      <c r="J93" s="399" t="s">
        <v>3454</v>
      </c>
      <c r="K93" s="402"/>
      <c r="L93" s="402"/>
      <c r="M93" s="402" t="s">
        <v>5024</v>
      </c>
      <c r="N93" s="402" t="s">
        <v>5024</v>
      </c>
      <c r="O93" s="402" t="s">
        <v>5025</v>
      </c>
      <c r="P93" s="402" t="s">
        <v>925</v>
      </c>
      <c r="Q93" s="403" t="s">
        <v>5026</v>
      </c>
      <c r="R93" s="233"/>
      <c r="S93" s="234">
        <f>IF(C93="",NA(),MATCH($B93&amp;$C93,'Smelter Reference List'!$J:$J,0))</f>
        <v>401</v>
      </c>
      <c r="T93" s="235"/>
      <c r="U93" s="235">
        <f t="shared" si="2"/>
        <v>0</v>
      </c>
      <c r="V93" s="235"/>
      <c r="W93" s="235"/>
      <c r="Y93" s="228" t="str">
        <f t="shared" si="3"/>
        <v>TinPT Babel Inti Perkasa</v>
      </c>
    </row>
    <row r="94" spans="1:25" s="228" customFormat="1" ht="20.25">
      <c r="A94" s="400" t="s">
        <v>4278</v>
      </c>
      <c r="B94" s="396" t="s">
        <v>2324</v>
      </c>
      <c r="C94" s="397" t="s">
        <v>4277</v>
      </c>
      <c r="D94" s="396" t="s">
        <v>4277</v>
      </c>
      <c r="E94" s="396" t="s">
        <v>2238</v>
      </c>
      <c r="F94" s="396" t="s">
        <v>4278</v>
      </c>
      <c r="G94" s="396" t="s">
        <v>3125</v>
      </c>
      <c r="H94" s="398" t="s">
        <v>5024</v>
      </c>
      <c r="I94" s="399" t="s">
        <v>3455</v>
      </c>
      <c r="J94" s="399" t="s">
        <v>3454</v>
      </c>
      <c r="K94" s="402"/>
      <c r="L94" s="402"/>
      <c r="M94" s="402" t="s">
        <v>5024</v>
      </c>
      <c r="N94" s="402" t="s">
        <v>5024</v>
      </c>
      <c r="O94" s="402" t="s">
        <v>5025</v>
      </c>
      <c r="P94" s="402" t="s">
        <v>925</v>
      </c>
      <c r="Q94" s="403" t="s">
        <v>5026</v>
      </c>
      <c r="R94" s="233"/>
      <c r="S94" s="234">
        <f>IF(C94="",NA(),MATCH($B94&amp;$C94,'Smelter Reference List'!$J:$J,0))</f>
        <v>403</v>
      </c>
      <c r="T94" s="235"/>
      <c r="U94" s="235">
        <f t="shared" si="2"/>
        <v>0</v>
      </c>
      <c r="V94" s="235"/>
      <c r="W94" s="235"/>
      <c r="Y94" s="228" t="str">
        <f t="shared" si="3"/>
        <v>TinPT Bangka Prima Tin</v>
      </c>
    </row>
    <row r="95" spans="1:25" s="228" customFormat="1" ht="20.25">
      <c r="A95" s="400" t="s">
        <v>1387</v>
      </c>
      <c r="B95" s="396" t="s">
        <v>2324</v>
      </c>
      <c r="C95" s="397" t="s">
        <v>1173</v>
      </c>
      <c r="D95" s="396" t="s">
        <v>1173</v>
      </c>
      <c r="E95" s="396" t="s">
        <v>2238</v>
      </c>
      <c r="F95" s="396" t="s">
        <v>1387</v>
      </c>
      <c r="G95" s="396" t="s">
        <v>3125</v>
      </c>
      <c r="H95" s="398" t="s">
        <v>5024</v>
      </c>
      <c r="I95" s="399" t="s">
        <v>3453</v>
      </c>
      <c r="J95" s="399" t="s">
        <v>3454</v>
      </c>
      <c r="K95" s="402"/>
      <c r="L95" s="402"/>
      <c r="M95" s="402" t="s">
        <v>5024</v>
      </c>
      <c r="N95" s="402" t="s">
        <v>5024</v>
      </c>
      <c r="O95" s="402" t="s">
        <v>5025</v>
      </c>
      <c r="P95" s="402" t="s">
        <v>925</v>
      </c>
      <c r="Q95" s="403" t="s">
        <v>5026</v>
      </c>
      <c r="R95" s="233"/>
      <c r="S95" s="234">
        <f>IF(C95="",NA(),MATCH($B95&amp;$C95,'Smelter Reference List'!$J:$J,0))</f>
        <v>405</v>
      </c>
      <c r="T95" s="235"/>
      <c r="U95" s="235">
        <f t="shared" si="2"/>
        <v>0</v>
      </c>
      <c r="V95" s="235"/>
      <c r="W95" s="235"/>
      <c r="Y95" s="228" t="str">
        <f t="shared" si="3"/>
        <v>TinPT Bangka Tin Industry</v>
      </c>
    </row>
    <row r="96" spans="1:25" s="228" customFormat="1" ht="20.25">
      <c r="A96" s="400" t="s">
        <v>1388</v>
      </c>
      <c r="B96" s="396" t="s">
        <v>2324</v>
      </c>
      <c r="C96" s="397" t="s">
        <v>1193</v>
      </c>
      <c r="D96" s="396" t="s">
        <v>1193</v>
      </c>
      <c r="E96" s="396" t="s">
        <v>2238</v>
      </c>
      <c r="F96" s="396" t="s">
        <v>1388</v>
      </c>
      <c r="G96" s="396" t="s">
        <v>3125</v>
      </c>
      <c r="H96" s="398" t="s">
        <v>5024</v>
      </c>
      <c r="I96" s="399" t="s">
        <v>3457</v>
      </c>
      <c r="J96" s="399" t="s">
        <v>3454</v>
      </c>
      <c r="K96" s="402"/>
      <c r="L96" s="402"/>
      <c r="M96" s="402" t="s">
        <v>5024</v>
      </c>
      <c r="N96" s="402" t="s">
        <v>5024</v>
      </c>
      <c r="O96" s="402" t="s">
        <v>5025</v>
      </c>
      <c r="P96" s="402" t="s">
        <v>925</v>
      </c>
      <c r="Q96" s="403" t="s">
        <v>5026</v>
      </c>
      <c r="R96" s="233"/>
      <c r="S96" s="234">
        <f>IF(C96="",NA(),MATCH($B96&amp;$C96,'Smelter Reference List'!$J:$J,0))</f>
        <v>406</v>
      </c>
      <c r="T96" s="235"/>
      <c r="U96" s="235">
        <f t="shared" si="2"/>
        <v>0</v>
      </c>
      <c r="V96" s="235"/>
      <c r="W96" s="235"/>
      <c r="Y96" s="228" t="str">
        <f t="shared" si="3"/>
        <v>TinPT Belitung Industri Sejahtera</v>
      </c>
    </row>
    <row r="97" spans="1:25" s="228" customFormat="1" ht="20.25">
      <c r="A97" s="400" t="s">
        <v>1389</v>
      </c>
      <c r="B97" s="396" t="s">
        <v>2324</v>
      </c>
      <c r="C97" s="397" t="s">
        <v>1194</v>
      </c>
      <c r="D97" s="396" t="s">
        <v>1194</v>
      </c>
      <c r="E97" s="396" t="s">
        <v>2238</v>
      </c>
      <c r="F97" s="396" t="s">
        <v>1389</v>
      </c>
      <c r="G97" s="396" t="s">
        <v>3125</v>
      </c>
      <c r="H97" s="398" t="s">
        <v>5024</v>
      </c>
      <c r="I97" s="399" t="s">
        <v>3457</v>
      </c>
      <c r="J97" s="399" t="s">
        <v>3454</v>
      </c>
      <c r="K97" s="402"/>
      <c r="L97" s="402"/>
      <c r="M97" s="402" t="s">
        <v>5024</v>
      </c>
      <c r="N97" s="402" t="s">
        <v>5024</v>
      </c>
      <c r="O97" s="402" t="s">
        <v>5025</v>
      </c>
      <c r="P97" s="402" t="s">
        <v>925</v>
      </c>
      <c r="Q97" s="403" t="s">
        <v>5026</v>
      </c>
      <c r="R97" s="233"/>
      <c r="S97" s="234">
        <f>IF(C97="",NA(),MATCH($B97&amp;$C97,'Smelter Reference List'!$J:$J,0))</f>
        <v>408</v>
      </c>
      <c r="T97" s="235"/>
      <c r="U97" s="235">
        <f t="shared" si="2"/>
        <v>0</v>
      </c>
      <c r="V97" s="235"/>
      <c r="W97" s="235"/>
      <c r="Y97" s="228" t="str">
        <f t="shared" si="3"/>
        <v>TinPT Bukit Timah</v>
      </c>
    </row>
    <row r="98" spans="1:25" s="228" customFormat="1" ht="20.25">
      <c r="A98" s="400" t="s">
        <v>3544</v>
      </c>
      <c r="B98" s="396" t="s">
        <v>2324</v>
      </c>
      <c r="C98" s="397" t="s">
        <v>3543</v>
      </c>
      <c r="D98" s="396" t="s">
        <v>3543</v>
      </c>
      <c r="E98" s="396" t="s">
        <v>2238</v>
      </c>
      <c r="F98" s="396" t="s">
        <v>3544</v>
      </c>
      <c r="G98" s="396" t="s">
        <v>3125</v>
      </c>
      <c r="H98" s="398" t="s">
        <v>5024</v>
      </c>
      <c r="I98" s="399" t="s">
        <v>3457</v>
      </c>
      <c r="J98" s="399" t="s">
        <v>3454</v>
      </c>
      <c r="K98" s="402"/>
      <c r="L98" s="402"/>
      <c r="M98" s="402" t="s">
        <v>5024</v>
      </c>
      <c r="N98" s="402" t="s">
        <v>5024</v>
      </c>
      <c r="O98" s="402" t="s">
        <v>5025</v>
      </c>
      <c r="P98" s="402" t="s">
        <v>925</v>
      </c>
      <c r="Q98" s="403" t="s">
        <v>5026</v>
      </c>
      <c r="R98" s="233"/>
      <c r="S98" s="234">
        <f>IF(C98="",NA(),MATCH($B98&amp;$C98,'Smelter Reference List'!$J:$J,0))</f>
        <v>409</v>
      </c>
      <c r="T98" s="235"/>
      <c r="U98" s="235">
        <f t="shared" si="2"/>
        <v>0</v>
      </c>
      <c r="V98" s="235"/>
      <c r="W98" s="235"/>
      <c r="Y98" s="228" t="str">
        <f t="shared" si="3"/>
        <v>TinPT Cipta Persada Mulia</v>
      </c>
    </row>
    <row r="99" spans="1:25" s="228" customFormat="1" ht="20.25">
      <c r="A99" s="400" t="s">
        <v>1390</v>
      </c>
      <c r="B99" s="396" t="s">
        <v>2324</v>
      </c>
      <c r="C99" s="397" t="s">
        <v>1174</v>
      </c>
      <c r="D99" s="396" t="s">
        <v>1174</v>
      </c>
      <c r="E99" s="396" t="s">
        <v>2238</v>
      </c>
      <c r="F99" s="396" t="s">
        <v>1390</v>
      </c>
      <c r="G99" s="396" t="s">
        <v>3125</v>
      </c>
      <c r="H99" s="398" t="s">
        <v>5024</v>
      </c>
      <c r="I99" s="399" t="s">
        <v>3457</v>
      </c>
      <c r="J99" s="399" t="s">
        <v>3454</v>
      </c>
      <c r="K99" s="402"/>
      <c r="L99" s="402"/>
      <c r="M99" s="402" t="s">
        <v>5024</v>
      </c>
      <c r="N99" s="402" t="s">
        <v>5024</v>
      </c>
      <c r="O99" s="402" t="s">
        <v>5025</v>
      </c>
      <c r="P99" s="402" t="s">
        <v>925</v>
      </c>
      <c r="Q99" s="403" t="s">
        <v>5026</v>
      </c>
      <c r="R99" s="233"/>
      <c r="S99" s="234">
        <f>IF(C99="",NA(),MATCH($B99&amp;$C99,'Smelter Reference List'!$J:$J,0))</f>
        <v>410</v>
      </c>
      <c r="T99" s="235"/>
      <c r="U99" s="235">
        <f t="shared" si="2"/>
        <v>0</v>
      </c>
      <c r="V99" s="235"/>
      <c r="W99" s="235"/>
      <c r="Y99" s="228" t="str">
        <f t="shared" si="3"/>
        <v>TinPT DS Jaya Abadi</v>
      </c>
    </row>
    <row r="100" spans="1:25" s="228" customFormat="1" ht="20.25">
      <c r="A100" s="400" t="s">
        <v>1391</v>
      </c>
      <c r="B100" s="396" t="s">
        <v>2324</v>
      </c>
      <c r="C100" s="397" t="s">
        <v>1195</v>
      </c>
      <c r="D100" s="396" t="s">
        <v>1195</v>
      </c>
      <c r="E100" s="396" t="s">
        <v>2238</v>
      </c>
      <c r="F100" s="396" t="s">
        <v>1391</v>
      </c>
      <c r="G100" s="396" t="s">
        <v>3125</v>
      </c>
      <c r="H100" s="398" t="s">
        <v>5024</v>
      </c>
      <c r="I100" s="399" t="s">
        <v>3500</v>
      </c>
      <c r="J100" s="399" t="s">
        <v>3499</v>
      </c>
      <c r="K100" s="402"/>
      <c r="L100" s="402"/>
      <c r="M100" s="402" t="s">
        <v>5024</v>
      </c>
      <c r="N100" s="402" t="s">
        <v>5024</v>
      </c>
      <c r="O100" s="402" t="s">
        <v>5025</v>
      </c>
      <c r="P100" s="402" t="s">
        <v>925</v>
      </c>
      <c r="Q100" s="403" t="s">
        <v>5026</v>
      </c>
      <c r="R100" s="233"/>
      <c r="S100" s="234">
        <f>IF(C100="",NA(),MATCH($B100&amp;$C100,'Smelter Reference List'!$J:$J,0))</f>
        <v>411</v>
      </c>
      <c r="T100" s="235"/>
      <c r="U100" s="235">
        <f t="shared" si="2"/>
        <v>0</v>
      </c>
      <c r="V100" s="235"/>
      <c r="W100" s="235"/>
      <c r="Y100" s="228" t="str">
        <f t="shared" si="3"/>
        <v>TinPT Eunindo Usaha Mandiri</v>
      </c>
    </row>
    <row r="101" spans="1:25" s="228" customFormat="1" ht="20.25">
      <c r="A101" s="400" t="s">
        <v>2711</v>
      </c>
      <c r="B101" s="396" t="s">
        <v>2324</v>
      </c>
      <c r="C101" s="397" t="s">
        <v>2710</v>
      </c>
      <c r="D101" s="396" t="s">
        <v>2710</v>
      </c>
      <c r="E101" s="396" t="s">
        <v>2238</v>
      </c>
      <c r="F101" s="396" t="s">
        <v>2711</v>
      </c>
      <c r="G101" s="396" t="s">
        <v>3125</v>
      </c>
      <c r="H101" s="398" t="s">
        <v>5024</v>
      </c>
      <c r="I101" s="399" t="s">
        <v>3453</v>
      </c>
      <c r="J101" s="399" t="s">
        <v>3454</v>
      </c>
      <c r="K101" s="402"/>
      <c r="L101" s="402"/>
      <c r="M101" s="402" t="s">
        <v>5024</v>
      </c>
      <c r="N101" s="402" t="s">
        <v>5024</v>
      </c>
      <c r="O101" s="402" t="s">
        <v>5025</v>
      </c>
      <c r="P101" s="402" t="s">
        <v>925</v>
      </c>
      <c r="Q101" s="403" t="s">
        <v>5026</v>
      </c>
      <c r="R101" s="233"/>
      <c r="S101" s="234">
        <f>IF(C101="",NA(),MATCH($B101&amp;$C101,'Smelter Reference List'!$J:$J,0))</f>
        <v>415</v>
      </c>
      <c r="T101" s="235"/>
      <c r="U101" s="235">
        <f t="shared" si="2"/>
        <v>0</v>
      </c>
      <c r="V101" s="235"/>
      <c r="W101" s="235"/>
      <c r="Y101" s="228" t="str">
        <f t="shared" si="3"/>
        <v>TinPT Inti Stania Prima</v>
      </c>
    </row>
    <row r="102" spans="1:25" s="228" customFormat="1" ht="20.25">
      <c r="A102" s="400" t="s">
        <v>4364</v>
      </c>
      <c r="B102" s="396" t="s">
        <v>2324</v>
      </c>
      <c r="C102" s="397" t="s">
        <v>4363</v>
      </c>
      <c r="D102" s="396" t="s">
        <v>4363</v>
      </c>
      <c r="E102" s="396" t="s">
        <v>2238</v>
      </c>
      <c r="F102" s="396" t="s">
        <v>4364</v>
      </c>
      <c r="G102" s="396" t="s">
        <v>3125</v>
      </c>
      <c r="H102" s="398" t="s">
        <v>5024</v>
      </c>
      <c r="I102" s="399" t="s">
        <v>3453</v>
      </c>
      <c r="J102" s="399" t="s">
        <v>3454</v>
      </c>
      <c r="K102" s="402"/>
      <c r="L102" s="402"/>
      <c r="M102" s="402" t="s">
        <v>5024</v>
      </c>
      <c r="N102" s="402" t="s">
        <v>5024</v>
      </c>
      <c r="O102" s="402" t="s">
        <v>5025</v>
      </c>
      <c r="P102" s="402" t="s">
        <v>925</v>
      </c>
      <c r="Q102" s="403" t="s">
        <v>5026</v>
      </c>
      <c r="R102" s="233"/>
      <c r="S102" s="234">
        <f>IF(C102="",NA(),MATCH($B102&amp;$C102,'Smelter Reference List'!$J:$J,0))</f>
        <v>418</v>
      </c>
      <c r="T102" s="235"/>
      <c r="U102" s="235">
        <f t="shared" si="2"/>
        <v>0</v>
      </c>
      <c r="V102" s="235"/>
      <c r="W102" s="235"/>
      <c r="Y102" s="228" t="str">
        <f t="shared" si="3"/>
        <v>TinPT Kijang Jaya Mandiri</v>
      </c>
    </row>
    <row r="103" spans="1:25" s="228" customFormat="1" ht="20.25">
      <c r="A103" s="400" t="s">
        <v>1393</v>
      </c>
      <c r="B103" s="396" t="s">
        <v>2324</v>
      </c>
      <c r="C103" s="397" t="s">
        <v>1196</v>
      </c>
      <c r="D103" s="396" t="s">
        <v>1196</v>
      </c>
      <c r="E103" s="396" t="s">
        <v>2238</v>
      </c>
      <c r="F103" s="396" t="s">
        <v>1393</v>
      </c>
      <c r="G103" s="396" t="s">
        <v>3125</v>
      </c>
      <c r="H103" s="398" t="s">
        <v>5024</v>
      </c>
      <c r="I103" s="399" t="s">
        <v>3453</v>
      </c>
      <c r="J103" s="399" t="s">
        <v>3454</v>
      </c>
      <c r="K103" s="402"/>
      <c r="L103" s="402"/>
      <c r="M103" s="402" t="s">
        <v>5024</v>
      </c>
      <c r="N103" s="402" t="s">
        <v>5024</v>
      </c>
      <c r="O103" s="402" t="s">
        <v>5025</v>
      </c>
      <c r="P103" s="402" t="s">
        <v>925</v>
      </c>
      <c r="Q103" s="403" t="s">
        <v>5026</v>
      </c>
      <c r="R103" s="233"/>
      <c r="S103" s="234">
        <f>IF(C103="",NA(),MATCH($B103&amp;$C103,'Smelter Reference List'!$J:$J,0))</f>
        <v>419</v>
      </c>
      <c r="T103" s="235"/>
      <c r="U103" s="235">
        <f t="shared" si="2"/>
        <v>0</v>
      </c>
      <c r="V103" s="235"/>
      <c r="W103" s="235"/>
      <c r="Y103" s="228" t="str">
        <f t="shared" si="3"/>
        <v>TinPT Mitra Stania Prima</v>
      </c>
    </row>
    <row r="104" spans="1:25" s="228" customFormat="1" ht="20.25">
      <c r="A104" s="400" t="s">
        <v>4747</v>
      </c>
      <c r="B104" s="396" t="s">
        <v>2324</v>
      </c>
      <c r="C104" s="397" t="s">
        <v>4746</v>
      </c>
      <c r="D104" s="396" t="s">
        <v>4746</v>
      </c>
      <c r="E104" s="396" t="s">
        <v>2238</v>
      </c>
      <c r="F104" s="396" t="s">
        <v>4747</v>
      </c>
      <c r="G104" s="396" t="s">
        <v>3125</v>
      </c>
      <c r="H104" s="398" t="s">
        <v>5024</v>
      </c>
      <c r="I104" s="399" t="s">
        <v>4771</v>
      </c>
      <c r="J104" s="399" t="s">
        <v>3502</v>
      </c>
      <c r="K104" s="402"/>
      <c r="L104" s="402"/>
      <c r="M104" s="402" t="s">
        <v>5024</v>
      </c>
      <c r="N104" s="402" t="s">
        <v>5024</v>
      </c>
      <c r="O104" s="402" t="s">
        <v>5025</v>
      </c>
      <c r="P104" s="402" t="s">
        <v>925</v>
      </c>
      <c r="Q104" s="403" t="s">
        <v>5026</v>
      </c>
      <c r="R104" s="233"/>
      <c r="S104" s="234">
        <f>IF(C104="",NA(),MATCH($B104&amp;$C104,'Smelter Reference List'!$J:$J,0))</f>
        <v>420</v>
      </c>
      <c r="T104" s="235"/>
      <c r="U104" s="235">
        <f t="shared" si="2"/>
        <v>0</v>
      </c>
      <c r="V104" s="235"/>
      <c r="W104" s="235"/>
      <c r="Y104" s="228" t="str">
        <f t="shared" si="3"/>
        <v>TinPT O.M. Indonesia</v>
      </c>
    </row>
    <row r="105" spans="1:25" s="228" customFormat="1" ht="20.25">
      <c r="A105" s="400" t="s">
        <v>2679</v>
      </c>
      <c r="B105" s="396" t="s">
        <v>2324</v>
      </c>
      <c r="C105" s="397" t="s">
        <v>2678</v>
      </c>
      <c r="D105" s="396" t="s">
        <v>2678</v>
      </c>
      <c r="E105" s="396" t="s">
        <v>2238</v>
      </c>
      <c r="F105" s="396" t="s">
        <v>2679</v>
      </c>
      <c r="G105" s="396" t="s">
        <v>3125</v>
      </c>
      <c r="H105" s="398" t="s">
        <v>5024</v>
      </c>
      <c r="I105" s="399" t="s">
        <v>3453</v>
      </c>
      <c r="J105" s="399" t="s">
        <v>3454</v>
      </c>
      <c r="K105" s="402"/>
      <c r="L105" s="402"/>
      <c r="M105" s="402" t="s">
        <v>5024</v>
      </c>
      <c r="N105" s="402" t="s">
        <v>5024</v>
      </c>
      <c r="O105" s="402" t="s">
        <v>5025</v>
      </c>
      <c r="P105" s="402" t="s">
        <v>925</v>
      </c>
      <c r="Q105" s="403" t="s">
        <v>5026</v>
      </c>
      <c r="R105" s="233"/>
      <c r="S105" s="234">
        <f>IF(C105="",NA(),MATCH($B105&amp;$C105,'Smelter Reference List'!$J:$J,0))</f>
        <v>421</v>
      </c>
      <c r="T105" s="235"/>
      <c r="U105" s="235">
        <f t="shared" si="2"/>
        <v>0</v>
      </c>
      <c r="V105" s="235"/>
      <c r="W105" s="235"/>
      <c r="Y105" s="228" t="str">
        <f t="shared" si="3"/>
        <v>TinPT Panca Mega Persada</v>
      </c>
    </row>
    <row r="106" spans="1:25" s="228" customFormat="1" ht="20.25">
      <c r="A106" s="400" t="s">
        <v>1395</v>
      </c>
      <c r="B106" s="396" t="s">
        <v>2324</v>
      </c>
      <c r="C106" s="397" t="s">
        <v>1394</v>
      </c>
      <c r="D106" s="396" t="s">
        <v>1394</v>
      </c>
      <c r="E106" s="396" t="s">
        <v>2238</v>
      </c>
      <c r="F106" s="396" t="s">
        <v>1395</v>
      </c>
      <c r="G106" s="396" t="s">
        <v>3125</v>
      </c>
      <c r="H106" s="398" t="s">
        <v>5024</v>
      </c>
      <c r="I106" s="399" t="s">
        <v>3457</v>
      </c>
      <c r="J106" s="399" t="s">
        <v>3454</v>
      </c>
      <c r="K106" s="402"/>
      <c r="L106" s="402"/>
      <c r="M106" s="402" t="s">
        <v>5024</v>
      </c>
      <c r="N106" s="402" t="s">
        <v>5024</v>
      </c>
      <c r="O106" s="402" t="s">
        <v>5025</v>
      </c>
      <c r="P106" s="402" t="s">
        <v>925</v>
      </c>
      <c r="Q106" s="403" t="s">
        <v>5026</v>
      </c>
      <c r="R106" s="233"/>
      <c r="S106" s="234">
        <f>IF(C106="",NA(),MATCH($B106&amp;$C106,'Smelter Reference List'!$J:$J,0))</f>
        <v>423</v>
      </c>
      <c r="T106" s="235"/>
      <c r="U106" s="235">
        <f t="shared" si="2"/>
        <v>0</v>
      </c>
      <c r="V106" s="235"/>
      <c r="W106" s="235"/>
      <c r="Y106" s="228" t="str">
        <f t="shared" si="3"/>
        <v>TinPT Prima Timah Utama</v>
      </c>
    </row>
    <row r="107" spans="1:25" s="228" customFormat="1" ht="20.25">
      <c r="A107" s="400" t="s">
        <v>1396</v>
      </c>
      <c r="B107" s="396" t="s">
        <v>2324</v>
      </c>
      <c r="C107" s="397" t="s">
        <v>4169</v>
      </c>
      <c r="D107" s="396" t="s">
        <v>4169</v>
      </c>
      <c r="E107" s="396" t="s">
        <v>2238</v>
      </c>
      <c r="F107" s="396" t="s">
        <v>1396</v>
      </c>
      <c r="G107" s="396" t="s">
        <v>3125</v>
      </c>
      <c r="H107" s="398" t="s">
        <v>5024</v>
      </c>
      <c r="I107" s="399" t="s">
        <v>3453</v>
      </c>
      <c r="J107" s="399" t="s">
        <v>3454</v>
      </c>
      <c r="K107" s="402"/>
      <c r="L107" s="402"/>
      <c r="M107" s="402" t="s">
        <v>5024</v>
      </c>
      <c r="N107" s="402" t="s">
        <v>5024</v>
      </c>
      <c r="O107" s="402" t="s">
        <v>5025</v>
      </c>
      <c r="P107" s="402" t="s">
        <v>925</v>
      </c>
      <c r="Q107" s="403" t="s">
        <v>5026</v>
      </c>
      <c r="R107" s="233"/>
      <c r="S107" s="234">
        <f>IF(C107="",NA(),MATCH($B107&amp;$C107,'Smelter Reference List'!$J:$J,0))</f>
        <v>424</v>
      </c>
      <c r="T107" s="235"/>
      <c r="U107" s="235">
        <f t="shared" si="2"/>
        <v>0</v>
      </c>
      <c r="V107" s="235"/>
      <c r="W107" s="235"/>
      <c r="Y107" s="228" t="str">
        <f t="shared" si="3"/>
        <v>TinPT Refined Bangka Tin</v>
      </c>
    </row>
    <row r="108" spans="1:25" s="228" customFormat="1" ht="20.25">
      <c r="A108" s="400" t="s">
        <v>1397</v>
      </c>
      <c r="B108" s="396" t="s">
        <v>2324</v>
      </c>
      <c r="C108" s="397" t="s">
        <v>1197</v>
      </c>
      <c r="D108" s="396" t="s">
        <v>1197</v>
      </c>
      <c r="E108" s="396" t="s">
        <v>2238</v>
      </c>
      <c r="F108" s="396" t="s">
        <v>1397</v>
      </c>
      <c r="G108" s="396" t="s">
        <v>3125</v>
      </c>
      <c r="H108" s="398" t="s">
        <v>5024</v>
      </c>
      <c r="I108" s="399" t="s">
        <v>3457</v>
      </c>
      <c r="J108" s="399" t="s">
        <v>3454</v>
      </c>
      <c r="K108" s="402"/>
      <c r="L108" s="402"/>
      <c r="M108" s="402" t="s">
        <v>5024</v>
      </c>
      <c r="N108" s="402" t="s">
        <v>5024</v>
      </c>
      <c r="O108" s="402" t="s">
        <v>5025</v>
      </c>
      <c r="P108" s="402" t="s">
        <v>925</v>
      </c>
      <c r="Q108" s="403" t="s">
        <v>5026</v>
      </c>
      <c r="R108" s="233"/>
      <c r="S108" s="234">
        <f>IF(C108="",NA(),MATCH($B108&amp;$C108,'Smelter Reference List'!$J:$J,0))</f>
        <v>425</v>
      </c>
      <c r="T108" s="235"/>
      <c r="U108" s="235">
        <f t="shared" si="2"/>
        <v>0</v>
      </c>
      <c r="V108" s="235"/>
      <c r="W108" s="235"/>
      <c r="Y108" s="228" t="str">
        <f t="shared" si="3"/>
        <v>TinPT Sariwiguna Binasentosa</v>
      </c>
    </row>
    <row r="109" spans="1:25" s="228" customFormat="1" ht="20.25">
      <c r="A109" s="400" t="s">
        <v>1398</v>
      </c>
      <c r="B109" s="396" t="s">
        <v>2324</v>
      </c>
      <c r="C109" s="397" t="s">
        <v>2369</v>
      </c>
      <c r="D109" s="396" t="s">
        <v>2369</v>
      </c>
      <c r="E109" s="396" t="s">
        <v>2238</v>
      </c>
      <c r="F109" s="396" t="s">
        <v>1398</v>
      </c>
      <c r="G109" s="396" t="s">
        <v>3125</v>
      </c>
      <c r="H109" s="398" t="s">
        <v>5024</v>
      </c>
      <c r="I109" s="399" t="s">
        <v>3457</v>
      </c>
      <c r="J109" s="399" t="s">
        <v>3454</v>
      </c>
      <c r="K109" s="402"/>
      <c r="L109" s="402"/>
      <c r="M109" s="402" t="s">
        <v>5024</v>
      </c>
      <c r="N109" s="402" t="s">
        <v>5024</v>
      </c>
      <c r="O109" s="402" t="s">
        <v>5025</v>
      </c>
      <c r="P109" s="402" t="s">
        <v>925</v>
      </c>
      <c r="Q109" s="403" t="s">
        <v>5026</v>
      </c>
      <c r="R109" s="233"/>
      <c r="S109" s="234">
        <f>IF(C109="",NA(),MATCH($B109&amp;$C109,'Smelter Reference List'!$J:$J,0))</f>
        <v>427</v>
      </c>
      <c r="T109" s="235"/>
      <c r="U109" s="235">
        <f t="shared" si="2"/>
        <v>0</v>
      </c>
      <c r="V109" s="235"/>
      <c r="W109" s="235"/>
      <c r="Y109" s="228" t="str">
        <f t="shared" si="3"/>
        <v>TinPT Stanindo Inti Perkasa</v>
      </c>
    </row>
    <row r="110" spans="1:25" s="228" customFormat="1" ht="20.25">
      <c r="A110" s="400" t="s">
        <v>4321</v>
      </c>
      <c r="B110" s="396" t="s">
        <v>2324</v>
      </c>
      <c r="C110" s="397" t="s">
        <v>4320</v>
      </c>
      <c r="D110" s="396" t="s">
        <v>4320</v>
      </c>
      <c r="E110" s="396" t="s">
        <v>2238</v>
      </c>
      <c r="F110" s="396" t="s">
        <v>4321</v>
      </c>
      <c r="G110" s="396" t="s">
        <v>3125</v>
      </c>
      <c r="H110" s="398" t="s">
        <v>5024</v>
      </c>
      <c r="I110" s="399" t="s">
        <v>3455</v>
      </c>
      <c r="J110" s="399" t="s">
        <v>3454</v>
      </c>
      <c r="K110" s="402"/>
      <c r="L110" s="402"/>
      <c r="M110" s="402" t="s">
        <v>5024</v>
      </c>
      <c r="N110" s="402" t="s">
        <v>5024</v>
      </c>
      <c r="O110" s="402" t="s">
        <v>5025</v>
      </c>
      <c r="P110" s="402" t="s">
        <v>925</v>
      </c>
      <c r="Q110" s="403" t="s">
        <v>5026</v>
      </c>
      <c r="R110" s="233"/>
      <c r="S110" s="234">
        <f>IF(C110="",NA(),MATCH($B110&amp;$C110,'Smelter Reference List'!$J:$J,0))</f>
        <v>428</v>
      </c>
      <c r="T110" s="235"/>
      <c r="U110" s="235">
        <f t="shared" si="2"/>
        <v>0</v>
      </c>
      <c r="V110" s="235"/>
      <c r="W110" s="235"/>
      <c r="Y110" s="228" t="str">
        <f t="shared" si="3"/>
        <v>TinPT Sukses Inti Makmur</v>
      </c>
    </row>
    <row r="111" spans="1:25" s="228" customFormat="1" ht="20.25">
      <c r="A111" s="400" t="s">
        <v>2682</v>
      </c>
      <c r="B111" s="396" t="s">
        <v>2324</v>
      </c>
      <c r="C111" s="397" t="s">
        <v>2681</v>
      </c>
      <c r="D111" s="396" t="s">
        <v>2681</v>
      </c>
      <c r="E111" s="396" t="s">
        <v>2238</v>
      </c>
      <c r="F111" s="396" t="s">
        <v>2682</v>
      </c>
      <c r="G111" s="396" t="s">
        <v>3125</v>
      </c>
      <c r="H111" s="398" t="s">
        <v>5024</v>
      </c>
      <c r="I111" s="399" t="s">
        <v>3457</v>
      </c>
      <c r="J111" s="399" t="s">
        <v>3454</v>
      </c>
      <c r="K111" s="402"/>
      <c r="L111" s="402"/>
      <c r="M111" s="402" t="s">
        <v>5024</v>
      </c>
      <c r="N111" s="402" t="s">
        <v>5024</v>
      </c>
      <c r="O111" s="402" t="s">
        <v>5025</v>
      </c>
      <c r="P111" s="402" t="s">
        <v>925</v>
      </c>
      <c r="Q111" s="403" t="s">
        <v>5026</v>
      </c>
      <c r="R111" s="233"/>
      <c r="S111" s="234">
        <f>IF(C111="",NA(),MATCH($B111&amp;$C111,'Smelter Reference List'!$J:$J,0))</f>
        <v>429</v>
      </c>
      <c r="T111" s="235"/>
      <c r="U111" s="235">
        <f t="shared" si="2"/>
        <v>0</v>
      </c>
      <c r="V111" s="235"/>
      <c r="W111" s="235"/>
      <c r="Y111" s="228" t="str">
        <f t="shared" si="3"/>
        <v>TinPT Sumber Jaya Indah</v>
      </c>
    </row>
    <row r="112" spans="1:25" s="228" customFormat="1" ht="20.25">
      <c r="A112" s="400" t="s">
        <v>1424</v>
      </c>
      <c r="B112" s="396" t="s">
        <v>2324</v>
      </c>
      <c r="C112" s="397" t="s">
        <v>3503</v>
      </c>
      <c r="D112" s="396" t="s">
        <v>3503</v>
      </c>
      <c r="E112" s="396" t="s">
        <v>2238</v>
      </c>
      <c r="F112" s="396" t="s">
        <v>1424</v>
      </c>
      <c r="G112" s="396" t="s">
        <v>3125</v>
      </c>
      <c r="H112" s="398" t="s">
        <v>5024</v>
      </c>
      <c r="I112" s="399" t="s">
        <v>3504</v>
      </c>
      <c r="J112" s="399" t="s">
        <v>3505</v>
      </c>
      <c r="K112" s="402"/>
      <c r="L112" s="402"/>
      <c r="M112" s="402" t="s">
        <v>5024</v>
      </c>
      <c r="N112" s="402" t="s">
        <v>5024</v>
      </c>
      <c r="O112" s="402" t="s">
        <v>5025</v>
      </c>
      <c r="P112" s="402" t="s">
        <v>925</v>
      </c>
      <c r="Q112" s="403" t="s">
        <v>5026</v>
      </c>
      <c r="R112" s="233"/>
      <c r="S112" s="234">
        <f>IF(C112="",NA(),MATCH($B112&amp;$C112,'Smelter Reference List'!$J:$J,0))</f>
        <v>431</v>
      </c>
      <c r="T112" s="235"/>
      <c r="U112" s="235">
        <f t="shared" si="2"/>
        <v>0</v>
      </c>
      <c r="V112" s="235"/>
      <c r="W112" s="235"/>
      <c r="Y112" s="228" t="str">
        <f t="shared" si="3"/>
        <v>TinPT Timah (Persero) Tbk Kundur</v>
      </c>
    </row>
    <row r="113" spans="1:25" s="228" customFormat="1" ht="20.25">
      <c r="A113" s="400" t="s">
        <v>1399</v>
      </c>
      <c r="B113" s="396" t="s">
        <v>2324</v>
      </c>
      <c r="C113" s="397" t="s">
        <v>4266</v>
      </c>
      <c r="D113" s="396" t="s">
        <v>4266</v>
      </c>
      <c r="E113" s="396" t="s">
        <v>2238</v>
      </c>
      <c r="F113" s="396" t="s">
        <v>1399</v>
      </c>
      <c r="G113" s="396" t="s">
        <v>3125</v>
      </c>
      <c r="H113" s="398" t="s">
        <v>5024</v>
      </c>
      <c r="I113" s="399" t="s">
        <v>3507</v>
      </c>
      <c r="J113" s="399" t="s">
        <v>3454</v>
      </c>
      <c r="K113" s="402"/>
      <c r="L113" s="402"/>
      <c r="M113" s="402" t="s">
        <v>5024</v>
      </c>
      <c r="N113" s="402" t="s">
        <v>5024</v>
      </c>
      <c r="O113" s="402" t="s">
        <v>5025</v>
      </c>
      <c r="P113" s="402" t="s">
        <v>925</v>
      </c>
      <c r="Q113" s="403" t="s">
        <v>5026</v>
      </c>
      <c r="R113" s="233"/>
      <c r="S113" s="234">
        <f>IF(C113="",NA(),MATCH($B113&amp;$C113,'Smelter Reference List'!$J:$J,0))</f>
        <v>432</v>
      </c>
      <c r="T113" s="235"/>
      <c r="U113" s="235">
        <f t="shared" si="2"/>
        <v>0</v>
      </c>
      <c r="V113" s="235"/>
      <c r="W113" s="235"/>
      <c r="Y113" s="228" t="str">
        <f t="shared" si="3"/>
        <v>TinPT Timah (Persero) Tbk Mentok</v>
      </c>
    </row>
    <row r="114" spans="1:25" s="228" customFormat="1" ht="20.25">
      <c r="A114" s="400" t="s">
        <v>1400</v>
      </c>
      <c r="B114" s="396" t="s">
        <v>2324</v>
      </c>
      <c r="C114" s="397" t="s">
        <v>972</v>
      </c>
      <c r="D114" s="396" t="s">
        <v>972</v>
      </c>
      <c r="E114" s="396" t="s">
        <v>2238</v>
      </c>
      <c r="F114" s="396" t="s">
        <v>1400</v>
      </c>
      <c r="G114" s="396" t="s">
        <v>3125</v>
      </c>
      <c r="H114" s="398" t="s">
        <v>5024</v>
      </c>
      <c r="I114" s="399" t="s">
        <v>3457</v>
      </c>
      <c r="J114" s="399" t="s">
        <v>3454</v>
      </c>
      <c r="K114" s="402"/>
      <c r="L114" s="402"/>
      <c r="M114" s="402" t="s">
        <v>5024</v>
      </c>
      <c r="N114" s="402" t="s">
        <v>5024</v>
      </c>
      <c r="O114" s="402" t="s">
        <v>5025</v>
      </c>
      <c r="P114" s="402" t="s">
        <v>925</v>
      </c>
      <c r="Q114" s="403" t="s">
        <v>5026</v>
      </c>
      <c r="R114" s="233"/>
      <c r="S114" s="234">
        <f>IF(C114="",NA(),MATCH($B114&amp;$C114,'Smelter Reference List'!$J:$J,0))</f>
        <v>434</v>
      </c>
      <c r="T114" s="235"/>
      <c r="U114" s="235">
        <f t="shared" si="2"/>
        <v>0</v>
      </c>
      <c r="V114" s="235"/>
      <c r="W114" s="235"/>
      <c r="Y114" s="228" t="str">
        <f t="shared" si="3"/>
        <v>TinPT Tinindo Inter Nusa</v>
      </c>
    </row>
    <row r="115" spans="1:25" s="228" customFormat="1" ht="20.25">
      <c r="A115" s="400" t="s">
        <v>4330</v>
      </c>
      <c r="B115" s="396" t="s">
        <v>2324</v>
      </c>
      <c r="C115" s="397" t="s">
        <v>4329</v>
      </c>
      <c r="D115" s="396" t="s">
        <v>4329</v>
      </c>
      <c r="E115" s="396" t="s">
        <v>2238</v>
      </c>
      <c r="F115" s="396" t="s">
        <v>4330</v>
      </c>
      <c r="G115" s="396" t="s">
        <v>3125</v>
      </c>
      <c r="H115" s="398" t="s">
        <v>5024</v>
      </c>
      <c r="I115" s="399" t="s">
        <v>4773</v>
      </c>
      <c r="J115" s="399" t="s">
        <v>4772</v>
      </c>
      <c r="K115" s="402"/>
      <c r="L115" s="402"/>
      <c r="M115" s="402" t="s">
        <v>5024</v>
      </c>
      <c r="N115" s="402" t="s">
        <v>5024</v>
      </c>
      <c r="O115" s="402" t="s">
        <v>5025</v>
      </c>
      <c r="P115" s="402" t="s">
        <v>925</v>
      </c>
      <c r="Q115" s="403" t="s">
        <v>5026</v>
      </c>
      <c r="R115" s="233"/>
      <c r="S115" s="234">
        <f>IF(C115="",NA(),MATCH($B115&amp;$C115,'Smelter Reference List'!$J:$J,0))</f>
        <v>436</v>
      </c>
      <c r="T115" s="235"/>
      <c r="U115" s="235">
        <f t="shared" si="2"/>
        <v>0</v>
      </c>
      <c r="V115" s="235"/>
      <c r="W115" s="235"/>
      <c r="Y115" s="228" t="str">
        <f t="shared" si="3"/>
        <v>TinPT Tommy Utama</v>
      </c>
    </row>
    <row r="116" spans="1:25" s="228" customFormat="1" ht="20.25">
      <c r="A116" s="400" t="s">
        <v>2714</v>
      </c>
      <c r="B116" s="396" t="s">
        <v>2324</v>
      </c>
      <c r="C116" s="397" t="s">
        <v>4187</v>
      </c>
      <c r="D116" s="396" t="s">
        <v>4187</v>
      </c>
      <c r="E116" s="396" t="s">
        <v>2238</v>
      </c>
      <c r="F116" s="396" t="s">
        <v>2714</v>
      </c>
      <c r="G116" s="396" t="s">
        <v>3125</v>
      </c>
      <c r="H116" s="398" t="s">
        <v>5024</v>
      </c>
      <c r="I116" s="399" t="s">
        <v>3525</v>
      </c>
      <c r="J116" s="399" t="s">
        <v>3526</v>
      </c>
      <c r="K116" s="402"/>
      <c r="L116" s="402"/>
      <c r="M116" s="402" t="s">
        <v>5024</v>
      </c>
      <c r="N116" s="402" t="s">
        <v>5024</v>
      </c>
      <c r="O116" s="402" t="s">
        <v>5025</v>
      </c>
      <c r="P116" s="402" t="s">
        <v>925</v>
      </c>
      <c r="Q116" s="403" t="s">
        <v>5026</v>
      </c>
      <c r="R116" s="233"/>
      <c r="S116" s="234">
        <f>IF(C116="",NA(),MATCH($B116&amp;$C116,'Smelter Reference List'!$J:$J,0))</f>
        <v>437</v>
      </c>
      <c r="T116" s="235"/>
      <c r="U116" s="235">
        <f t="shared" si="2"/>
        <v>0</v>
      </c>
      <c r="V116" s="235"/>
      <c r="W116" s="235"/>
      <c r="Y116" s="228" t="str">
        <f t="shared" si="3"/>
        <v>TinPT Wahana Perkit Jaya</v>
      </c>
    </row>
    <row r="117" spans="1:25" s="228" customFormat="1" ht="20.25">
      <c r="A117" s="400" t="s">
        <v>3545</v>
      </c>
      <c r="B117" s="396" t="s">
        <v>2324</v>
      </c>
      <c r="C117" s="397" t="s">
        <v>4294</v>
      </c>
      <c r="D117" s="396" t="s">
        <v>4294</v>
      </c>
      <c r="E117" s="396" t="s">
        <v>2170</v>
      </c>
      <c r="F117" s="396" t="s">
        <v>3545</v>
      </c>
      <c r="G117" s="396" t="s">
        <v>3125</v>
      </c>
      <c r="H117" s="398" t="s">
        <v>5024</v>
      </c>
      <c r="I117" s="399" t="s">
        <v>3381</v>
      </c>
      <c r="J117" s="399" t="s">
        <v>3436</v>
      </c>
      <c r="K117" s="402"/>
      <c r="L117" s="402"/>
      <c r="M117" s="402" t="s">
        <v>5024</v>
      </c>
      <c r="N117" s="402" t="s">
        <v>5024</v>
      </c>
      <c r="O117" s="402" t="s">
        <v>5025</v>
      </c>
      <c r="P117" s="402" t="s">
        <v>925</v>
      </c>
      <c r="Q117" s="403" t="s">
        <v>5026</v>
      </c>
      <c r="R117" s="233"/>
      <c r="S117" s="234">
        <f>IF(C117="",NA(),MATCH($B117&amp;$C117,'Smelter Reference List'!$J:$J,0))</f>
        <v>438</v>
      </c>
      <c r="T117" s="235"/>
      <c r="U117" s="235">
        <f t="shared" si="2"/>
        <v>0</v>
      </c>
      <c r="V117" s="235"/>
      <c r="W117" s="235"/>
      <c r="Y117" s="228" t="str">
        <f t="shared" si="3"/>
        <v>TinResind Indústria e Comércio Ltda.</v>
      </c>
    </row>
    <row r="118" spans="1:25" s="228" customFormat="1" ht="25.5">
      <c r="A118" s="400" t="s">
        <v>1402</v>
      </c>
      <c r="B118" s="396" t="s">
        <v>2324</v>
      </c>
      <c r="C118" s="397" t="s">
        <v>1401</v>
      </c>
      <c r="D118" s="396" t="s">
        <v>1401</v>
      </c>
      <c r="E118" s="396" t="s">
        <v>5018</v>
      </c>
      <c r="F118" s="396" t="s">
        <v>1402</v>
      </c>
      <c r="G118" s="396" t="s">
        <v>3125</v>
      </c>
      <c r="H118" s="398" t="s">
        <v>5024</v>
      </c>
      <c r="I118" s="399" t="s">
        <v>3508</v>
      </c>
      <c r="J118" s="399" t="s">
        <v>3296</v>
      </c>
      <c r="K118" s="402"/>
      <c r="L118" s="402"/>
      <c r="M118" s="402" t="s">
        <v>5024</v>
      </c>
      <c r="N118" s="402" t="s">
        <v>5024</v>
      </c>
      <c r="O118" s="402" t="s">
        <v>5025</v>
      </c>
      <c r="P118" s="402" t="s">
        <v>925</v>
      </c>
      <c r="Q118" s="403" t="s">
        <v>5026</v>
      </c>
      <c r="R118" s="233"/>
      <c r="S118" s="234">
        <f>IF(C118="",NA(),MATCH($B118&amp;$C118,'Smelter Reference List'!$J:$J,0))</f>
        <v>439</v>
      </c>
      <c r="T118" s="235"/>
      <c r="U118" s="235">
        <f t="shared" si="2"/>
        <v>0</v>
      </c>
      <c r="V118" s="235"/>
      <c r="W118" s="235"/>
      <c r="Y118" s="228" t="str">
        <f t="shared" si="3"/>
        <v>TinRui Da Hung</v>
      </c>
    </row>
    <row r="119" spans="1:25" s="228" customFormat="1" ht="20.25">
      <c r="A119" s="400" t="s">
        <v>1403</v>
      </c>
      <c r="B119" s="396" t="s">
        <v>2324</v>
      </c>
      <c r="C119" s="397" t="s">
        <v>4176</v>
      </c>
      <c r="D119" s="396" t="s">
        <v>4176</v>
      </c>
      <c r="E119" s="396" t="s">
        <v>2170</v>
      </c>
      <c r="F119" s="396" t="s">
        <v>1403</v>
      </c>
      <c r="G119" s="396" t="s">
        <v>3125</v>
      </c>
      <c r="H119" s="398" t="s">
        <v>5024</v>
      </c>
      <c r="I119" s="399" t="s">
        <v>3509</v>
      </c>
      <c r="J119" s="399" t="s">
        <v>3313</v>
      </c>
      <c r="K119" s="402"/>
      <c r="L119" s="402"/>
      <c r="M119" s="402" t="s">
        <v>5024</v>
      </c>
      <c r="N119" s="402" t="s">
        <v>5024</v>
      </c>
      <c r="O119" s="402" t="s">
        <v>5025</v>
      </c>
      <c r="P119" s="402" t="s">
        <v>925</v>
      </c>
      <c r="Q119" s="403" t="s">
        <v>5026</v>
      </c>
      <c r="R119" s="233"/>
      <c r="S119" s="234">
        <f>IF(C119="",NA(),MATCH($B119&amp;$C119,'Smelter Reference List'!$J:$J,0))</f>
        <v>442</v>
      </c>
      <c r="T119" s="235"/>
      <c r="U119" s="235">
        <f t="shared" si="2"/>
        <v>0</v>
      </c>
      <c r="V119" s="235"/>
      <c r="W119" s="235"/>
      <c r="Y119" s="228" t="str">
        <f t="shared" si="3"/>
        <v>TinSoft Metais Ltda.</v>
      </c>
    </row>
    <row r="120" spans="1:25" s="228" customFormat="1" ht="20.25">
      <c r="A120" s="400" t="s">
        <v>1404</v>
      </c>
      <c r="B120" s="396" t="s">
        <v>2324</v>
      </c>
      <c r="C120" s="397" t="s">
        <v>1951</v>
      </c>
      <c r="D120" s="396" t="s">
        <v>1951</v>
      </c>
      <c r="E120" s="396" t="s">
        <v>1743</v>
      </c>
      <c r="F120" s="396" t="s">
        <v>1404</v>
      </c>
      <c r="G120" s="396" t="s">
        <v>3125</v>
      </c>
      <c r="H120" s="398" t="s">
        <v>5024</v>
      </c>
      <c r="I120" s="399" t="s">
        <v>3510</v>
      </c>
      <c r="J120" s="399" t="s">
        <v>3511</v>
      </c>
      <c r="K120" s="402"/>
      <c r="L120" s="402"/>
      <c r="M120" s="402" t="s">
        <v>5024</v>
      </c>
      <c r="N120" s="402" t="s">
        <v>5024</v>
      </c>
      <c r="O120" s="402" t="s">
        <v>5027</v>
      </c>
      <c r="P120" s="402" t="s">
        <v>925</v>
      </c>
      <c r="Q120" s="403" t="s">
        <v>5026</v>
      </c>
      <c r="R120" s="233"/>
      <c r="S120" s="234">
        <f>IF(C120="",NA(),MATCH($B120&amp;$C120,'Smelter Reference List'!$J:$J,0))</f>
        <v>445</v>
      </c>
      <c r="T120" s="235"/>
      <c r="U120" s="235">
        <f t="shared" si="2"/>
        <v>0</v>
      </c>
      <c r="V120" s="235"/>
      <c r="W120" s="235"/>
      <c r="Y120" s="228" t="str">
        <f t="shared" si="3"/>
        <v>TinThaisarco</v>
      </c>
    </row>
    <row r="121" spans="1:25" s="228" customFormat="1" ht="25.5">
      <c r="A121" s="400" t="s">
        <v>3540</v>
      </c>
      <c r="B121" s="396" t="s">
        <v>2324</v>
      </c>
      <c r="C121" s="397" t="s">
        <v>3539</v>
      </c>
      <c r="D121" s="396" t="s">
        <v>3539</v>
      </c>
      <c r="E121" s="396" t="s">
        <v>1766</v>
      </c>
      <c r="F121" s="396" t="s">
        <v>3540</v>
      </c>
      <c r="G121" s="396" t="s">
        <v>3125</v>
      </c>
      <c r="H121" s="398" t="s">
        <v>5024</v>
      </c>
      <c r="I121" s="399" t="s">
        <v>3541</v>
      </c>
      <c r="J121" s="399" t="s">
        <v>3542</v>
      </c>
      <c r="K121" s="402"/>
      <c r="L121" s="402"/>
      <c r="M121" s="402" t="s">
        <v>5030</v>
      </c>
      <c r="N121" s="402" t="s">
        <v>5024</v>
      </c>
      <c r="O121" s="402" t="s">
        <v>926</v>
      </c>
      <c r="P121" s="402" t="s">
        <v>5024</v>
      </c>
      <c r="Q121" s="403" t="s">
        <v>5024</v>
      </c>
      <c r="R121" s="233"/>
      <c r="S121" s="234">
        <f>IF(C121="",NA(),MATCH($B121&amp;$C121,'Smelter Reference List'!$J:$J,0))</f>
        <v>449</v>
      </c>
      <c r="T121" s="235"/>
      <c r="U121" s="235">
        <f t="shared" si="2"/>
        <v>0</v>
      </c>
      <c r="V121" s="235"/>
      <c r="W121" s="235"/>
      <c r="Y121" s="228" t="str">
        <f t="shared" si="3"/>
        <v>TinTuyen Quang Non-Ferrous Metals Joint Stock Company</v>
      </c>
    </row>
    <row r="122" spans="1:25" s="228" customFormat="1" ht="20.25">
      <c r="A122" s="400" t="s">
        <v>3518</v>
      </c>
      <c r="B122" s="396" t="s">
        <v>2324</v>
      </c>
      <c r="C122" s="397" t="s">
        <v>3517</v>
      </c>
      <c r="D122" s="396" t="s">
        <v>3517</v>
      </c>
      <c r="E122" s="396" t="s">
        <v>1766</v>
      </c>
      <c r="F122" s="396" t="s">
        <v>3518</v>
      </c>
      <c r="G122" s="396" t="s">
        <v>3125</v>
      </c>
      <c r="H122" s="398" t="s">
        <v>5024</v>
      </c>
      <c r="I122" s="399" t="s">
        <v>3519</v>
      </c>
      <c r="J122" s="399" t="s">
        <v>3520</v>
      </c>
      <c r="K122" s="402"/>
      <c r="L122" s="402"/>
      <c r="M122" s="402" t="s">
        <v>5024</v>
      </c>
      <c r="N122" s="402" t="s">
        <v>5024</v>
      </c>
      <c r="O122" s="402" t="s">
        <v>5025</v>
      </c>
      <c r="P122" s="402" t="s">
        <v>925</v>
      </c>
      <c r="Q122" s="403" t="s">
        <v>5026</v>
      </c>
      <c r="R122" s="233"/>
      <c r="S122" s="234">
        <f>IF(C122="",NA(),MATCH($B122&amp;$C122,'Smelter Reference List'!$J:$J,0))</f>
        <v>451</v>
      </c>
      <c r="T122" s="235"/>
      <c r="U122" s="235">
        <f t="shared" si="2"/>
        <v>0</v>
      </c>
      <c r="V122" s="235"/>
      <c r="W122" s="235"/>
      <c r="Y122" s="228" t="str">
        <f t="shared" si="3"/>
        <v>TinVQB Mineral and Trading Group JSC</v>
      </c>
    </row>
    <row r="123" spans="1:25" s="228" customFormat="1" ht="20.25">
      <c r="A123" s="400" t="s">
        <v>1405</v>
      </c>
      <c r="B123" s="396" t="s">
        <v>2324</v>
      </c>
      <c r="C123" s="397" t="s">
        <v>68</v>
      </c>
      <c r="D123" s="396" t="s">
        <v>68</v>
      </c>
      <c r="E123" s="396" t="s">
        <v>2170</v>
      </c>
      <c r="F123" s="396" t="s">
        <v>1405</v>
      </c>
      <c r="G123" s="396" t="s">
        <v>3125</v>
      </c>
      <c r="H123" s="398" t="s">
        <v>5024</v>
      </c>
      <c r="I123" s="399" t="s">
        <v>3451</v>
      </c>
      <c r="J123" s="399" t="s">
        <v>3452</v>
      </c>
      <c r="K123" s="402"/>
      <c r="L123" s="402"/>
      <c r="M123" s="402" t="s">
        <v>5024</v>
      </c>
      <c r="N123" s="402" t="s">
        <v>5024</v>
      </c>
      <c r="O123" s="402" t="s">
        <v>5025</v>
      </c>
      <c r="P123" s="402" t="s">
        <v>925</v>
      </c>
      <c r="Q123" s="403" t="s">
        <v>5026</v>
      </c>
      <c r="R123" s="233"/>
      <c r="S123" s="234">
        <f>IF(C123="",NA(),MATCH($B123&amp;$C123,'Smelter Reference List'!$J:$J,0))</f>
        <v>452</v>
      </c>
      <c r="T123" s="235"/>
      <c r="U123" s="235">
        <f t="shared" si="2"/>
        <v>0</v>
      </c>
      <c r="V123" s="235"/>
      <c r="W123" s="235"/>
      <c r="Y123" s="228" t="str">
        <f t="shared" si="3"/>
        <v>TinWhite Solder Metalurgia e Mineração Ltda.</v>
      </c>
    </row>
    <row r="124" spans="1:25" s="228" customFormat="1" ht="38.25">
      <c r="A124" s="400" t="s">
        <v>1406</v>
      </c>
      <c r="B124" s="396" t="s">
        <v>2324</v>
      </c>
      <c r="C124" s="397" t="s">
        <v>4183</v>
      </c>
      <c r="D124" s="396" t="s">
        <v>4183</v>
      </c>
      <c r="E124" s="396" t="s">
        <v>2181</v>
      </c>
      <c r="F124" s="396" t="s">
        <v>1406</v>
      </c>
      <c r="G124" s="396" t="s">
        <v>3125</v>
      </c>
      <c r="H124" s="398" t="s">
        <v>5024</v>
      </c>
      <c r="I124" s="399" t="s">
        <v>5023</v>
      </c>
      <c r="J124" s="399" t="s">
        <v>3161</v>
      </c>
      <c r="K124" s="402"/>
      <c r="L124" s="402"/>
      <c r="M124" s="402" t="s">
        <v>5031</v>
      </c>
      <c r="N124" s="402" t="s">
        <v>5024</v>
      </c>
      <c r="O124" s="402" t="s">
        <v>5025</v>
      </c>
      <c r="P124" s="402" t="s">
        <v>925</v>
      </c>
      <c r="Q124" s="403" t="s">
        <v>5036</v>
      </c>
      <c r="R124" s="233"/>
      <c r="S124" s="234">
        <f>IF(C124="",NA(),MATCH($B124&amp;$C124,'Smelter Reference List'!$J:$J,0))</f>
        <v>459</v>
      </c>
      <c r="T124" s="235"/>
      <c r="U124" s="235">
        <f t="shared" si="2"/>
        <v>0</v>
      </c>
      <c r="V124" s="235"/>
      <c r="W124" s="235"/>
      <c r="Y124" s="228" t="str">
        <f t="shared" si="3"/>
        <v>TinYunnan Chengfeng Non-ferrous Metals Co., Ltd.</v>
      </c>
    </row>
    <row r="125" spans="1:25" s="228" customFormat="1" ht="20.25">
      <c r="A125" s="400" t="s">
        <v>1407</v>
      </c>
      <c r="B125" s="396" t="s">
        <v>2324</v>
      </c>
      <c r="C125" s="397" t="s">
        <v>4749</v>
      </c>
      <c r="D125" s="396" t="s">
        <v>4749</v>
      </c>
      <c r="E125" s="396" t="s">
        <v>2181</v>
      </c>
      <c r="F125" s="396" t="s">
        <v>1407</v>
      </c>
      <c r="G125" s="396" t="s">
        <v>3125</v>
      </c>
      <c r="H125" s="398" t="s">
        <v>5024</v>
      </c>
      <c r="I125" s="399" t="s">
        <v>5023</v>
      </c>
      <c r="J125" s="399" t="s">
        <v>3161</v>
      </c>
      <c r="K125" s="402"/>
      <c r="L125" s="402"/>
      <c r="M125" s="402" t="s">
        <v>5024</v>
      </c>
      <c r="N125" s="402" t="s">
        <v>5024</v>
      </c>
      <c r="O125" s="402" t="s">
        <v>5027</v>
      </c>
      <c r="P125" s="402" t="s">
        <v>925</v>
      </c>
      <c r="Q125" s="403" t="s">
        <v>5026</v>
      </c>
      <c r="R125" s="233"/>
      <c r="S125" s="234">
        <f>IF(C125="",NA(),MATCH($B125&amp;$C125,'Smelter Reference List'!$J:$J,0))</f>
        <v>462</v>
      </c>
      <c r="T125" s="235"/>
      <c r="U125" s="235">
        <f t="shared" si="2"/>
        <v>0</v>
      </c>
      <c r="V125" s="235"/>
      <c r="W125" s="235"/>
      <c r="Y125" s="228" t="str">
        <f t="shared" si="3"/>
        <v>TinYunnan Tin Company Limited</v>
      </c>
    </row>
    <row r="126" spans="1:25" s="228" customFormat="1" ht="20.25">
      <c r="A126" s="400" t="s">
        <v>2685</v>
      </c>
      <c r="B126" s="396" t="s">
        <v>2323</v>
      </c>
      <c r="C126" s="397" t="s">
        <v>2684</v>
      </c>
      <c r="D126" s="396" t="s">
        <v>2684</v>
      </c>
      <c r="E126" s="396" t="s">
        <v>5016</v>
      </c>
      <c r="F126" s="396" t="s">
        <v>2685</v>
      </c>
      <c r="G126" s="396" t="s">
        <v>3125</v>
      </c>
      <c r="H126" s="398" t="s">
        <v>5024</v>
      </c>
      <c r="I126" s="399" t="s">
        <v>3126</v>
      </c>
      <c r="J126" s="399" t="s">
        <v>3127</v>
      </c>
      <c r="K126" s="402"/>
      <c r="L126" s="402"/>
      <c r="M126" s="402" t="s">
        <v>5024</v>
      </c>
      <c r="N126" s="402" t="s">
        <v>5024</v>
      </c>
      <c r="O126" s="402" t="s">
        <v>5029</v>
      </c>
      <c r="P126" s="402" t="s">
        <v>924</v>
      </c>
      <c r="Q126" s="403" t="s">
        <v>5026</v>
      </c>
      <c r="R126" s="233"/>
      <c r="S126" s="234">
        <f>IF(C126="",NA(),MATCH($B126&amp;$C126,'Smelter Reference List'!$J:$J,0))</f>
        <v>6</v>
      </c>
      <c r="T126" s="235"/>
      <c r="U126" s="235">
        <f t="shared" si="2"/>
        <v>0</v>
      </c>
      <c r="V126" s="235"/>
      <c r="W126" s="235"/>
      <c r="Y126" s="228" t="str">
        <f t="shared" si="3"/>
        <v>GoldAdvanced Chemical Company</v>
      </c>
    </row>
    <row r="127" spans="1:25" s="228" customFormat="1" ht="20.25">
      <c r="A127" s="400" t="s">
        <v>1234</v>
      </c>
      <c r="B127" s="396" t="s">
        <v>2323</v>
      </c>
      <c r="C127" s="397" t="s">
        <v>4146</v>
      </c>
      <c r="D127" s="396" t="s">
        <v>4146</v>
      </c>
      <c r="E127" s="396" t="s">
        <v>2249</v>
      </c>
      <c r="F127" s="396" t="s">
        <v>1234</v>
      </c>
      <c r="G127" s="396" t="s">
        <v>3125</v>
      </c>
      <c r="H127" s="398" t="s">
        <v>5024</v>
      </c>
      <c r="I127" s="399" t="s">
        <v>3128</v>
      </c>
      <c r="J127" s="399" t="s">
        <v>3129</v>
      </c>
      <c r="K127" s="402"/>
      <c r="L127" s="402"/>
      <c r="M127" s="402" t="s">
        <v>5024</v>
      </c>
      <c r="N127" s="402" t="s">
        <v>5024</v>
      </c>
      <c r="O127" s="402" t="s">
        <v>5025</v>
      </c>
      <c r="P127" s="402" t="s">
        <v>925</v>
      </c>
      <c r="Q127" s="403" t="s">
        <v>5026</v>
      </c>
      <c r="R127" s="233"/>
      <c r="S127" s="234">
        <f>IF(C127="",NA(),MATCH($B127&amp;$C127,'Smelter Reference List'!$J:$J,0))</f>
        <v>9</v>
      </c>
      <c r="T127" s="235"/>
      <c r="U127" s="235">
        <f t="shared" si="2"/>
        <v>0</v>
      </c>
      <c r="V127" s="235"/>
      <c r="W127" s="235"/>
      <c r="Y127" s="228" t="str">
        <f t="shared" si="3"/>
        <v>GoldAida Chemical Industries Co., Ltd.</v>
      </c>
    </row>
    <row r="128" spans="1:25" s="228" customFormat="1" ht="20.25">
      <c r="A128" s="400" t="s">
        <v>3356</v>
      </c>
      <c r="B128" s="396" t="s">
        <v>2323</v>
      </c>
      <c r="C128" s="397" t="s">
        <v>3355</v>
      </c>
      <c r="D128" s="396" t="s">
        <v>3355</v>
      </c>
      <c r="E128" s="396" t="s">
        <v>2147</v>
      </c>
      <c r="F128" s="396" t="s">
        <v>3356</v>
      </c>
      <c r="G128" s="396" t="s">
        <v>3125</v>
      </c>
      <c r="H128" s="398" t="s">
        <v>5024</v>
      </c>
      <c r="I128" s="399" t="s">
        <v>3357</v>
      </c>
      <c r="J128" s="399" t="s">
        <v>3357</v>
      </c>
      <c r="K128" s="402"/>
      <c r="L128" s="402"/>
      <c r="M128" s="402" t="s">
        <v>5024</v>
      </c>
      <c r="N128" s="402" t="s">
        <v>5024</v>
      </c>
      <c r="O128" s="402" t="s">
        <v>5025</v>
      </c>
      <c r="P128" s="402" t="s">
        <v>925</v>
      </c>
      <c r="Q128" s="403" t="s">
        <v>5026</v>
      </c>
      <c r="R128" s="233"/>
      <c r="S128" s="234">
        <f>IF(C128="",NA(),MATCH($B128&amp;$C128,'Smelter Reference List'!$J:$J,0))</f>
        <v>10</v>
      </c>
      <c r="T128" s="235"/>
      <c r="U128" s="235">
        <f t="shared" si="2"/>
        <v>0</v>
      </c>
      <c r="V128" s="235"/>
      <c r="W128" s="235"/>
      <c r="Y128" s="228" t="str">
        <f t="shared" si="3"/>
        <v>GoldAl Etihad Gold Refinery DMCC</v>
      </c>
    </row>
    <row r="129" spans="1:25" s="228" customFormat="1" ht="20.25">
      <c r="A129" s="400" t="s">
        <v>1235</v>
      </c>
      <c r="B129" s="396" t="s">
        <v>2323</v>
      </c>
      <c r="C129" s="397" t="s">
        <v>70</v>
      </c>
      <c r="D129" s="396" t="s">
        <v>70</v>
      </c>
      <c r="E129" s="396" t="s">
        <v>2195</v>
      </c>
      <c r="F129" s="396" t="s">
        <v>1235</v>
      </c>
      <c r="G129" s="396" t="s">
        <v>3125</v>
      </c>
      <c r="H129" s="398" t="s">
        <v>5024</v>
      </c>
      <c r="I129" s="399" t="s">
        <v>3130</v>
      </c>
      <c r="J129" s="399" t="s">
        <v>3131</v>
      </c>
      <c r="K129" s="402"/>
      <c r="L129" s="402"/>
      <c r="M129" s="402" t="s">
        <v>5024</v>
      </c>
      <c r="N129" s="402" t="s">
        <v>5024</v>
      </c>
      <c r="O129" s="402" t="s">
        <v>926</v>
      </c>
      <c r="P129" s="402" t="s">
        <v>5024</v>
      </c>
      <c r="Q129" s="403" t="s">
        <v>5026</v>
      </c>
      <c r="R129" s="233"/>
      <c r="S129" s="234">
        <f>IF(C129="",NA(),MATCH($B129&amp;$C129,'Smelter Reference List'!$J:$J,0))</f>
        <v>11</v>
      </c>
      <c r="T129" s="235"/>
      <c r="U129" s="235">
        <f t="shared" si="2"/>
        <v>0</v>
      </c>
      <c r="V129" s="235"/>
      <c r="W129" s="235"/>
      <c r="Y129" s="228" t="str">
        <f t="shared" si="3"/>
        <v>GoldAllgemeine Gold-und Silberscheideanstalt A.G.</v>
      </c>
    </row>
    <row r="130" spans="1:25" s="228" customFormat="1" ht="25.5">
      <c r="A130" s="400" t="s">
        <v>1236</v>
      </c>
      <c r="B130" s="396" t="s">
        <v>2323</v>
      </c>
      <c r="C130" s="397" t="s">
        <v>1190</v>
      </c>
      <c r="D130" s="396" t="s">
        <v>1190</v>
      </c>
      <c r="E130" s="396" t="s">
        <v>1760</v>
      </c>
      <c r="F130" s="396" t="s">
        <v>1236</v>
      </c>
      <c r="G130" s="396" t="s">
        <v>3125</v>
      </c>
      <c r="H130" s="398" t="s">
        <v>5024</v>
      </c>
      <c r="I130" s="399" t="s">
        <v>3132</v>
      </c>
      <c r="J130" s="399" t="s">
        <v>3133</v>
      </c>
      <c r="K130" s="402"/>
      <c r="L130" s="402"/>
      <c r="M130" s="402" t="s">
        <v>5024</v>
      </c>
      <c r="N130" s="402" t="s">
        <v>5024</v>
      </c>
      <c r="O130" s="402" t="s">
        <v>926</v>
      </c>
      <c r="P130" s="402" t="s">
        <v>5024</v>
      </c>
      <c r="Q130" s="403" t="s">
        <v>5026</v>
      </c>
      <c r="R130" s="233"/>
      <c r="S130" s="234">
        <f>IF(C130="",NA(),MATCH($B130&amp;$C130,'Smelter Reference List'!$J:$J,0))</f>
        <v>12</v>
      </c>
      <c r="T130" s="235"/>
      <c r="U130" s="235">
        <f t="shared" si="2"/>
        <v>0</v>
      </c>
      <c r="V130" s="235"/>
      <c r="W130" s="235"/>
      <c r="Y130" s="228" t="str">
        <f t="shared" si="3"/>
        <v>GoldAlmalyk Mining and Metallurgical Complex (AMMC)</v>
      </c>
    </row>
    <row r="131" spans="1:25" s="228" customFormat="1" ht="20.25">
      <c r="A131" s="400" t="s">
        <v>1237</v>
      </c>
      <c r="B131" s="396" t="s">
        <v>2323</v>
      </c>
      <c r="C131" s="397" t="s">
        <v>3134</v>
      </c>
      <c r="D131" s="396" t="s">
        <v>3134</v>
      </c>
      <c r="E131" s="396" t="s">
        <v>2170</v>
      </c>
      <c r="F131" s="396" t="s">
        <v>1237</v>
      </c>
      <c r="G131" s="396" t="s">
        <v>3125</v>
      </c>
      <c r="H131" s="398" t="s">
        <v>5024</v>
      </c>
      <c r="I131" s="399" t="s">
        <v>3135</v>
      </c>
      <c r="J131" s="399" t="s">
        <v>3136</v>
      </c>
      <c r="K131" s="402"/>
      <c r="L131" s="402"/>
      <c r="M131" s="402" t="s">
        <v>5024</v>
      </c>
      <c r="N131" s="402" t="s">
        <v>5024</v>
      </c>
      <c r="O131" s="402" t="s">
        <v>5025</v>
      </c>
      <c r="P131" s="402" t="s">
        <v>925</v>
      </c>
      <c r="Q131" s="403" t="s">
        <v>5026</v>
      </c>
      <c r="R131" s="233"/>
      <c r="S131" s="234">
        <f>IF(C131="",NA(),MATCH($B131&amp;$C131,'Smelter Reference List'!$J:$J,0))</f>
        <v>14</v>
      </c>
      <c r="T131" s="235"/>
      <c r="U131" s="235">
        <f t="shared" si="2"/>
        <v>0</v>
      </c>
      <c r="V131" s="235"/>
      <c r="W131" s="235"/>
      <c r="Y131" s="228" t="str">
        <f t="shared" si="3"/>
        <v>GoldAngloGold Ashanti Córrego do Sítio Mineração</v>
      </c>
    </row>
    <row r="132" spans="1:25" s="228" customFormat="1" ht="20.25">
      <c r="A132" s="400" t="s">
        <v>1238</v>
      </c>
      <c r="B132" s="396" t="s">
        <v>2323</v>
      </c>
      <c r="C132" s="397" t="s">
        <v>4669</v>
      </c>
      <c r="D132" s="396" t="s">
        <v>4669</v>
      </c>
      <c r="E132" s="396" t="s">
        <v>2179</v>
      </c>
      <c r="F132" s="396" t="s">
        <v>1238</v>
      </c>
      <c r="G132" s="396" t="s">
        <v>3125</v>
      </c>
      <c r="H132" s="398" t="s">
        <v>5024</v>
      </c>
      <c r="I132" s="399" t="s">
        <v>3137</v>
      </c>
      <c r="J132" s="399" t="s">
        <v>3138</v>
      </c>
      <c r="K132" s="402"/>
      <c r="L132" s="402"/>
      <c r="M132" s="402" t="s">
        <v>5024</v>
      </c>
      <c r="N132" s="402"/>
      <c r="O132" s="402" t="s">
        <v>5037</v>
      </c>
      <c r="P132" s="402" t="s">
        <v>925</v>
      </c>
      <c r="Q132" s="403" t="s">
        <v>5026</v>
      </c>
      <c r="R132" s="233"/>
      <c r="S132" s="234">
        <f>IF(C132="",NA(),MATCH($B132&amp;$C132,'Smelter Reference List'!$J:$J,0))</f>
        <v>17</v>
      </c>
      <c r="T132" s="235"/>
      <c r="U132" s="235">
        <f t="shared" si="2"/>
        <v>0</v>
      </c>
      <c r="V132" s="235"/>
      <c r="W132" s="235"/>
      <c r="Y132" s="228" t="str">
        <f t="shared" si="3"/>
        <v>GoldArgor-Heraeus S.A.</v>
      </c>
    </row>
    <row r="133" spans="1:25" s="228" customFormat="1" ht="20.25">
      <c r="A133" s="400" t="s">
        <v>1239</v>
      </c>
      <c r="B133" s="396" t="s">
        <v>2323</v>
      </c>
      <c r="C133" s="397" t="s">
        <v>4670</v>
      </c>
      <c r="D133" s="396" t="s">
        <v>4670</v>
      </c>
      <c r="E133" s="396" t="s">
        <v>2249</v>
      </c>
      <c r="F133" s="396" t="s">
        <v>1239</v>
      </c>
      <c r="G133" s="396" t="s">
        <v>3125</v>
      </c>
      <c r="H133" s="398" t="s">
        <v>5024</v>
      </c>
      <c r="I133" s="399" t="s">
        <v>3139</v>
      </c>
      <c r="J133" s="399" t="s">
        <v>3140</v>
      </c>
      <c r="K133" s="402"/>
      <c r="L133" s="402"/>
      <c r="M133" s="402" t="s">
        <v>5024</v>
      </c>
      <c r="N133" s="402" t="s">
        <v>5024</v>
      </c>
      <c r="O133" s="402" t="s">
        <v>5029</v>
      </c>
      <c r="P133" s="402" t="s">
        <v>924</v>
      </c>
      <c r="Q133" s="403" t="s">
        <v>5026</v>
      </c>
      <c r="R133" s="233"/>
      <c r="S133" s="234">
        <f>IF(C133="",NA(),MATCH($B133&amp;$C133,'Smelter Reference List'!$J:$J,0))</f>
        <v>18</v>
      </c>
      <c r="T133" s="235"/>
      <c r="U133" s="235">
        <f t="shared" si="2"/>
        <v>0</v>
      </c>
      <c r="V133" s="235"/>
      <c r="W133" s="235"/>
      <c r="Y133" s="228" t="str">
        <f t="shared" si="3"/>
        <v>GoldAsahi Pretec Corp.</v>
      </c>
    </row>
    <row r="134" spans="1:25" s="228" customFormat="1" ht="20.25">
      <c r="A134" s="400" t="s">
        <v>1274</v>
      </c>
      <c r="B134" s="396" t="s">
        <v>2323</v>
      </c>
      <c r="C134" s="397" t="s">
        <v>4671</v>
      </c>
      <c r="D134" s="396" t="s">
        <v>4671</v>
      </c>
      <c r="E134" s="396" t="s">
        <v>2177</v>
      </c>
      <c r="F134" s="396" t="s">
        <v>1274</v>
      </c>
      <c r="G134" s="396" t="s">
        <v>3125</v>
      </c>
      <c r="H134" s="398" t="s">
        <v>5024</v>
      </c>
      <c r="I134" s="399" t="s">
        <v>3209</v>
      </c>
      <c r="J134" s="399" t="s">
        <v>3210</v>
      </c>
      <c r="K134" s="402"/>
      <c r="L134" s="402"/>
      <c r="M134" s="402" t="s">
        <v>5024</v>
      </c>
      <c r="N134" s="402" t="s">
        <v>5024</v>
      </c>
      <c r="O134" s="402" t="s">
        <v>926</v>
      </c>
      <c r="P134" s="402" t="s">
        <v>5024</v>
      </c>
      <c r="Q134" s="403" t="s">
        <v>5026</v>
      </c>
      <c r="R134" s="233"/>
      <c r="S134" s="234">
        <f>IF(C134="",NA(),MATCH($B134&amp;$C134,'Smelter Reference List'!$J:$J,0))</f>
        <v>19</v>
      </c>
      <c r="T134" s="235"/>
      <c r="U134" s="235">
        <f t="shared" ref="U134:U197" si="4">IF(AND(C134="Smelter not listed",OR(LEN(D134)=0,LEN(E134)=0)),1,0)</f>
        <v>0</v>
      </c>
      <c r="V134" s="235"/>
      <c r="W134" s="235"/>
      <c r="Y134" s="228" t="str">
        <f t="shared" ref="Y134:Y197" si="5">B134&amp;C134</f>
        <v>GoldAsahi Refining Canada Ltd.</v>
      </c>
    </row>
    <row r="135" spans="1:25" s="228" customFormat="1" ht="20.25">
      <c r="A135" s="400" t="s">
        <v>1273</v>
      </c>
      <c r="B135" s="396" t="s">
        <v>2323</v>
      </c>
      <c r="C135" s="397" t="s">
        <v>4267</v>
      </c>
      <c r="D135" s="396" t="s">
        <v>4267</v>
      </c>
      <c r="E135" s="396" t="s">
        <v>5016</v>
      </c>
      <c r="F135" s="396" t="s">
        <v>1273</v>
      </c>
      <c r="G135" s="396" t="s">
        <v>3125</v>
      </c>
      <c r="H135" s="398" t="s">
        <v>5024</v>
      </c>
      <c r="I135" s="399" t="s">
        <v>3206</v>
      </c>
      <c r="J135" s="399" t="s">
        <v>3207</v>
      </c>
      <c r="K135" s="402"/>
      <c r="L135" s="402"/>
      <c r="M135" s="402" t="s">
        <v>5024</v>
      </c>
      <c r="N135" s="402" t="s">
        <v>5024</v>
      </c>
      <c r="O135" s="402" t="s">
        <v>926</v>
      </c>
      <c r="P135" s="402" t="s">
        <v>5024</v>
      </c>
      <c r="Q135" s="403" t="s">
        <v>5026</v>
      </c>
      <c r="R135" s="233"/>
      <c r="S135" s="234">
        <f>IF(C135="",NA(),MATCH($B135&amp;$C135,'Smelter Reference List'!$J:$J,0))</f>
        <v>20</v>
      </c>
      <c r="T135" s="235"/>
      <c r="U135" s="235">
        <f t="shared" si="4"/>
        <v>0</v>
      </c>
      <c r="V135" s="235"/>
      <c r="W135" s="235"/>
      <c r="Y135" s="228" t="str">
        <f t="shared" si="5"/>
        <v>GoldAsahi Refining USA Inc.</v>
      </c>
    </row>
    <row r="136" spans="1:25" s="228" customFormat="1" ht="20.25">
      <c r="A136" s="400" t="s">
        <v>1240</v>
      </c>
      <c r="B136" s="396" t="s">
        <v>2323</v>
      </c>
      <c r="C136" s="397" t="s">
        <v>4147</v>
      </c>
      <c r="D136" s="396" t="s">
        <v>4147</v>
      </c>
      <c r="E136" s="396" t="s">
        <v>2249</v>
      </c>
      <c r="F136" s="396" t="s">
        <v>1240</v>
      </c>
      <c r="G136" s="396" t="s">
        <v>3125</v>
      </c>
      <c r="H136" s="398" t="s">
        <v>5024</v>
      </c>
      <c r="I136" s="399" t="s">
        <v>3142</v>
      </c>
      <c r="J136" s="399" t="s">
        <v>3143</v>
      </c>
      <c r="K136" s="402"/>
      <c r="L136" s="402"/>
      <c r="M136" s="402" t="s">
        <v>5024</v>
      </c>
      <c r="N136" s="402" t="s">
        <v>5024</v>
      </c>
      <c r="O136" s="402" t="s">
        <v>5025</v>
      </c>
      <c r="P136" s="402" t="s">
        <v>925</v>
      </c>
      <c r="Q136" s="403" t="s">
        <v>5026</v>
      </c>
      <c r="R136" s="233"/>
      <c r="S136" s="234">
        <f>IF(C136="",NA(),MATCH($B136&amp;$C136,'Smelter Reference List'!$J:$J,0))</f>
        <v>21</v>
      </c>
      <c r="T136" s="235"/>
      <c r="U136" s="235">
        <f t="shared" si="4"/>
        <v>0</v>
      </c>
      <c r="V136" s="235"/>
      <c r="W136" s="235"/>
      <c r="Y136" s="228" t="str">
        <f t="shared" si="5"/>
        <v>GoldAsaka Riken Co., Ltd.</v>
      </c>
    </row>
    <row r="137" spans="1:25" s="228" customFormat="1" ht="38.25">
      <c r="A137" s="400" t="s">
        <v>1241</v>
      </c>
      <c r="B137" s="396" t="s">
        <v>2323</v>
      </c>
      <c r="C137" s="397" t="s">
        <v>1191</v>
      </c>
      <c r="D137" s="396" t="s">
        <v>1191</v>
      </c>
      <c r="E137" s="396" t="s">
        <v>1751</v>
      </c>
      <c r="F137" s="396" t="s">
        <v>1241</v>
      </c>
      <c r="G137" s="396" t="s">
        <v>3125</v>
      </c>
      <c r="H137" s="398" t="s">
        <v>5024</v>
      </c>
      <c r="I137" s="399" t="s">
        <v>3144</v>
      </c>
      <c r="J137" s="399" t="s">
        <v>3145</v>
      </c>
      <c r="K137" s="402"/>
      <c r="L137" s="402"/>
      <c r="M137" s="402" t="s">
        <v>5024</v>
      </c>
      <c r="N137" s="402" t="s">
        <v>5024</v>
      </c>
      <c r="O137" s="402" t="s">
        <v>5025</v>
      </c>
      <c r="P137" s="402" t="s">
        <v>925</v>
      </c>
      <c r="Q137" s="403" t="s">
        <v>5035</v>
      </c>
      <c r="R137" s="233"/>
      <c r="S137" s="234">
        <f>IF(C137="",NA(),MATCH($B137&amp;$C137,'Smelter Reference List'!$J:$J,0))</f>
        <v>23</v>
      </c>
      <c r="T137" s="235"/>
      <c r="U137" s="235">
        <f t="shared" si="4"/>
        <v>0</v>
      </c>
      <c r="V137" s="235"/>
      <c r="W137" s="235"/>
      <c r="Y137" s="228" t="str">
        <f t="shared" si="5"/>
        <v>GoldAtasay Kuyumculuk Sanayi Ve Ticaret A.S.</v>
      </c>
    </row>
    <row r="138" spans="1:25" s="228" customFormat="1" ht="20.25">
      <c r="A138" s="400" t="s">
        <v>4673</v>
      </c>
      <c r="B138" s="396" t="s">
        <v>2323</v>
      </c>
      <c r="C138" s="397" t="s">
        <v>4672</v>
      </c>
      <c r="D138" s="396" t="s">
        <v>4672</v>
      </c>
      <c r="E138" s="396" t="s">
        <v>1772</v>
      </c>
      <c r="F138" s="396" t="s">
        <v>4673</v>
      </c>
      <c r="G138" s="396" t="s">
        <v>3125</v>
      </c>
      <c r="H138" s="398" t="s">
        <v>5024</v>
      </c>
      <c r="I138" s="399" t="s">
        <v>4674</v>
      </c>
      <c r="J138" s="399" t="s">
        <v>3271</v>
      </c>
      <c r="K138" s="402"/>
      <c r="L138" s="402"/>
      <c r="M138" s="402" t="s">
        <v>5024</v>
      </c>
      <c r="N138" s="402" t="s">
        <v>5024</v>
      </c>
      <c r="O138" s="402" t="s">
        <v>926</v>
      </c>
      <c r="P138" s="402" t="s">
        <v>5024</v>
      </c>
      <c r="Q138" s="403" t="s">
        <v>5026</v>
      </c>
      <c r="R138" s="233"/>
      <c r="S138" s="234">
        <f>IF(C138="",NA(),MATCH($B138&amp;$C138,'Smelter Reference List'!$J:$J,0))</f>
        <v>24</v>
      </c>
      <c r="T138" s="235"/>
      <c r="U138" s="235">
        <f t="shared" si="4"/>
        <v>0</v>
      </c>
      <c r="V138" s="235"/>
      <c r="W138" s="235"/>
      <c r="Y138" s="228" t="str">
        <f t="shared" si="5"/>
        <v>GoldAU Traders and Refiners</v>
      </c>
    </row>
    <row r="139" spans="1:25" s="228" customFormat="1" ht="20.25">
      <c r="A139" s="400" t="s">
        <v>1242</v>
      </c>
      <c r="B139" s="396" t="s">
        <v>2323</v>
      </c>
      <c r="C139" s="397" t="s">
        <v>2448</v>
      </c>
      <c r="D139" s="396" t="s">
        <v>2448</v>
      </c>
      <c r="E139" s="396" t="s">
        <v>2195</v>
      </c>
      <c r="F139" s="396" t="s">
        <v>1242</v>
      </c>
      <c r="G139" s="396" t="s">
        <v>3125</v>
      </c>
      <c r="H139" s="398" t="s">
        <v>5024</v>
      </c>
      <c r="I139" s="399" t="s">
        <v>3146</v>
      </c>
      <c r="J139" s="399" t="s">
        <v>3147</v>
      </c>
      <c r="K139" s="402"/>
      <c r="L139" s="402"/>
      <c r="M139" s="402" t="s">
        <v>5024</v>
      </c>
      <c r="N139" s="402" t="s">
        <v>5024</v>
      </c>
      <c r="O139" s="402" t="s">
        <v>926</v>
      </c>
      <c r="P139" s="402" t="s">
        <v>5024</v>
      </c>
      <c r="Q139" s="403" t="s">
        <v>5026</v>
      </c>
      <c r="R139" s="233"/>
      <c r="S139" s="234">
        <f>IF(C139="",NA(),MATCH($B139&amp;$C139,'Smelter Reference List'!$J:$J,0))</f>
        <v>26</v>
      </c>
      <c r="T139" s="235"/>
      <c r="U139" s="235">
        <f t="shared" si="4"/>
        <v>0</v>
      </c>
      <c r="V139" s="235"/>
      <c r="W139" s="235"/>
      <c r="Y139" s="228" t="str">
        <f t="shared" si="5"/>
        <v>GoldAurubis AG</v>
      </c>
    </row>
    <row r="140" spans="1:25" s="228" customFormat="1" ht="20.25">
      <c r="A140" s="400" t="s">
        <v>4680</v>
      </c>
      <c r="B140" s="396" t="s">
        <v>2323</v>
      </c>
      <c r="C140" s="397" t="s">
        <v>4679</v>
      </c>
      <c r="D140" s="396" t="s">
        <v>4679</v>
      </c>
      <c r="E140" s="396" t="s">
        <v>2239</v>
      </c>
      <c r="F140" s="396" t="s">
        <v>4680</v>
      </c>
      <c r="G140" s="396" t="s">
        <v>3125</v>
      </c>
      <c r="H140" s="398" t="s">
        <v>5024</v>
      </c>
      <c r="I140" s="399" t="s">
        <v>4760</v>
      </c>
      <c r="J140" s="399" t="s">
        <v>4761</v>
      </c>
      <c r="K140" s="402"/>
      <c r="L140" s="402"/>
      <c r="M140" s="402" t="s">
        <v>5031</v>
      </c>
      <c r="N140" s="402" t="s">
        <v>5024</v>
      </c>
      <c r="O140" s="402" t="s">
        <v>926</v>
      </c>
      <c r="P140" s="402" t="s">
        <v>5024</v>
      </c>
      <c r="Q140" s="403" t="s">
        <v>5033</v>
      </c>
      <c r="R140" s="233"/>
      <c r="S140" s="234">
        <f>IF(C140="",NA(),MATCH($B140&amp;$C140,'Smelter Reference List'!$J:$J,0))</f>
        <v>27</v>
      </c>
      <c r="T140" s="235"/>
      <c r="U140" s="235">
        <f t="shared" si="4"/>
        <v>0</v>
      </c>
      <c r="V140" s="235"/>
      <c r="W140" s="235"/>
      <c r="Y140" s="228" t="str">
        <f t="shared" si="5"/>
        <v>GoldBangalore Refinery</v>
      </c>
    </row>
    <row r="141" spans="1:25" s="228" customFormat="1" ht="25.5">
      <c r="A141" s="400" t="s">
        <v>1243</v>
      </c>
      <c r="B141" s="396" t="s">
        <v>2323</v>
      </c>
      <c r="C141" s="397" t="s">
        <v>1786</v>
      </c>
      <c r="D141" s="396" t="s">
        <v>1786</v>
      </c>
      <c r="E141" s="396" t="s">
        <v>1705</v>
      </c>
      <c r="F141" s="396" t="s">
        <v>1243</v>
      </c>
      <c r="G141" s="396" t="s">
        <v>3125</v>
      </c>
      <c r="H141" s="398" t="s">
        <v>5024</v>
      </c>
      <c r="I141" s="399" t="s">
        <v>4269</v>
      </c>
      <c r="J141" s="399" t="s">
        <v>3149</v>
      </c>
      <c r="K141" s="402"/>
      <c r="L141" s="402"/>
      <c r="M141" s="402" t="s">
        <v>5024</v>
      </c>
      <c r="N141" s="402" t="s">
        <v>5024</v>
      </c>
      <c r="O141" s="402" t="s">
        <v>926</v>
      </c>
      <c r="P141" s="402" t="s">
        <v>5024</v>
      </c>
      <c r="Q141" s="403" t="s">
        <v>5026</v>
      </c>
      <c r="R141" s="233"/>
      <c r="S141" s="234">
        <f>IF(C141="",NA(),MATCH($B141&amp;$C141,'Smelter Reference List'!$J:$J,0))</f>
        <v>28</v>
      </c>
      <c r="T141" s="235"/>
      <c r="U141" s="235">
        <f t="shared" si="4"/>
        <v>0</v>
      </c>
      <c r="V141" s="235"/>
      <c r="W141" s="235"/>
      <c r="Y141" s="228" t="str">
        <f t="shared" si="5"/>
        <v>GoldBangko Sentral ng Pilipinas (Central Bank of the Philippines)</v>
      </c>
    </row>
    <row r="142" spans="1:25" s="228" customFormat="1" ht="20.25">
      <c r="A142" s="400" t="s">
        <v>1244</v>
      </c>
      <c r="B142" s="396" t="s">
        <v>2323</v>
      </c>
      <c r="C142" s="397" t="s">
        <v>2450</v>
      </c>
      <c r="D142" s="396" t="s">
        <v>2450</v>
      </c>
      <c r="E142" s="396" t="s">
        <v>1736</v>
      </c>
      <c r="F142" s="396" t="s">
        <v>1244</v>
      </c>
      <c r="G142" s="396" t="s">
        <v>3125</v>
      </c>
      <c r="H142" s="398" t="s">
        <v>5024</v>
      </c>
      <c r="I142" s="399" t="s">
        <v>3150</v>
      </c>
      <c r="J142" s="399" t="s">
        <v>3151</v>
      </c>
      <c r="K142" s="402"/>
      <c r="L142" s="402"/>
      <c r="M142" s="402" t="s">
        <v>5024</v>
      </c>
      <c r="N142" s="402" t="s">
        <v>5024</v>
      </c>
      <c r="O142" s="402" t="s">
        <v>926</v>
      </c>
      <c r="P142" s="402" t="s">
        <v>5024</v>
      </c>
      <c r="Q142" s="403" t="s">
        <v>5026</v>
      </c>
      <c r="R142" s="233"/>
      <c r="S142" s="234">
        <f>IF(C142="",NA(),MATCH($B142&amp;$C142,'Smelter Reference List'!$J:$J,0))</f>
        <v>29</v>
      </c>
      <c r="T142" s="235"/>
      <c r="U142" s="235">
        <f t="shared" si="4"/>
        <v>0</v>
      </c>
      <c r="V142" s="235"/>
      <c r="W142" s="235"/>
      <c r="Y142" s="228" t="str">
        <f t="shared" si="5"/>
        <v>GoldBoliden AB</v>
      </c>
    </row>
    <row r="143" spans="1:25" s="228" customFormat="1" ht="20.25">
      <c r="A143" s="400" t="s">
        <v>1246</v>
      </c>
      <c r="B143" s="396" t="s">
        <v>2323</v>
      </c>
      <c r="C143" s="397" t="s">
        <v>1245</v>
      </c>
      <c r="D143" s="396" t="s">
        <v>1245</v>
      </c>
      <c r="E143" s="396" t="s">
        <v>2195</v>
      </c>
      <c r="F143" s="396" t="s">
        <v>1246</v>
      </c>
      <c r="G143" s="396" t="s">
        <v>3125</v>
      </c>
      <c r="H143" s="398" t="s">
        <v>5024</v>
      </c>
      <c r="I143" s="399" t="s">
        <v>3130</v>
      </c>
      <c r="J143" s="399" t="s">
        <v>3131</v>
      </c>
      <c r="K143" s="402"/>
      <c r="L143" s="402"/>
      <c r="M143" s="402" t="s">
        <v>5024</v>
      </c>
      <c r="N143" s="402" t="s">
        <v>5024</v>
      </c>
      <c r="O143" s="402" t="s">
        <v>926</v>
      </c>
      <c r="P143" s="402" t="s">
        <v>5024</v>
      </c>
      <c r="Q143" s="403" t="s">
        <v>5026</v>
      </c>
      <c r="R143" s="233"/>
      <c r="S143" s="234">
        <f>IF(C143="",NA(),MATCH($B143&amp;$C143,'Smelter Reference List'!$J:$J,0))</f>
        <v>30</v>
      </c>
      <c r="T143" s="235"/>
      <c r="U143" s="235">
        <f t="shared" si="4"/>
        <v>0</v>
      </c>
      <c r="V143" s="235"/>
      <c r="W143" s="235"/>
      <c r="Y143" s="228" t="str">
        <f t="shared" si="5"/>
        <v>GoldC. Hafner GmbH + Co. KG</v>
      </c>
    </row>
    <row r="144" spans="1:25" s="228" customFormat="1" ht="38.25">
      <c r="A144" s="400" t="s">
        <v>1247</v>
      </c>
      <c r="B144" s="396" t="s">
        <v>2323</v>
      </c>
      <c r="C144" s="397" t="s">
        <v>1787</v>
      </c>
      <c r="D144" s="396" t="s">
        <v>1787</v>
      </c>
      <c r="E144" s="396" t="s">
        <v>2275</v>
      </c>
      <c r="F144" s="396" t="s">
        <v>1247</v>
      </c>
      <c r="G144" s="396" t="s">
        <v>3125</v>
      </c>
      <c r="H144" s="398" t="s">
        <v>5024</v>
      </c>
      <c r="I144" s="399" t="s">
        <v>3152</v>
      </c>
      <c r="J144" s="399" t="s">
        <v>3153</v>
      </c>
      <c r="K144" s="402"/>
      <c r="L144" s="402"/>
      <c r="M144" s="402" t="s">
        <v>5024</v>
      </c>
      <c r="N144" s="402" t="s">
        <v>5024</v>
      </c>
      <c r="O144" s="402" t="s">
        <v>5025</v>
      </c>
      <c r="P144" s="402" t="s">
        <v>925</v>
      </c>
      <c r="Q144" s="403" t="s">
        <v>5035</v>
      </c>
      <c r="R144" s="233"/>
      <c r="S144" s="234">
        <f>IF(C144="",NA(),MATCH($B144&amp;$C144,'Smelter Reference List'!$J:$J,0))</f>
        <v>31</v>
      </c>
      <c r="T144" s="235"/>
      <c r="U144" s="235">
        <f t="shared" si="4"/>
        <v>0</v>
      </c>
      <c r="V144" s="235"/>
      <c r="W144" s="235"/>
      <c r="Y144" s="228" t="str">
        <f t="shared" si="5"/>
        <v>GoldCaridad</v>
      </c>
    </row>
    <row r="145" spans="1:25" s="228" customFormat="1" ht="20.25">
      <c r="A145" s="400" t="s">
        <v>1248</v>
      </c>
      <c r="B145" s="396" t="s">
        <v>2323</v>
      </c>
      <c r="C145" s="397" t="s">
        <v>4323</v>
      </c>
      <c r="D145" s="396" t="s">
        <v>4323</v>
      </c>
      <c r="E145" s="396" t="s">
        <v>2177</v>
      </c>
      <c r="F145" s="396" t="s">
        <v>1248</v>
      </c>
      <c r="G145" s="396" t="s">
        <v>3125</v>
      </c>
      <c r="H145" s="398" t="s">
        <v>5024</v>
      </c>
      <c r="I145" s="399" t="s">
        <v>3154</v>
      </c>
      <c r="J145" s="399" t="s">
        <v>3155</v>
      </c>
      <c r="K145" s="402"/>
      <c r="L145" s="402"/>
      <c r="M145" s="402" t="s">
        <v>5024</v>
      </c>
      <c r="N145" s="402" t="s">
        <v>5024</v>
      </c>
      <c r="O145" s="402" t="s">
        <v>926</v>
      </c>
      <c r="P145" s="402" t="s">
        <v>5024</v>
      </c>
      <c r="Q145" s="403" t="s">
        <v>5026</v>
      </c>
      <c r="R145" s="233"/>
      <c r="S145" s="234">
        <f>IF(C145="",NA(),MATCH($B145&amp;$C145,'Smelter Reference List'!$J:$J,0))</f>
        <v>33</v>
      </c>
      <c r="T145" s="235"/>
      <c r="U145" s="235">
        <f t="shared" si="4"/>
        <v>0</v>
      </c>
      <c r="V145" s="235"/>
      <c r="W145" s="235"/>
      <c r="Y145" s="228" t="str">
        <f t="shared" si="5"/>
        <v>GoldCCR Refinery - Glencore Canada Corporation</v>
      </c>
    </row>
    <row r="146" spans="1:25" s="228" customFormat="1" ht="38.25">
      <c r="A146" s="400" t="s">
        <v>1249</v>
      </c>
      <c r="B146" s="396" t="s">
        <v>2323</v>
      </c>
      <c r="C146" s="397" t="s">
        <v>4682</v>
      </c>
      <c r="D146" s="396" t="s">
        <v>4682</v>
      </c>
      <c r="E146" s="396" t="s">
        <v>2179</v>
      </c>
      <c r="F146" s="396" t="s">
        <v>1249</v>
      </c>
      <c r="G146" s="396" t="s">
        <v>3125</v>
      </c>
      <c r="H146" s="398" t="s">
        <v>5024</v>
      </c>
      <c r="I146" s="399" t="s">
        <v>3158</v>
      </c>
      <c r="J146" s="399" t="s">
        <v>3159</v>
      </c>
      <c r="K146" s="402"/>
      <c r="L146" s="402"/>
      <c r="M146" s="402" t="s">
        <v>5031</v>
      </c>
      <c r="N146" s="402" t="s">
        <v>5024</v>
      </c>
      <c r="O146" s="402" t="s">
        <v>5029</v>
      </c>
      <c r="P146" s="402" t="s">
        <v>924</v>
      </c>
      <c r="Q146" s="403" t="s">
        <v>5036</v>
      </c>
      <c r="R146" s="233"/>
      <c r="S146" s="234">
        <f>IF(C146="",NA(),MATCH($B146&amp;$C146,'Smelter Reference List'!$J:$J,0))</f>
        <v>35</v>
      </c>
      <c r="T146" s="235"/>
      <c r="U146" s="235">
        <f t="shared" si="4"/>
        <v>0</v>
      </c>
      <c r="V146" s="235"/>
      <c r="W146" s="235"/>
      <c r="Y146" s="228" t="str">
        <f t="shared" si="5"/>
        <v>GoldCendres + Métaux S.A.</v>
      </c>
    </row>
    <row r="147" spans="1:25" s="228" customFormat="1" ht="20.25">
      <c r="A147" s="400" t="s">
        <v>1250</v>
      </c>
      <c r="B147" s="396" t="s">
        <v>2323</v>
      </c>
      <c r="C147" s="397" t="s">
        <v>71</v>
      </c>
      <c r="D147" s="396" t="s">
        <v>71</v>
      </c>
      <c r="E147" s="396" t="s">
        <v>2246</v>
      </c>
      <c r="F147" s="396" t="s">
        <v>1250</v>
      </c>
      <c r="G147" s="396" t="s">
        <v>3125</v>
      </c>
      <c r="H147" s="398" t="s">
        <v>5024</v>
      </c>
      <c r="I147" s="399" t="s">
        <v>3163</v>
      </c>
      <c r="J147" s="399" t="s">
        <v>3164</v>
      </c>
      <c r="K147" s="402"/>
      <c r="L147" s="402"/>
      <c r="M147" s="402" t="s">
        <v>5024</v>
      </c>
      <c r="N147" s="402" t="s">
        <v>5024</v>
      </c>
      <c r="O147" s="402" t="s">
        <v>926</v>
      </c>
      <c r="P147" s="402" t="s">
        <v>5024</v>
      </c>
      <c r="Q147" s="403" t="s">
        <v>5026</v>
      </c>
      <c r="R147" s="233"/>
      <c r="S147" s="234">
        <f>IF(C147="",NA(),MATCH($B147&amp;$C147,'Smelter Reference List'!$J:$J,0))</f>
        <v>38</v>
      </c>
      <c r="T147" s="235"/>
      <c r="U147" s="235">
        <f t="shared" si="4"/>
        <v>0</v>
      </c>
      <c r="V147" s="235"/>
      <c r="W147" s="235"/>
      <c r="Y147" s="228" t="str">
        <f t="shared" si="5"/>
        <v>GoldChimet S.p.A.</v>
      </c>
    </row>
    <row r="148" spans="1:25" s="228" customFormat="1" ht="38.25">
      <c r="A148" s="400" t="s">
        <v>1251</v>
      </c>
      <c r="B148" s="396" t="s">
        <v>2323</v>
      </c>
      <c r="C148" s="397" t="s">
        <v>984</v>
      </c>
      <c r="D148" s="396" t="s">
        <v>984</v>
      </c>
      <c r="E148" s="396" t="s">
        <v>2249</v>
      </c>
      <c r="F148" s="396" t="s">
        <v>1251</v>
      </c>
      <c r="G148" s="396" t="s">
        <v>3125</v>
      </c>
      <c r="H148" s="398" t="s">
        <v>5024</v>
      </c>
      <c r="I148" s="399" t="s">
        <v>3165</v>
      </c>
      <c r="J148" s="399" t="s">
        <v>3161</v>
      </c>
      <c r="K148" s="402"/>
      <c r="L148" s="402"/>
      <c r="M148" s="402" t="s">
        <v>5030</v>
      </c>
      <c r="N148" s="402" t="s">
        <v>5024</v>
      </c>
      <c r="O148" s="402" t="s">
        <v>5029</v>
      </c>
      <c r="P148" s="402" t="s">
        <v>924</v>
      </c>
      <c r="Q148" s="403" t="s">
        <v>5035</v>
      </c>
      <c r="R148" s="233"/>
      <c r="S148" s="234">
        <f>IF(C148="",NA(),MATCH($B148&amp;$C148,'Smelter Reference List'!$J:$J,0))</f>
        <v>41</v>
      </c>
      <c r="T148" s="235"/>
      <c r="U148" s="235">
        <f t="shared" si="4"/>
        <v>0</v>
      </c>
      <c r="V148" s="235"/>
      <c r="W148" s="235"/>
      <c r="Y148" s="228" t="str">
        <f t="shared" si="5"/>
        <v>GoldChugai Mining</v>
      </c>
    </row>
    <row r="149" spans="1:25" s="228" customFormat="1" ht="20.25">
      <c r="A149" s="400" t="s">
        <v>1252</v>
      </c>
      <c r="B149" s="396" t="s">
        <v>2323</v>
      </c>
      <c r="C149" s="397" t="s">
        <v>4150</v>
      </c>
      <c r="D149" s="396" t="s">
        <v>4150</v>
      </c>
      <c r="E149" s="396" t="s">
        <v>5017</v>
      </c>
      <c r="F149" s="396" t="s">
        <v>1252</v>
      </c>
      <c r="G149" s="396" t="s">
        <v>3125</v>
      </c>
      <c r="H149" s="398" t="s">
        <v>5024</v>
      </c>
      <c r="I149" s="399" t="s">
        <v>4683</v>
      </c>
      <c r="J149" s="399" t="s">
        <v>3167</v>
      </c>
      <c r="K149" s="402"/>
      <c r="L149" s="402"/>
      <c r="M149" s="402" t="s">
        <v>5024</v>
      </c>
      <c r="N149" s="402" t="s">
        <v>5024</v>
      </c>
      <c r="O149" s="402" t="s">
        <v>926</v>
      </c>
      <c r="P149" s="402" t="s">
        <v>5024</v>
      </c>
      <c r="Q149" s="403" t="s">
        <v>5026</v>
      </c>
      <c r="R149" s="233"/>
      <c r="S149" s="234">
        <f>IF(C149="",NA(),MATCH($B149&amp;$C149,'Smelter Reference List'!$J:$J,0))</f>
        <v>42</v>
      </c>
      <c r="T149" s="235"/>
      <c r="U149" s="235">
        <f t="shared" si="4"/>
        <v>0</v>
      </c>
      <c r="V149" s="235"/>
      <c r="W149" s="235"/>
      <c r="Y149" s="228" t="str">
        <f t="shared" si="5"/>
        <v>GoldDaejin Indus Co., Ltd.</v>
      </c>
    </row>
    <row r="150" spans="1:25" s="228" customFormat="1" ht="20.25">
      <c r="A150" s="400" t="s">
        <v>1254</v>
      </c>
      <c r="B150" s="396" t="s">
        <v>2323</v>
      </c>
      <c r="C150" s="397" t="s">
        <v>1253</v>
      </c>
      <c r="D150" s="396" t="s">
        <v>1253</v>
      </c>
      <c r="E150" s="396" t="s">
        <v>2181</v>
      </c>
      <c r="F150" s="396" t="s">
        <v>1254</v>
      </c>
      <c r="G150" s="396" t="s">
        <v>3125</v>
      </c>
      <c r="H150" s="398" t="s">
        <v>5024</v>
      </c>
      <c r="I150" s="399" t="s">
        <v>3169</v>
      </c>
      <c r="J150" s="399" t="s">
        <v>3170</v>
      </c>
      <c r="K150" s="402"/>
      <c r="L150" s="402"/>
      <c r="M150" s="402" t="s">
        <v>5024</v>
      </c>
      <c r="N150" s="402" t="s">
        <v>5024</v>
      </c>
      <c r="O150" s="402" t="s">
        <v>5025</v>
      </c>
      <c r="P150" s="402" t="s">
        <v>925</v>
      </c>
      <c r="Q150" s="403" t="s">
        <v>5026</v>
      </c>
      <c r="R150" s="233"/>
      <c r="S150" s="234">
        <f>IF(C150="",NA(),MATCH($B150&amp;$C150,'Smelter Reference List'!$J:$J,0))</f>
        <v>44</v>
      </c>
      <c r="T150" s="235"/>
      <c r="U150" s="235">
        <f t="shared" si="4"/>
        <v>0</v>
      </c>
      <c r="V150" s="235"/>
      <c r="W150" s="235"/>
      <c r="Y150" s="228" t="str">
        <f t="shared" si="5"/>
        <v>GoldDaye Non-Ferrous Metals Mining Ltd.</v>
      </c>
    </row>
    <row r="151" spans="1:25" s="228" customFormat="1" ht="20.25">
      <c r="A151" s="400" t="s">
        <v>1257</v>
      </c>
      <c r="B151" s="396" t="s">
        <v>2323</v>
      </c>
      <c r="C151" s="397" t="s">
        <v>4292</v>
      </c>
      <c r="D151" s="396" t="s">
        <v>4292</v>
      </c>
      <c r="E151" s="396" t="s">
        <v>2195</v>
      </c>
      <c r="F151" s="396" t="s">
        <v>1257</v>
      </c>
      <c r="G151" s="396" t="s">
        <v>3125</v>
      </c>
      <c r="H151" s="398" t="s">
        <v>5024</v>
      </c>
      <c r="I151" s="399" t="s">
        <v>3130</v>
      </c>
      <c r="J151" s="399" t="s">
        <v>3131</v>
      </c>
      <c r="K151" s="402"/>
      <c r="L151" s="402"/>
      <c r="M151" s="402" t="s">
        <v>5024</v>
      </c>
      <c r="N151" s="402" t="s">
        <v>5024</v>
      </c>
      <c r="O151" s="402" t="s">
        <v>5029</v>
      </c>
      <c r="P151" s="402" t="s">
        <v>924</v>
      </c>
      <c r="Q151" s="403" t="s">
        <v>5026</v>
      </c>
      <c r="R151" s="233"/>
      <c r="S151" s="234">
        <f>IF(C151="",NA(),MATCH($B151&amp;$C151,'Smelter Reference List'!$J:$J,0))</f>
        <v>47</v>
      </c>
      <c r="T151" s="235"/>
      <c r="U151" s="235">
        <f t="shared" si="4"/>
        <v>0</v>
      </c>
      <c r="V151" s="235"/>
      <c r="W151" s="235"/>
      <c r="Y151" s="228" t="str">
        <f t="shared" si="5"/>
        <v>GoldDODUCO GmbH</v>
      </c>
    </row>
    <row r="152" spans="1:25" s="228" customFormat="1" ht="20.25">
      <c r="A152" s="400" t="s">
        <v>1258</v>
      </c>
      <c r="B152" s="396" t="s">
        <v>2323</v>
      </c>
      <c r="C152" s="397" t="s">
        <v>1788</v>
      </c>
      <c r="D152" s="396" t="s">
        <v>1788</v>
      </c>
      <c r="E152" s="396" t="s">
        <v>2249</v>
      </c>
      <c r="F152" s="396" t="s">
        <v>1258</v>
      </c>
      <c r="G152" s="396" t="s">
        <v>3125</v>
      </c>
      <c r="H152" s="398" t="s">
        <v>5024</v>
      </c>
      <c r="I152" s="399" t="s">
        <v>3173</v>
      </c>
      <c r="J152" s="399" t="s">
        <v>3174</v>
      </c>
      <c r="K152" s="402"/>
      <c r="L152" s="402"/>
      <c r="M152" s="402" t="s">
        <v>5024</v>
      </c>
      <c r="N152" s="402" t="s">
        <v>5024</v>
      </c>
      <c r="O152" s="402" t="s">
        <v>5029</v>
      </c>
      <c r="P152" s="402" t="s">
        <v>924</v>
      </c>
      <c r="Q152" s="403" t="s">
        <v>5026</v>
      </c>
      <c r="R152" s="233"/>
      <c r="S152" s="234">
        <f>IF(C152="",NA(),MATCH($B152&amp;$C152,'Smelter Reference List'!$J:$J,0))</f>
        <v>49</v>
      </c>
      <c r="T152" s="235"/>
      <c r="U152" s="235">
        <f t="shared" si="4"/>
        <v>0</v>
      </c>
      <c r="V152" s="235"/>
      <c r="W152" s="235"/>
      <c r="Y152" s="228" t="str">
        <f t="shared" si="5"/>
        <v>GoldDowa</v>
      </c>
    </row>
    <row r="153" spans="1:25" s="228" customFormat="1" ht="20.25">
      <c r="A153" s="400" t="s">
        <v>1255</v>
      </c>
      <c r="B153" s="396" t="s">
        <v>2323</v>
      </c>
      <c r="C153" s="397" t="s">
        <v>4341</v>
      </c>
      <c r="D153" s="396" t="s">
        <v>4341</v>
      </c>
      <c r="E153" s="396" t="s">
        <v>5017</v>
      </c>
      <c r="F153" s="396" t="s">
        <v>1255</v>
      </c>
      <c r="G153" s="396" t="s">
        <v>3125</v>
      </c>
      <c r="H153" s="398" t="s">
        <v>5024</v>
      </c>
      <c r="I153" s="399" t="s">
        <v>3171</v>
      </c>
      <c r="J153" s="399" t="s">
        <v>3172</v>
      </c>
      <c r="K153" s="402"/>
      <c r="L153" s="402"/>
      <c r="M153" s="402" t="s">
        <v>5024</v>
      </c>
      <c r="N153" s="402" t="s">
        <v>5024</v>
      </c>
      <c r="O153" s="402" t="s">
        <v>5025</v>
      </c>
      <c r="P153" s="402" t="s">
        <v>925</v>
      </c>
      <c r="Q153" s="403" t="s">
        <v>5026</v>
      </c>
      <c r="R153" s="233"/>
      <c r="S153" s="234">
        <f>IF(C153="",NA(),MATCH($B153&amp;$C153,'Smelter Reference List'!$J:$J,0))</f>
        <v>53</v>
      </c>
      <c r="T153" s="235"/>
      <c r="U153" s="235">
        <f t="shared" si="4"/>
        <v>0</v>
      </c>
      <c r="V153" s="235"/>
      <c r="W153" s="235"/>
      <c r="Y153" s="228" t="str">
        <f t="shared" si="5"/>
        <v>GoldDSC (Do Sung Corporation)</v>
      </c>
    </row>
    <row r="154" spans="1:25" s="228" customFormat="1" ht="20.25">
      <c r="A154" s="400" t="s">
        <v>727</v>
      </c>
      <c r="B154" s="396" t="s">
        <v>2323</v>
      </c>
      <c r="C154" s="397" t="s">
        <v>726</v>
      </c>
      <c r="D154" s="396" t="s">
        <v>726</v>
      </c>
      <c r="E154" s="396" t="s">
        <v>2249</v>
      </c>
      <c r="F154" s="396" t="s">
        <v>727</v>
      </c>
      <c r="G154" s="396" t="s">
        <v>3125</v>
      </c>
      <c r="H154" s="398" t="s">
        <v>5024</v>
      </c>
      <c r="I154" s="399" t="s">
        <v>3178</v>
      </c>
      <c r="J154" s="399" t="s">
        <v>3179</v>
      </c>
      <c r="K154" s="402"/>
      <c r="L154" s="402"/>
      <c r="M154" s="402" t="s">
        <v>5024</v>
      </c>
      <c r="N154" s="402" t="s">
        <v>5024</v>
      </c>
      <c r="O154" s="402" t="s">
        <v>5025</v>
      </c>
      <c r="P154" s="402" t="s">
        <v>925</v>
      </c>
      <c r="Q154" s="403" t="s">
        <v>5026</v>
      </c>
      <c r="R154" s="233"/>
      <c r="S154" s="234">
        <f>IF(C154="",NA(),MATCH($B154&amp;$C154,'Smelter Reference List'!$J:$J,0))</f>
        <v>54</v>
      </c>
      <c r="T154" s="235"/>
      <c r="U154" s="235">
        <f t="shared" si="4"/>
        <v>0</v>
      </c>
      <c r="V154" s="235"/>
      <c r="W154" s="235"/>
      <c r="Y154" s="228" t="str">
        <f t="shared" si="5"/>
        <v>GoldEco-System Recycling Co., Ltd.</v>
      </c>
    </row>
    <row r="155" spans="1:25" s="228" customFormat="1" ht="20.25">
      <c r="A155" s="400" t="s">
        <v>1302</v>
      </c>
      <c r="B155" s="396" t="s">
        <v>2323</v>
      </c>
      <c r="C155" s="397" t="s">
        <v>4268</v>
      </c>
      <c r="D155" s="396" t="s">
        <v>4268</v>
      </c>
      <c r="E155" s="396" t="s">
        <v>5016</v>
      </c>
      <c r="F155" s="396" t="s">
        <v>1302</v>
      </c>
      <c r="G155" s="396" t="s">
        <v>3125</v>
      </c>
      <c r="H155" s="398" t="s">
        <v>5024</v>
      </c>
      <c r="I155" s="399" t="s">
        <v>3255</v>
      </c>
      <c r="J155" s="399" t="s">
        <v>3256</v>
      </c>
      <c r="K155" s="402"/>
      <c r="L155" s="402"/>
      <c r="M155" s="402" t="s">
        <v>5024</v>
      </c>
      <c r="N155" s="402" t="s">
        <v>5024</v>
      </c>
      <c r="O155" s="402" t="s">
        <v>5025</v>
      </c>
      <c r="P155" s="402" t="s">
        <v>925</v>
      </c>
      <c r="Q155" s="403" t="s">
        <v>5026</v>
      </c>
      <c r="R155" s="233"/>
      <c r="S155" s="234">
        <f>IF(C155="",NA(),MATCH($B155&amp;$C155,'Smelter Reference List'!$J:$J,0))</f>
        <v>55</v>
      </c>
      <c r="T155" s="235"/>
      <c r="U155" s="235">
        <f t="shared" si="4"/>
        <v>0</v>
      </c>
      <c r="V155" s="235"/>
      <c r="W155" s="235"/>
      <c r="Y155" s="228" t="str">
        <f t="shared" si="5"/>
        <v>GoldElemetal Refining, LLC</v>
      </c>
    </row>
    <row r="156" spans="1:25" s="228" customFormat="1" ht="20.25">
      <c r="A156" s="400" t="s">
        <v>3359</v>
      </c>
      <c r="B156" s="396" t="s">
        <v>2323</v>
      </c>
      <c r="C156" s="397" t="s">
        <v>3358</v>
      </c>
      <c r="D156" s="396" t="s">
        <v>3358</v>
      </c>
      <c r="E156" s="396" t="s">
        <v>2147</v>
      </c>
      <c r="F156" s="396" t="s">
        <v>3359</v>
      </c>
      <c r="G156" s="396" t="s">
        <v>3125</v>
      </c>
      <c r="H156" s="398" t="s">
        <v>5024</v>
      </c>
      <c r="I156" s="399" t="s">
        <v>3357</v>
      </c>
      <c r="J156" s="399" t="s">
        <v>3357</v>
      </c>
      <c r="K156" s="402"/>
      <c r="L156" s="402"/>
      <c r="M156" s="402" t="s">
        <v>5024</v>
      </c>
      <c r="N156" s="402" t="s">
        <v>5024</v>
      </c>
      <c r="O156" s="402" t="s">
        <v>5025</v>
      </c>
      <c r="P156" s="402" t="s">
        <v>925</v>
      </c>
      <c r="Q156" s="403" t="s">
        <v>5026</v>
      </c>
      <c r="R156" s="233"/>
      <c r="S156" s="234">
        <f>IF(C156="",NA(),MATCH($B156&amp;$C156,'Smelter Reference List'!$J:$J,0))</f>
        <v>56</v>
      </c>
      <c r="T156" s="235"/>
      <c r="U156" s="235">
        <f t="shared" si="4"/>
        <v>0</v>
      </c>
      <c r="V156" s="235"/>
      <c r="W156" s="235"/>
      <c r="Y156" s="228" t="str">
        <f t="shared" si="5"/>
        <v>GoldEmirates Gold DMCC</v>
      </c>
    </row>
    <row r="157" spans="1:25" s="228" customFormat="1" ht="25.5">
      <c r="A157" s="400" t="s">
        <v>1260</v>
      </c>
      <c r="B157" s="396" t="s">
        <v>2323</v>
      </c>
      <c r="C157" s="397" t="s">
        <v>4151</v>
      </c>
      <c r="D157" s="396" t="s">
        <v>4151</v>
      </c>
      <c r="E157" s="396" t="s">
        <v>2181</v>
      </c>
      <c r="F157" s="396" t="s">
        <v>1260</v>
      </c>
      <c r="G157" s="396" t="s">
        <v>3125</v>
      </c>
      <c r="H157" s="398" t="s">
        <v>5024</v>
      </c>
      <c r="I157" s="399" t="s">
        <v>3181</v>
      </c>
      <c r="J157" s="399" t="s">
        <v>3182</v>
      </c>
      <c r="K157" s="402"/>
      <c r="L157" s="402"/>
      <c r="M157" s="402" t="s">
        <v>5030</v>
      </c>
      <c r="N157" s="402" t="s">
        <v>5024</v>
      </c>
      <c r="O157" s="402" t="s">
        <v>926</v>
      </c>
      <c r="P157" s="402" t="s">
        <v>5024</v>
      </c>
      <c r="Q157" s="403" t="s">
        <v>5024</v>
      </c>
      <c r="R157" s="233"/>
      <c r="S157" s="234">
        <f>IF(C157="",NA(),MATCH($B157&amp;$C157,'Smelter Reference List'!$J:$J,0))</f>
        <v>61</v>
      </c>
      <c r="T157" s="235"/>
      <c r="U157" s="235">
        <f t="shared" si="4"/>
        <v>0</v>
      </c>
      <c r="V157" s="235"/>
      <c r="W157" s="235"/>
      <c r="Y157" s="228" t="str">
        <f t="shared" si="5"/>
        <v>GoldGansu Seemine Material Hi-Tech Co., Ltd.</v>
      </c>
    </row>
    <row r="158" spans="1:25" s="228" customFormat="1" ht="38.25">
      <c r="A158" s="400" t="s">
        <v>3344</v>
      </c>
      <c r="B158" s="396" t="s">
        <v>2323</v>
      </c>
      <c r="C158" s="397" t="s">
        <v>3343</v>
      </c>
      <c r="D158" s="396" t="s">
        <v>3343</v>
      </c>
      <c r="E158" s="396" t="s">
        <v>5016</v>
      </c>
      <c r="F158" s="396" t="s">
        <v>3344</v>
      </c>
      <c r="G158" s="396" t="s">
        <v>3125</v>
      </c>
      <c r="H158" s="398" t="s">
        <v>5024</v>
      </c>
      <c r="I158" s="399" t="s">
        <v>3126</v>
      </c>
      <c r="J158" s="399" t="s">
        <v>3127</v>
      </c>
      <c r="K158" s="402"/>
      <c r="L158" s="402"/>
      <c r="M158" s="402" t="s">
        <v>5031</v>
      </c>
      <c r="N158" s="402" t="s">
        <v>5024</v>
      </c>
      <c r="O158" s="402" t="s">
        <v>5029</v>
      </c>
      <c r="P158" s="402" t="s">
        <v>924</v>
      </c>
      <c r="Q158" s="403" t="s">
        <v>5035</v>
      </c>
      <c r="R158" s="233"/>
      <c r="S158" s="234">
        <f>IF(C158="",NA(),MATCH($B158&amp;$C158,'Smelter Reference List'!$J:$J,0))</f>
        <v>62</v>
      </c>
      <c r="T158" s="235"/>
      <c r="U158" s="235">
        <f t="shared" si="4"/>
        <v>0</v>
      </c>
      <c r="V158" s="235"/>
      <c r="W158" s="235"/>
      <c r="Y158" s="228" t="str">
        <f t="shared" si="5"/>
        <v>GoldGeib Refining Corporation</v>
      </c>
    </row>
    <row r="159" spans="1:25" s="228" customFormat="1" ht="20.25">
      <c r="A159" s="400" t="s">
        <v>1323</v>
      </c>
      <c r="B159" s="396" t="s">
        <v>2323</v>
      </c>
      <c r="C159" s="397" t="s">
        <v>4293</v>
      </c>
      <c r="D159" s="396" t="s">
        <v>4293</v>
      </c>
      <c r="E159" s="396" t="s">
        <v>2181</v>
      </c>
      <c r="F159" s="396" t="s">
        <v>1323</v>
      </c>
      <c r="G159" s="396" t="s">
        <v>3125</v>
      </c>
      <c r="H159" s="398" t="s">
        <v>5024</v>
      </c>
      <c r="I159" s="399" t="s">
        <v>3290</v>
      </c>
      <c r="J159" s="399" t="s">
        <v>3291</v>
      </c>
      <c r="K159" s="402"/>
      <c r="L159" s="402"/>
      <c r="M159" s="402" t="s">
        <v>5024</v>
      </c>
      <c r="N159" s="402" t="s">
        <v>5024</v>
      </c>
      <c r="O159" s="402" t="s">
        <v>926</v>
      </c>
      <c r="P159" s="402" t="s">
        <v>5024</v>
      </c>
      <c r="Q159" s="403" t="s">
        <v>5026</v>
      </c>
      <c r="R159" s="233"/>
      <c r="S159" s="234">
        <f>IF(C159="",NA(),MATCH($B159&amp;$C159,'Smelter Reference List'!$J:$J,0))</f>
        <v>65</v>
      </c>
      <c r="T159" s="235"/>
      <c r="U159" s="235">
        <f t="shared" si="4"/>
        <v>0</v>
      </c>
      <c r="V159" s="235"/>
      <c r="W159" s="235"/>
      <c r="Y159" s="228" t="str">
        <f t="shared" si="5"/>
        <v>GoldGreat Wall Precious Metals Co., Ltd. of CBPM</v>
      </c>
    </row>
    <row r="160" spans="1:25" s="228" customFormat="1" ht="25.5">
      <c r="A160" s="400" t="s">
        <v>1262</v>
      </c>
      <c r="B160" s="396" t="s">
        <v>2323</v>
      </c>
      <c r="C160" s="397" t="s">
        <v>1261</v>
      </c>
      <c r="D160" s="396" t="s">
        <v>1261</v>
      </c>
      <c r="E160" s="396" t="s">
        <v>2181</v>
      </c>
      <c r="F160" s="396" t="s">
        <v>1262</v>
      </c>
      <c r="G160" s="396" t="s">
        <v>3125</v>
      </c>
      <c r="H160" s="398" t="s">
        <v>5024</v>
      </c>
      <c r="I160" s="399" t="s">
        <v>3334</v>
      </c>
      <c r="J160" s="399" t="s">
        <v>3335</v>
      </c>
      <c r="K160" s="402"/>
      <c r="L160" s="402"/>
      <c r="M160" s="402" t="s">
        <v>5030</v>
      </c>
      <c r="N160" s="402" t="s">
        <v>5024</v>
      </c>
      <c r="O160" s="402" t="s">
        <v>926</v>
      </c>
      <c r="P160" s="402" t="s">
        <v>5024</v>
      </c>
      <c r="Q160" s="403" t="s">
        <v>5024</v>
      </c>
      <c r="R160" s="233"/>
      <c r="S160" s="234">
        <f>IF(C160="",NA(),MATCH($B160&amp;$C160,'Smelter Reference List'!$J:$J,0))</f>
        <v>67</v>
      </c>
      <c r="T160" s="235"/>
      <c r="U160" s="235">
        <f t="shared" si="4"/>
        <v>0</v>
      </c>
      <c r="V160" s="235"/>
      <c r="W160" s="235"/>
      <c r="Y160" s="228" t="str">
        <f t="shared" si="5"/>
        <v>GoldGuangdong Jinding Gold Limited</v>
      </c>
    </row>
    <row r="161" spans="1:25" s="228" customFormat="1" ht="25.5">
      <c r="A161" s="400" t="s">
        <v>3184</v>
      </c>
      <c r="B161" s="396" t="s">
        <v>2323</v>
      </c>
      <c r="C161" s="397" t="s">
        <v>3183</v>
      </c>
      <c r="D161" s="396" t="s">
        <v>3183</v>
      </c>
      <c r="E161" s="396" t="s">
        <v>2181</v>
      </c>
      <c r="F161" s="396" t="s">
        <v>3184</v>
      </c>
      <c r="G161" s="396" t="s">
        <v>3125</v>
      </c>
      <c r="H161" s="398" t="s">
        <v>5024</v>
      </c>
      <c r="I161" s="399" t="s">
        <v>3185</v>
      </c>
      <c r="J161" s="399" t="s">
        <v>3264</v>
      </c>
      <c r="K161" s="402"/>
      <c r="L161" s="402"/>
      <c r="M161" s="402" t="s">
        <v>5030</v>
      </c>
      <c r="N161" s="402" t="s">
        <v>5024</v>
      </c>
      <c r="O161" s="402" t="s">
        <v>926</v>
      </c>
      <c r="P161" s="402" t="s">
        <v>5024</v>
      </c>
      <c r="Q161" s="403" t="s">
        <v>5024</v>
      </c>
      <c r="R161" s="233"/>
      <c r="S161" s="234">
        <f>IF(C161="",NA(),MATCH($B161&amp;$C161,'Smelter Reference List'!$J:$J,0))</f>
        <v>69</v>
      </c>
      <c r="T161" s="235"/>
      <c r="U161" s="235">
        <f t="shared" si="4"/>
        <v>0</v>
      </c>
      <c r="V161" s="235"/>
      <c r="W161" s="235"/>
      <c r="Y161" s="228" t="str">
        <f t="shared" si="5"/>
        <v>GoldGuoda Safina High-Tech Environmental Refinery Co., Ltd.</v>
      </c>
    </row>
    <row r="162" spans="1:25" s="228" customFormat="1" ht="25.5">
      <c r="A162" s="400" t="s">
        <v>724</v>
      </c>
      <c r="B162" s="396" t="s">
        <v>2323</v>
      </c>
      <c r="C162" s="397" t="s">
        <v>723</v>
      </c>
      <c r="D162" s="396" t="s">
        <v>723</v>
      </c>
      <c r="E162" s="396" t="s">
        <v>2181</v>
      </c>
      <c r="F162" s="396" t="s">
        <v>724</v>
      </c>
      <c r="G162" s="396" t="s">
        <v>3125</v>
      </c>
      <c r="H162" s="398" t="s">
        <v>5024</v>
      </c>
      <c r="I162" s="399" t="s">
        <v>3188</v>
      </c>
      <c r="J162" s="399" t="s">
        <v>3189</v>
      </c>
      <c r="K162" s="402"/>
      <c r="L162" s="402"/>
      <c r="M162" s="402" t="s">
        <v>5030</v>
      </c>
      <c r="N162" s="402" t="s">
        <v>5024</v>
      </c>
      <c r="O162" s="402" t="s">
        <v>926</v>
      </c>
      <c r="P162" s="402" t="s">
        <v>5024</v>
      </c>
      <c r="Q162" s="403" t="s">
        <v>5024</v>
      </c>
      <c r="R162" s="233"/>
      <c r="S162" s="234">
        <f>IF(C162="",NA(),MATCH($B162&amp;$C162,'Smelter Reference List'!$J:$J,0))</f>
        <v>70</v>
      </c>
      <c r="T162" s="235"/>
      <c r="U162" s="235">
        <f t="shared" si="4"/>
        <v>0</v>
      </c>
      <c r="V162" s="235"/>
      <c r="W162" s="235"/>
      <c r="Y162" s="228" t="str">
        <f t="shared" si="5"/>
        <v>GoldHangzhou Fuchunjiang Smelting Co., Ltd.</v>
      </c>
    </row>
    <row r="163" spans="1:25" s="228" customFormat="1" ht="20.25">
      <c r="A163" s="400" t="s">
        <v>1263</v>
      </c>
      <c r="B163" s="396" t="s">
        <v>2323</v>
      </c>
      <c r="C163" s="397" t="s">
        <v>1959</v>
      </c>
      <c r="D163" s="396" t="s">
        <v>1959</v>
      </c>
      <c r="E163" s="396" t="s">
        <v>2195</v>
      </c>
      <c r="F163" s="396" t="s">
        <v>1263</v>
      </c>
      <c r="G163" s="396" t="s">
        <v>3125</v>
      </c>
      <c r="H163" s="398" t="s">
        <v>5024</v>
      </c>
      <c r="I163" s="399" t="s">
        <v>3130</v>
      </c>
      <c r="J163" s="399" t="s">
        <v>3131</v>
      </c>
      <c r="K163" s="402"/>
      <c r="L163" s="402"/>
      <c r="M163" s="402" t="s">
        <v>5024</v>
      </c>
      <c r="N163" s="402" t="s">
        <v>5024</v>
      </c>
      <c r="O163" s="402" t="s">
        <v>926</v>
      </c>
      <c r="P163" s="402" t="s">
        <v>5024</v>
      </c>
      <c r="Q163" s="403" t="s">
        <v>5026</v>
      </c>
      <c r="R163" s="233"/>
      <c r="S163" s="234">
        <f>IF(C163="",NA(),MATCH($B163&amp;$C163,'Smelter Reference List'!$J:$J,0))</f>
        <v>71</v>
      </c>
      <c r="T163" s="235"/>
      <c r="U163" s="235">
        <f t="shared" si="4"/>
        <v>0</v>
      </c>
      <c r="V163" s="235"/>
      <c r="W163" s="235"/>
      <c r="Y163" s="228" t="str">
        <f t="shared" si="5"/>
        <v>GoldHeimerle + Meule GmbH</v>
      </c>
    </row>
    <row r="164" spans="1:25" s="228" customFormat="1" ht="20.25">
      <c r="A164" s="400" t="s">
        <v>1264</v>
      </c>
      <c r="B164" s="396" t="s">
        <v>2323</v>
      </c>
      <c r="C164" s="397" t="s">
        <v>72</v>
      </c>
      <c r="D164" s="396" t="s">
        <v>72</v>
      </c>
      <c r="E164" s="396" t="s">
        <v>2181</v>
      </c>
      <c r="F164" s="396" t="s">
        <v>1264</v>
      </c>
      <c r="G164" s="396" t="s">
        <v>3125</v>
      </c>
      <c r="H164" s="398" t="s">
        <v>5024</v>
      </c>
      <c r="I164" s="399" t="s">
        <v>3190</v>
      </c>
      <c r="J164" s="399" t="s">
        <v>3191</v>
      </c>
      <c r="K164" s="402"/>
      <c r="L164" s="402"/>
      <c r="M164" s="402" t="s">
        <v>5024</v>
      </c>
      <c r="N164" s="402" t="s">
        <v>5024</v>
      </c>
      <c r="O164" s="402" t="s">
        <v>5025</v>
      </c>
      <c r="P164" s="402" t="s">
        <v>925</v>
      </c>
      <c r="Q164" s="403" t="s">
        <v>5026</v>
      </c>
      <c r="R164" s="233"/>
      <c r="S164" s="234">
        <f>IF(C164="",NA(),MATCH($B164&amp;$C164,'Smelter Reference List'!$J:$J,0))</f>
        <v>75</v>
      </c>
      <c r="T164" s="235"/>
      <c r="U164" s="235">
        <f t="shared" si="4"/>
        <v>0</v>
      </c>
      <c r="V164" s="235"/>
      <c r="W164" s="235"/>
      <c r="Y164" s="228" t="str">
        <f t="shared" si="5"/>
        <v>GoldHeraeus Ltd. Hong Kong</v>
      </c>
    </row>
    <row r="165" spans="1:25" s="228" customFormat="1" ht="20.25">
      <c r="A165" s="400" t="s">
        <v>1265</v>
      </c>
      <c r="B165" s="396" t="s">
        <v>2323</v>
      </c>
      <c r="C165" s="397" t="s">
        <v>2451</v>
      </c>
      <c r="D165" s="396" t="s">
        <v>2451</v>
      </c>
      <c r="E165" s="396" t="s">
        <v>2195</v>
      </c>
      <c r="F165" s="396" t="s">
        <v>1265</v>
      </c>
      <c r="G165" s="396" t="s">
        <v>3125</v>
      </c>
      <c r="H165" s="398" t="s">
        <v>5024</v>
      </c>
      <c r="I165" s="399" t="s">
        <v>3192</v>
      </c>
      <c r="J165" s="399" t="s">
        <v>3193</v>
      </c>
      <c r="K165" s="402"/>
      <c r="L165" s="402"/>
      <c r="M165" s="402" t="s">
        <v>5024</v>
      </c>
      <c r="N165" s="402" t="s">
        <v>5024</v>
      </c>
      <c r="O165" s="402" t="s">
        <v>5025</v>
      </c>
      <c r="P165" s="402" t="s">
        <v>925</v>
      </c>
      <c r="Q165" s="403" t="s">
        <v>5026</v>
      </c>
      <c r="R165" s="233"/>
      <c r="S165" s="234">
        <f>IF(C165="",NA(),MATCH($B165&amp;$C165,'Smelter Reference List'!$J:$J,0))</f>
        <v>76</v>
      </c>
      <c r="T165" s="235"/>
      <c r="U165" s="235">
        <f t="shared" si="4"/>
        <v>0</v>
      </c>
      <c r="V165" s="235"/>
      <c r="W165" s="235"/>
      <c r="Y165" s="228" t="str">
        <f t="shared" si="5"/>
        <v>GoldHeraeus Precious Metals GmbH &amp; Co. KG</v>
      </c>
    </row>
    <row r="166" spans="1:25" s="228" customFormat="1" ht="25.5">
      <c r="A166" s="400" t="s">
        <v>1266</v>
      </c>
      <c r="B166" s="396" t="s">
        <v>2323</v>
      </c>
      <c r="C166" s="397" t="s">
        <v>4286</v>
      </c>
      <c r="D166" s="396" t="s">
        <v>4286</v>
      </c>
      <c r="E166" s="396" t="s">
        <v>2181</v>
      </c>
      <c r="F166" s="396" t="s">
        <v>1266</v>
      </c>
      <c r="G166" s="396" t="s">
        <v>3125</v>
      </c>
      <c r="H166" s="398" t="s">
        <v>5024</v>
      </c>
      <c r="I166" s="399" t="s">
        <v>4137</v>
      </c>
      <c r="J166" s="399" t="s">
        <v>3186</v>
      </c>
      <c r="K166" s="402"/>
      <c r="L166" s="402"/>
      <c r="M166" s="402" t="s">
        <v>5030</v>
      </c>
      <c r="N166" s="402" t="s">
        <v>5024</v>
      </c>
      <c r="O166" s="402" t="s">
        <v>926</v>
      </c>
      <c r="P166" s="402" t="s">
        <v>5024</v>
      </c>
      <c r="Q166" s="403" t="s">
        <v>5024</v>
      </c>
      <c r="R166" s="233"/>
      <c r="S166" s="234">
        <f>IF(C166="",NA(),MATCH($B166&amp;$C166,'Smelter Reference List'!$J:$J,0))</f>
        <v>77</v>
      </c>
      <c r="T166" s="235"/>
      <c r="U166" s="235">
        <f t="shared" si="4"/>
        <v>0</v>
      </c>
      <c r="V166" s="235"/>
      <c r="W166" s="235"/>
      <c r="Y166" s="228" t="str">
        <f t="shared" si="5"/>
        <v>GoldHunan Chenzhou Mining Co., Ltd.</v>
      </c>
    </row>
    <row r="167" spans="1:25" s="228" customFormat="1" ht="25.5">
      <c r="A167" s="400" t="s">
        <v>1267</v>
      </c>
      <c r="B167" s="396" t="s">
        <v>2323</v>
      </c>
      <c r="C167" s="397" t="s">
        <v>5038</v>
      </c>
      <c r="D167" s="396" t="s">
        <v>5038</v>
      </c>
      <c r="E167" s="396" t="s">
        <v>5017</v>
      </c>
      <c r="F167" s="396" t="s">
        <v>1267</v>
      </c>
      <c r="G167" s="396" t="s">
        <v>3125</v>
      </c>
      <c r="H167" s="398" t="s">
        <v>5024</v>
      </c>
      <c r="I167" s="399" t="s">
        <v>3196</v>
      </c>
      <c r="J167" s="399" t="s">
        <v>3172</v>
      </c>
      <c r="K167" s="402"/>
      <c r="L167" s="402"/>
      <c r="M167" s="402" t="s">
        <v>5030</v>
      </c>
      <c r="N167" s="402" t="s">
        <v>5024</v>
      </c>
      <c r="O167" s="402" t="s">
        <v>926</v>
      </c>
      <c r="P167" s="402" t="s">
        <v>5024</v>
      </c>
      <c r="Q167" s="403" t="s">
        <v>5024</v>
      </c>
      <c r="R167" s="233"/>
      <c r="S167" s="234" t="e">
        <f>IF(C167="",NA(),MATCH($B167&amp;$C167,'Smelter Reference List'!$J:$J,0))</f>
        <v>#N/A</v>
      </c>
      <c r="T167" s="235"/>
      <c r="U167" s="235">
        <f t="shared" si="4"/>
        <v>0</v>
      </c>
      <c r="V167" s="235"/>
      <c r="W167" s="235"/>
      <c r="Y167" s="228" t="str">
        <f t="shared" si="5"/>
        <v>GoldHwaSeong CJ Co., Ltd.</v>
      </c>
    </row>
    <row r="168" spans="1:25" s="228" customFormat="1" ht="25.5">
      <c r="A168" s="400" t="s">
        <v>1268</v>
      </c>
      <c r="B168" s="396" t="s">
        <v>2323</v>
      </c>
      <c r="C168" s="397" t="s">
        <v>4688</v>
      </c>
      <c r="D168" s="396" t="s">
        <v>4688</v>
      </c>
      <c r="E168" s="396" t="s">
        <v>2181</v>
      </c>
      <c r="F168" s="396" t="s">
        <v>1268</v>
      </c>
      <c r="G168" s="396" t="s">
        <v>3125</v>
      </c>
      <c r="H168" s="398" t="s">
        <v>5024</v>
      </c>
      <c r="I168" s="399" t="s">
        <v>3197</v>
      </c>
      <c r="J168" s="399" t="s">
        <v>3198</v>
      </c>
      <c r="K168" s="402"/>
      <c r="L168" s="402"/>
      <c r="M168" s="402" t="s">
        <v>5024</v>
      </c>
      <c r="N168" s="402" t="s">
        <v>5024</v>
      </c>
      <c r="O168" s="402" t="s">
        <v>926</v>
      </c>
      <c r="P168" s="402" t="s">
        <v>5024</v>
      </c>
      <c r="Q168" s="403" t="s">
        <v>5026</v>
      </c>
      <c r="R168" s="233"/>
      <c r="S168" s="234">
        <f>IF(C168="",NA(),MATCH($B168&amp;$C168,'Smelter Reference List'!$J:$J,0))</f>
        <v>81</v>
      </c>
      <c r="T168" s="235"/>
      <c r="U168" s="235">
        <f t="shared" si="4"/>
        <v>0</v>
      </c>
      <c r="V168" s="235"/>
      <c r="W168" s="235"/>
      <c r="Y168" s="228" t="str">
        <f t="shared" si="5"/>
        <v>GoldInner Mongolia Qiankun Gold and Silver Refinery Share Co., Ltd.</v>
      </c>
    </row>
    <row r="169" spans="1:25" s="228" customFormat="1" ht="20.25">
      <c r="A169" s="400" t="s">
        <v>1269</v>
      </c>
      <c r="B169" s="396" t="s">
        <v>2323</v>
      </c>
      <c r="C169" s="397" t="s">
        <v>2452</v>
      </c>
      <c r="D169" s="396" t="s">
        <v>2452</v>
      </c>
      <c r="E169" s="396" t="s">
        <v>2249</v>
      </c>
      <c r="F169" s="396" t="s">
        <v>1269</v>
      </c>
      <c r="G169" s="396" t="s">
        <v>3125</v>
      </c>
      <c r="H169" s="398" t="s">
        <v>5024</v>
      </c>
      <c r="I169" s="399" t="s">
        <v>3199</v>
      </c>
      <c r="J169" s="399" t="s">
        <v>3179</v>
      </c>
      <c r="K169" s="402"/>
      <c r="L169" s="402"/>
      <c r="M169" s="402" t="s">
        <v>5024</v>
      </c>
      <c r="N169" s="402" t="s">
        <v>5024</v>
      </c>
      <c r="O169" s="402" t="s">
        <v>5025</v>
      </c>
      <c r="P169" s="402" t="s">
        <v>925</v>
      </c>
      <c r="Q169" s="403" t="s">
        <v>5026</v>
      </c>
      <c r="R169" s="233"/>
      <c r="S169" s="234">
        <f>IF(C169="",NA(),MATCH($B169&amp;$C169,'Smelter Reference List'!$J:$J,0))</f>
        <v>82</v>
      </c>
      <c r="T169" s="235"/>
      <c r="U169" s="235">
        <f t="shared" si="4"/>
        <v>0</v>
      </c>
      <c r="V169" s="235"/>
      <c r="W169" s="235"/>
      <c r="Y169" s="228" t="str">
        <f t="shared" si="5"/>
        <v>GoldIshifuku Metal Industry Co., Ltd.</v>
      </c>
    </row>
    <row r="170" spans="1:25" s="228" customFormat="1" ht="20.25">
      <c r="A170" s="400" t="s">
        <v>1270</v>
      </c>
      <c r="B170" s="396" t="s">
        <v>2323</v>
      </c>
      <c r="C170" s="397" t="s">
        <v>2459</v>
      </c>
      <c r="D170" s="396" t="s">
        <v>2459</v>
      </c>
      <c r="E170" s="396" t="s">
        <v>1751</v>
      </c>
      <c r="F170" s="396" t="s">
        <v>1270</v>
      </c>
      <c r="G170" s="396" t="s">
        <v>3125</v>
      </c>
      <c r="H170" s="398" t="s">
        <v>5024</v>
      </c>
      <c r="I170" s="399" t="s">
        <v>3200</v>
      </c>
      <c r="J170" s="399" t="s">
        <v>3144</v>
      </c>
      <c r="K170" s="402"/>
      <c r="L170" s="402"/>
      <c r="M170" s="402" t="s">
        <v>5024</v>
      </c>
      <c r="N170" s="402" t="s">
        <v>5024</v>
      </c>
      <c r="O170" s="402" t="s">
        <v>5025</v>
      </c>
      <c r="P170" s="402" t="s">
        <v>925</v>
      </c>
      <c r="Q170" s="403" t="s">
        <v>5026</v>
      </c>
      <c r="R170" s="233"/>
      <c r="S170" s="234">
        <f>IF(C170="",NA(),MATCH($B170&amp;$C170,'Smelter Reference List'!$J:$J,0))</f>
        <v>83</v>
      </c>
      <c r="T170" s="235"/>
      <c r="U170" s="235">
        <f t="shared" si="4"/>
        <v>0</v>
      </c>
      <c r="V170" s="235"/>
      <c r="W170" s="235"/>
      <c r="Y170" s="228" t="str">
        <f t="shared" si="5"/>
        <v>GoldIstanbul Gold Refinery</v>
      </c>
    </row>
    <row r="171" spans="1:25" s="228" customFormat="1" ht="20.25">
      <c r="A171" s="400" t="s">
        <v>1271</v>
      </c>
      <c r="B171" s="396" t="s">
        <v>2323</v>
      </c>
      <c r="C171" s="397" t="s">
        <v>1790</v>
      </c>
      <c r="D171" s="396" t="s">
        <v>1790</v>
      </c>
      <c r="E171" s="396" t="s">
        <v>2249</v>
      </c>
      <c r="F171" s="396" t="s">
        <v>1271</v>
      </c>
      <c r="G171" s="396" t="s">
        <v>3125</v>
      </c>
      <c r="H171" s="398" t="s">
        <v>5024</v>
      </c>
      <c r="I171" s="399" t="s">
        <v>3201</v>
      </c>
      <c r="J171" s="399" t="s">
        <v>3202</v>
      </c>
      <c r="K171" s="402"/>
      <c r="L171" s="402"/>
      <c r="M171" s="402" t="s">
        <v>5024</v>
      </c>
      <c r="N171" s="402" t="s">
        <v>5024</v>
      </c>
      <c r="O171" s="402" t="s">
        <v>926</v>
      </c>
      <c r="P171" s="402" t="s">
        <v>5024</v>
      </c>
      <c r="Q171" s="403" t="s">
        <v>5026</v>
      </c>
      <c r="R171" s="233"/>
      <c r="S171" s="234">
        <f>IF(C171="",NA(),MATCH($B171&amp;$C171,'Smelter Reference List'!$J:$J,0))</f>
        <v>84</v>
      </c>
      <c r="T171" s="235"/>
      <c r="U171" s="235">
        <f t="shared" si="4"/>
        <v>0</v>
      </c>
      <c r="V171" s="235"/>
      <c r="W171" s="235"/>
      <c r="Y171" s="228" t="str">
        <f t="shared" si="5"/>
        <v>GoldJapan Mint</v>
      </c>
    </row>
    <row r="172" spans="1:25" s="228" customFormat="1" ht="20.25">
      <c r="A172" s="400" t="s">
        <v>1272</v>
      </c>
      <c r="B172" s="396" t="s">
        <v>2323</v>
      </c>
      <c r="C172" s="397" t="s">
        <v>4689</v>
      </c>
      <c r="D172" s="396" t="s">
        <v>4689</v>
      </c>
      <c r="E172" s="396" t="s">
        <v>2181</v>
      </c>
      <c r="F172" s="396" t="s">
        <v>1272</v>
      </c>
      <c r="G172" s="396" t="s">
        <v>3125</v>
      </c>
      <c r="H172" s="398" t="s">
        <v>5024</v>
      </c>
      <c r="I172" s="399" t="s">
        <v>3203</v>
      </c>
      <c r="J172" s="399" t="s">
        <v>3204</v>
      </c>
      <c r="K172" s="402"/>
      <c r="L172" s="402"/>
      <c r="M172" s="402" t="s">
        <v>5024</v>
      </c>
      <c r="N172" s="402" t="s">
        <v>5024</v>
      </c>
      <c r="O172" s="402" t="s">
        <v>926</v>
      </c>
      <c r="P172" s="402" t="s">
        <v>5024</v>
      </c>
      <c r="Q172" s="403" t="s">
        <v>5026</v>
      </c>
      <c r="R172" s="233"/>
      <c r="S172" s="234">
        <f>IF(C172="",NA(),MATCH($B172&amp;$C172,'Smelter Reference List'!$J:$J,0))</f>
        <v>86</v>
      </c>
      <c r="T172" s="235"/>
      <c r="U172" s="235">
        <f t="shared" si="4"/>
        <v>0</v>
      </c>
      <c r="V172" s="235"/>
      <c r="W172" s="235"/>
      <c r="Y172" s="228" t="str">
        <f t="shared" si="5"/>
        <v>GoldJiangxi Copper Co., Ltd.</v>
      </c>
    </row>
    <row r="173" spans="1:25" s="228" customFormat="1" ht="25.5">
      <c r="A173" s="400" t="s">
        <v>1275</v>
      </c>
      <c r="B173" s="396" t="s">
        <v>2323</v>
      </c>
      <c r="C173" s="397" t="s">
        <v>1791</v>
      </c>
      <c r="D173" s="396" t="s">
        <v>1791</v>
      </c>
      <c r="E173" s="396" t="s">
        <v>1717</v>
      </c>
      <c r="F173" s="396" t="s">
        <v>1275</v>
      </c>
      <c r="G173" s="396" t="s">
        <v>3125</v>
      </c>
      <c r="H173" s="398" t="s">
        <v>5024</v>
      </c>
      <c r="I173" s="399" t="s">
        <v>3211</v>
      </c>
      <c r="J173" s="399" t="s">
        <v>3212</v>
      </c>
      <c r="K173" s="402"/>
      <c r="L173" s="402"/>
      <c r="M173" s="402" t="s">
        <v>5024</v>
      </c>
      <c r="N173" s="402" t="s">
        <v>5024</v>
      </c>
      <c r="O173" s="402" t="s">
        <v>5025</v>
      </c>
      <c r="P173" s="402" t="s">
        <v>925</v>
      </c>
      <c r="Q173" s="403" t="s">
        <v>5026</v>
      </c>
      <c r="R173" s="233"/>
      <c r="S173" s="234">
        <f>IF(C173="",NA(),MATCH($B173&amp;$C173,'Smelter Reference List'!$J:$J,0))</f>
        <v>91</v>
      </c>
      <c r="T173" s="235"/>
      <c r="U173" s="235">
        <f t="shared" si="4"/>
        <v>0</v>
      </c>
      <c r="V173" s="235"/>
      <c r="W173" s="235"/>
      <c r="Y173" s="228" t="str">
        <f t="shared" si="5"/>
        <v>GoldJSC Ekaterinburg Non-Ferrous Metal Processing Plant</v>
      </c>
    </row>
    <row r="174" spans="1:25" s="228" customFormat="1" ht="20.25">
      <c r="A174" s="400" t="s">
        <v>1276</v>
      </c>
      <c r="B174" s="396" t="s">
        <v>2323</v>
      </c>
      <c r="C174" s="397" t="s">
        <v>2729</v>
      </c>
      <c r="D174" s="396" t="s">
        <v>2729</v>
      </c>
      <c r="E174" s="396" t="s">
        <v>1717</v>
      </c>
      <c r="F174" s="396" t="s">
        <v>1276</v>
      </c>
      <c r="G174" s="396" t="s">
        <v>3125</v>
      </c>
      <c r="H174" s="398" t="s">
        <v>5024</v>
      </c>
      <c r="I174" s="399" t="s">
        <v>3211</v>
      </c>
      <c r="J174" s="399" t="s">
        <v>3212</v>
      </c>
      <c r="K174" s="402"/>
      <c r="L174" s="402"/>
      <c r="M174" s="402" t="s">
        <v>5024</v>
      </c>
      <c r="N174" s="402" t="s">
        <v>5024</v>
      </c>
      <c r="O174" s="402" t="s">
        <v>926</v>
      </c>
      <c r="P174" s="402" t="s">
        <v>5024</v>
      </c>
      <c r="Q174" s="403" t="s">
        <v>5026</v>
      </c>
      <c r="R174" s="233"/>
      <c r="S174" s="234">
        <f>IF(C174="",NA(),MATCH($B174&amp;$C174,'Smelter Reference List'!$J:$J,0))</f>
        <v>92</v>
      </c>
      <c r="T174" s="235"/>
      <c r="U174" s="235">
        <f t="shared" si="4"/>
        <v>0</v>
      </c>
      <c r="V174" s="235"/>
      <c r="W174" s="235"/>
      <c r="Y174" s="228" t="str">
        <f t="shared" si="5"/>
        <v>GoldJSC Uralelectromed</v>
      </c>
    </row>
    <row r="175" spans="1:25" s="228" customFormat="1" ht="20.25">
      <c r="A175" s="400" t="s">
        <v>1277</v>
      </c>
      <c r="B175" s="396" t="s">
        <v>2323</v>
      </c>
      <c r="C175" s="397" t="s">
        <v>73</v>
      </c>
      <c r="D175" s="396" t="s">
        <v>73</v>
      </c>
      <c r="E175" s="396" t="s">
        <v>2249</v>
      </c>
      <c r="F175" s="396" t="s">
        <v>1277</v>
      </c>
      <c r="G175" s="396" t="s">
        <v>3125</v>
      </c>
      <c r="H175" s="398" t="s">
        <v>5024</v>
      </c>
      <c r="I175" s="399" t="s">
        <v>4844</v>
      </c>
      <c r="J175" s="399" t="s">
        <v>4844</v>
      </c>
      <c r="K175" s="402"/>
      <c r="L175" s="402"/>
      <c r="M175" s="402" t="s">
        <v>5024</v>
      </c>
      <c r="N175" s="402" t="s">
        <v>5024</v>
      </c>
      <c r="O175" s="402" t="s">
        <v>926</v>
      </c>
      <c r="P175" s="402" t="s">
        <v>5024</v>
      </c>
      <c r="Q175" s="403" t="s">
        <v>5026</v>
      </c>
      <c r="R175" s="233"/>
      <c r="S175" s="234">
        <f>IF(C175="",NA(),MATCH($B175&amp;$C175,'Smelter Reference List'!$J:$J,0))</f>
        <v>93</v>
      </c>
      <c r="T175" s="235"/>
      <c r="U175" s="235">
        <f t="shared" si="4"/>
        <v>0</v>
      </c>
      <c r="V175" s="235"/>
      <c r="W175" s="235"/>
      <c r="Y175" s="228" t="str">
        <f t="shared" si="5"/>
        <v>GoldJX Nippon Mining &amp; Metals Co., Ltd.</v>
      </c>
    </row>
    <row r="176" spans="1:25" s="228" customFormat="1" ht="38.25">
      <c r="A176" s="400" t="s">
        <v>4248</v>
      </c>
      <c r="B176" s="396" t="s">
        <v>2323</v>
      </c>
      <c r="C176" s="397" t="s">
        <v>4247</v>
      </c>
      <c r="D176" s="396" t="s">
        <v>4247</v>
      </c>
      <c r="E176" s="396" t="s">
        <v>2250</v>
      </c>
      <c r="F176" s="396" t="s">
        <v>4248</v>
      </c>
      <c r="G176" s="396" t="s">
        <v>3125</v>
      </c>
      <c r="H176" s="398" t="s">
        <v>5024</v>
      </c>
      <c r="I176" s="399" t="s">
        <v>4250</v>
      </c>
      <c r="J176" s="399" t="s">
        <v>4249</v>
      </c>
      <c r="K176" s="402"/>
      <c r="L176" s="402"/>
      <c r="M176" s="402" t="s">
        <v>5024</v>
      </c>
      <c r="N176" s="402" t="s">
        <v>5024</v>
      </c>
      <c r="O176" s="402" t="s">
        <v>5025</v>
      </c>
      <c r="P176" s="402" t="s">
        <v>925</v>
      </c>
      <c r="Q176" s="403" t="s">
        <v>5035</v>
      </c>
      <c r="R176" s="233"/>
      <c r="S176" s="234">
        <f>IF(C176="",NA(),MATCH($B176&amp;$C176,'Smelter Reference List'!$J:$J,0))</f>
        <v>95</v>
      </c>
      <c r="T176" s="235"/>
      <c r="U176" s="235">
        <f t="shared" si="4"/>
        <v>0</v>
      </c>
      <c r="V176" s="235"/>
      <c r="W176" s="235"/>
      <c r="Y176" s="228" t="str">
        <f t="shared" si="5"/>
        <v>GoldKazakhmys Smelting LLC</v>
      </c>
    </row>
    <row r="177" spans="1:25" s="228" customFormat="1" ht="20.25">
      <c r="A177" s="400" t="s">
        <v>1278</v>
      </c>
      <c r="B177" s="396" t="s">
        <v>2323</v>
      </c>
      <c r="C177" s="397" t="s">
        <v>3213</v>
      </c>
      <c r="D177" s="396" t="s">
        <v>3213</v>
      </c>
      <c r="E177" s="396" t="s">
        <v>2250</v>
      </c>
      <c r="F177" s="396" t="s">
        <v>1278</v>
      </c>
      <c r="G177" s="396" t="s">
        <v>3125</v>
      </c>
      <c r="H177" s="398" t="s">
        <v>5024</v>
      </c>
      <c r="I177" s="399" t="s">
        <v>3214</v>
      </c>
      <c r="J177" s="399" t="s">
        <v>3403</v>
      </c>
      <c r="K177" s="402"/>
      <c r="L177" s="402"/>
      <c r="M177" s="402" t="s">
        <v>5024</v>
      </c>
      <c r="N177" s="402" t="s">
        <v>5024</v>
      </c>
      <c r="O177" s="402" t="s">
        <v>5025</v>
      </c>
      <c r="P177" s="402" t="s">
        <v>925</v>
      </c>
      <c r="Q177" s="403" t="s">
        <v>5026</v>
      </c>
      <c r="R177" s="233"/>
      <c r="S177" s="234">
        <f>IF(C177="",NA(),MATCH($B177&amp;$C177,'Smelter Reference List'!$J:$J,0))</f>
        <v>96</v>
      </c>
      <c r="T177" s="235"/>
      <c r="U177" s="235">
        <f t="shared" si="4"/>
        <v>0</v>
      </c>
      <c r="V177" s="235"/>
      <c r="W177" s="235"/>
      <c r="Y177" s="228" t="str">
        <f t="shared" si="5"/>
        <v>GoldKazzinc</v>
      </c>
    </row>
    <row r="178" spans="1:25" s="228" customFormat="1" ht="20.25">
      <c r="A178" s="400" t="s">
        <v>1280</v>
      </c>
      <c r="B178" s="396" t="s">
        <v>2323</v>
      </c>
      <c r="C178" s="397" t="s">
        <v>1279</v>
      </c>
      <c r="D178" s="396" t="s">
        <v>1279</v>
      </c>
      <c r="E178" s="396" t="s">
        <v>5016</v>
      </c>
      <c r="F178" s="396" t="s">
        <v>1280</v>
      </c>
      <c r="G178" s="396" t="s">
        <v>3125</v>
      </c>
      <c r="H178" s="398" t="s">
        <v>5024</v>
      </c>
      <c r="I178" s="399" t="s">
        <v>3215</v>
      </c>
      <c r="J178" s="399" t="s">
        <v>3207</v>
      </c>
      <c r="K178" s="402"/>
      <c r="L178" s="402"/>
      <c r="M178" s="402" t="s">
        <v>5024</v>
      </c>
      <c r="N178" s="402" t="s">
        <v>5024</v>
      </c>
      <c r="O178" s="402" t="s">
        <v>5025</v>
      </c>
      <c r="P178" s="402" t="s">
        <v>925</v>
      </c>
      <c r="Q178" s="403" t="s">
        <v>5026</v>
      </c>
      <c r="R178" s="233"/>
      <c r="S178" s="234">
        <f>IF(C178="",NA(),MATCH($B178&amp;$C178,'Smelter Reference List'!$J:$J,0))</f>
        <v>97</v>
      </c>
      <c r="T178" s="235"/>
      <c r="U178" s="235">
        <f t="shared" si="4"/>
        <v>0</v>
      </c>
      <c r="V178" s="235"/>
      <c r="W178" s="235"/>
      <c r="Y178" s="228" t="str">
        <f t="shared" si="5"/>
        <v>GoldKennecott Utah Copper LLC</v>
      </c>
    </row>
    <row r="179" spans="1:25" s="228" customFormat="1" ht="51">
      <c r="A179" s="400" t="s">
        <v>2689</v>
      </c>
      <c r="B179" s="396" t="s">
        <v>2323</v>
      </c>
      <c r="C179" s="397" t="s">
        <v>2688</v>
      </c>
      <c r="D179" s="396" t="s">
        <v>2688</v>
      </c>
      <c r="E179" s="396" t="s">
        <v>1708</v>
      </c>
      <c r="F179" s="396" t="s">
        <v>2689</v>
      </c>
      <c r="G179" s="396" t="s">
        <v>3125</v>
      </c>
      <c r="H179" s="398" t="s">
        <v>5024</v>
      </c>
      <c r="I179" s="399" t="s">
        <v>3349</v>
      </c>
      <c r="J179" s="399" t="s">
        <v>3350</v>
      </c>
      <c r="K179" s="402"/>
      <c r="L179" s="402"/>
      <c r="M179" s="402" t="s">
        <v>5024</v>
      </c>
      <c r="N179" s="402" t="s">
        <v>5024</v>
      </c>
      <c r="O179" s="402" t="s">
        <v>5025</v>
      </c>
      <c r="P179" s="402" t="s">
        <v>925</v>
      </c>
      <c r="Q179" s="403" t="s">
        <v>5039</v>
      </c>
      <c r="R179" s="233"/>
      <c r="S179" s="234">
        <f>IF(C179="",NA(),MATCH($B179&amp;$C179,'Smelter Reference List'!$J:$J,0))</f>
        <v>98</v>
      </c>
      <c r="T179" s="235"/>
      <c r="U179" s="235">
        <f t="shared" si="4"/>
        <v>0</v>
      </c>
      <c r="V179" s="235"/>
      <c r="W179" s="235"/>
      <c r="Y179" s="228" t="str">
        <f t="shared" si="5"/>
        <v>GoldKGHM Polska Miedź Spółka Akcyjna</v>
      </c>
    </row>
    <row r="180" spans="1:25" s="228" customFormat="1" ht="20.25">
      <c r="A180" s="400" t="s">
        <v>1281</v>
      </c>
      <c r="B180" s="396" t="s">
        <v>2323</v>
      </c>
      <c r="C180" s="397" t="s">
        <v>4158</v>
      </c>
      <c r="D180" s="396" t="s">
        <v>4158</v>
      </c>
      <c r="E180" s="396" t="s">
        <v>2249</v>
      </c>
      <c r="F180" s="396" t="s">
        <v>1281</v>
      </c>
      <c r="G180" s="396" t="s">
        <v>3125</v>
      </c>
      <c r="H180" s="398" t="s">
        <v>5024</v>
      </c>
      <c r="I180" s="399" t="s">
        <v>3216</v>
      </c>
      <c r="J180" s="399" t="s">
        <v>3179</v>
      </c>
      <c r="K180" s="402"/>
      <c r="L180" s="402"/>
      <c r="M180" s="402" t="s">
        <v>5024</v>
      </c>
      <c r="N180" s="402" t="s">
        <v>5024</v>
      </c>
      <c r="O180" s="402" t="s">
        <v>5029</v>
      </c>
      <c r="P180" s="402" t="s">
        <v>924</v>
      </c>
      <c r="Q180" s="403" t="s">
        <v>5026</v>
      </c>
      <c r="R180" s="233"/>
      <c r="S180" s="234">
        <f>IF(C180="",NA(),MATCH($B180&amp;$C180,'Smelter Reference List'!$J:$J,0))</f>
        <v>99</v>
      </c>
      <c r="T180" s="235"/>
      <c r="U180" s="235">
        <f t="shared" si="4"/>
        <v>0</v>
      </c>
      <c r="V180" s="235"/>
      <c r="W180" s="235"/>
      <c r="Y180" s="228" t="str">
        <f t="shared" si="5"/>
        <v>GoldKojima Chemicals Co., Ltd.</v>
      </c>
    </row>
    <row r="181" spans="1:25" s="228" customFormat="1" ht="20.25">
      <c r="A181" s="400" t="s">
        <v>3368</v>
      </c>
      <c r="B181" s="396" t="s">
        <v>2323</v>
      </c>
      <c r="C181" s="397" t="s">
        <v>4692</v>
      </c>
      <c r="D181" s="396" t="s">
        <v>4692</v>
      </c>
      <c r="E181" s="396" t="s">
        <v>5017</v>
      </c>
      <c r="F181" s="396" t="s">
        <v>3368</v>
      </c>
      <c r="G181" s="396" t="s">
        <v>3125</v>
      </c>
      <c r="H181" s="398"/>
      <c r="I181" s="399" t="s">
        <v>3369</v>
      </c>
      <c r="J181" s="399" t="s">
        <v>3218</v>
      </c>
      <c r="K181" s="402"/>
      <c r="L181" s="402"/>
      <c r="M181" s="402" t="s">
        <v>5024</v>
      </c>
      <c r="N181" s="402" t="s">
        <v>5024</v>
      </c>
      <c r="O181" s="402" t="s">
        <v>926</v>
      </c>
      <c r="P181" s="402" t="s">
        <v>5024</v>
      </c>
      <c r="Q181" s="403" t="s">
        <v>5026</v>
      </c>
      <c r="R181" s="233"/>
      <c r="S181" s="234">
        <f>IF(C181="",NA(),MATCH($B181&amp;$C181,'Smelter Reference List'!$J:$J,0))</f>
        <v>103</v>
      </c>
      <c r="T181" s="235"/>
      <c r="U181" s="235">
        <f t="shared" si="4"/>
        <v>0</v>
      </c>
      <c r="V181" s="235"/>
      <c r="W181" s="235"/>
      <c r="Y181" s="228" t="str">
        <f t="shared" si="5"/>
        <v>GoldKorea Zinc Co., Ltd.</v>
      </c>
    </row>
    <row r="182" spans="1:25" s="228" customFormat="1" ht="20.25">
      <c r="A182" s="400" t="s">
        <v>1283</v>
      </c>
      <c r="B182" s="396" t="s">
        <v>2323</v>
      </c>
      <c r="C182" s="397" t="s">
        <v>1511</v>
      </c>
      <c r="D182" s="396" t="s">
        <v>1511</v>
      </c>
      <c r="E182" s="396" t="s">
        <v>2252</v>
      </c>
      <c r="F182" s="396" t="s">
        <v>1283</v>
      </c>
      <c r="G182" s="396" t="s">
        <v>3125</v>
      </c>
      <c r="H182" s="398" t="s">
        <v>5024</v>
      </c>
      <c r="I182" s="399" t="s">
        <v>3219</v>
      </c>
      <c r="J182" s="399" t="s">
        <v>3220</v>
      </c>
      <c r="K182" s="402"/>
      <c r="L182" s="402"/>
      <c r="M182" s="402" t="s">
        <v>5024</v>
      </c>
      <c r="N182" s="402" t="s">
        <v>5024</v>
      </c>
      <c r="O182" s="402" t="s">
        <v>926</v>
      </c>
      <c r="P182" s="402" t="s">
        <v>5024</v>
      </c>
      <c r="Q182" s="403" t="s">
        <v>5026</v>
      </c>
      <c r="R182" s="233"/>
      <c r="S182" s="234">
        <f>IF(C182="",NA(),MATCH($B182&amp;$C182,'Smelter Reference List'!$J:$J,0))</f>
        <v>104</v>
      </c>
      <c r="T182" s="235"/>
      <c r="U182" s="235">
        <f t="shared" si="4"/>
        <v>0</v>
      </c>
      <c r="V182" s="235"/>
      <c r="W182" s="235"/>
      <c r="Y182" s="228" t="str">
        <f t="shared" si="5"/>
        <v>GoldKyrgyzaltyn JSC</v>
      </c>
    </row>
    <row r="183" spans="1:25" s="228" customFormat="1" ht="38.25">
      <c r="A183" s="400" t="s">
        <v>1284</v>
      </c>
      <c r="B183" s="396" t="s">
        <v>2323</v>
      </c>
      <c r="C183" s="397" t="s">
        <v>4695</v>
      </c>
      <c r="D183" s="396" t="s">
        <v>4695</v>
      </c>
      <c r="E183" s="396" t="s">
        <v>1719</v>
      </c>
      <c r="F183" s="396" t="s">
        <v>1284</v>
      </c>
      <c r="G183" s="396" t="s">
        <v>3125</v>
      </c>
      <c r="H183" s="398" t="s">
        <v>5024</v>
      </c>
      <c r="I183" s="399" t="s">
        <v>3221</v>
      </c>
      <c r="J183" s="399" t="s">
        <v>3222</v>
      </c>
      <c r="K183" s="402"/>
      <c r="L183" s="402"/>
      <c r="M183" s="402" t="s">
        <v>5030</v>
      </c>
      <c r="N183" s="402" t="s">
        <v>5024</v>
      </c>
      <c r="O183" s="402" t="s">
        <v>5029</v>
      </c>
      <c r="P183" s="402" t="s">
        <v>924</v>
      </c>
      <c r="Q183" s="403" t="s">
        <v>5035</v>
      </c>
      <c r="R183" s="233"/>
      <c r="S183" s="234">
        <f>IF(C183="",NA(),MATCH($B183&amp;$C183,'Smelter Reference List'!$J:$J,0))</f>
        <v>108</v>
      </c>
      <c r="T183" s="235"/>
      <c r="U183" s="235">
        <f t="shared" si="4"/>
        <v>0</v>
      </c>
      <c r="V183" s="235"/>
      <c r="W183" s="235"/>
      <c r="Y183" s="228" t="str">
        <f t="shared" si="5"/>
        <v>GoldL'azurde Company For Jewelry</v>
      </c>
    </row>
    <row r="184" spans="1:25" s="228" customFormat="1" ht="25.5">
      <c r="A184" s="400" t="s">
        <v>2690</v>
      </c>
      <c r="B184" s="396" t="s">
        <v>2323</v>
      </c>
      <c r="C184" s="397" t="s">
        <v>4696</v>
      </c>
      <c r="D184" s="396" t="s">
        <v>4696</v>
      </c>
      <c r="E184" s="396" t="s">
        <v>2181</v>
      </c>
      <c r="F184" s="396" t="s">
        <v>2690</v>
      </c>
      <c r="G184" s="396" t="s">
        <v>3125</v>
      </c>
      <c r="H184" s="398" t="s">
        <v>5024</v>
      </c>
      <c r="I184" s="399" t="s">
        <v>3223</v>
      </c>
      <c r="J184" s="399" t="s">
        <v>3224</v>
      </c>
      <c r="K184" s="402"/>
      <c r="L184" s="402"/>
      <c r="M184" s="402" t="s">
        <v>5030</v>
      </c>
      <c r="N184" s="402" t="s">
        <v>5024</v>
      </c>
      <c r="O184" s="402" t="s">
        <v>5025</v>
      </c>
      <c r="P184" s="402" t="s">
        <v>925</v>
      </c>
      <c r="Q184" s="403" t="s">
        <v>5024</v>
      </c>
      <c r="R184" s="233"/>
      <c r="S184" s="234">
        <f>IF(C184="",NA(),MATCH($B184&amp;$C184,'Smelter Reference List'!$J:$J,0))</f>
        <v>109</v>
      </c>
      <c r="T184" s="235"/>
      <c r="U184" s="235">
        <f t="shared" si="4"/>
        <v>0</v>
      </c>
      <c r="V184" s="235"/>
      <c r="W184" s="235"/>
      <c r="Y184" s="228" t="str">
        <f t="shared" si="5"/>
        <v>GoldLingbao Gold Co., Ltd.</v>
      </c>
    </row>
    <row r="185" spans="1:25" s="228" customFormat="1" ht="25.5">
      <c r="A185" s="400" t="s">
        <v>1285</v>
      </c>
      <c r="B185" s="396" t="s">
        <v>2323</v>
      </c>
      <c r="C185" s="397" t="s">
        <v>4160</v>
      </c>
      <c r="D185" s="396" t="s">
        <v>4160</v>
      </c>
      <c r="E185" s="396" t="s">
        <v>2181</v>
      </c>
      <c r="F185" s="396" t="s">
        <v>1285</v>
      </c>
      <c r="G185" s="396" t="s">
        <v>3125</v>
      </c>
      <c r="H185" s="398" t="s">
        <v>5024</v>
      </c>
      <c r="I185" s="399" t="s">
        <v>3223</v>
      </c>
      <c r="J185" s="399" t="s">
        <v>3224</v>
      </c>
      <c r="K185" s="402"/>
      <c r="L185" s="402"/>
      <c r="M185" s="402" t="s">
        <v>5030</v>
      </c>
      <c r="N185" s="402" t="s">
        <v>5024</v>
      </c>
      <c r="O185" s="402" t="s">
        <v>926</v>
      </c>
      <c r="P185" s="402" t="s">
        <v>5024</v>
      </c>
      <c r="Q185" s="403" t="s">
        <v>5024</v>
      </c>
      <c r="R185" s="233"/>
      <c r="S185" s="234">
        <f>IF(C185="",NA(),MATCH($B185&amp;$C185,'Smelter Reference List'!$J:$J,0))</f>
        <v>110</v>
      </c>
      <c r="T185" s="235"/>
      <c r="U185" s="235">
        <f t="shared" si="4"/>
        <v>0</v>
      </c>
      <c r="V185" s="235"/>
      <c r="W185" s="235"/>
      <c r="Y185" s="228" t="str">
        <f t="shared" si="5"/>
        <v>GoldLingbao Jinyuan Tonghui Refinery Co., Ltd.</v>
      </c>
    </row>
    <row r="186" spans="1:25" s="228" customFormat="1" ht="20.25">
      <c r="A186" s="400" t="s">
        <v>1286</v>
      </c>
      <c r="B186" s="396" t="s">
        <v>2323</v>
      </c>
      <c r="C186" s="397" t="s">
        <v>74</v>
      </c>
      <c r="D186" s="396" t="s">
        <v>74</v>
      </c>
      <c r="E186" s="396" t="s">
        <v>5017</v>
      </c>
      <c r="F186" s="396" t="s">
        <v>1286</v>
      </c>
      <c r="G186" s="396" t="s">
        <v>3125</v>
      </c>
      <c r="H186" s="398" t="s">
        <v>5024</v>
      </c>
      <c r="I186" s="399" t="s">
        <v>3225</v>
      </c>
      <c r="J186" s="399" t="s">
        <v>3226</v>
      </c>
      <c r="K186" s="402"/>
      <c r="L186" s="402"/>
      <c r="M186" s="402" t="s">
        <v>5024</v>
      </c>
      <c r="N186" s="402" t="s">
        <v>5024</v>
      </c>
      <c r="O186" s="402" t="s">
        <v>926</v>
      </c>
      <c r="P186" s="402" t="s">
        <v>5024</v>
      </c>
      <c r="Q186" s="403" t="s">
        <v>5026</v>
      </c>
      <c r="R186" s="233"/>
      <c r="S186" s="234">
        <f>IF(C186="",NA(),MATCH($B186&amp;$C186,'Smelter Reference List'!$J:$J,0))</f>
        <v>111</v>
      </c>
      <c r="T186" s="235"/>
      <c r="U186" s="235">
        <f t="shared" si="4"/>
        <v>0</v>
      </c>
      <c r="V186" s="235"/>
      <c r="W186" s="235"/>
      <c r="Y186" s="228" t="str">
        <f t="shared" si="5"/>
        <v>GoldLS-NIKKO Copper Inc.</v>
      </c>
    </row>
    <row r="187" spans="1:25" s="228" customFormat="1" ht="25.5">
      <c r="A187" s="400" t="s">
        <v>1288</v>
      </c>
      <c r="B187" s="396" t="s">
        <v>2323</v>
      </c>
      <c r="C187" s="397" t="s">
        <v>3227</v>
      </c>
      <c r="D187" s="396" t="s">
        <v>3227</v>
      </c>
      <c r="E187" s="396" t="s">
        <v>2181</v>
      </c>
      <c r="F187" s="396" t="s">
        <v>1288</v>
      </c>
      <c r="G187" s="396" t="s">
        <v>3125</v>
      </c>
      <c r="H187" s="398" t="s">
        <v>5024</v>
      </c>
      <c r="I187" s="399" t="s">
        <v>3228</v>
      </c>
      <c r="J187" s="399" t="s">
        <v>3224</v>
      </c>
      <c r="K187" s="402"/>
      <c r="L187" s="402"/>
      <c r="M187" s="402" t="s">
        <v>5030</v>
      </c>
      <c r="N187" s="402" t="s">
        <v>5024</v>
      </c>
      <c r="O187" s="402" t="s">
        <v>926</v>
      </c>
      <c r="P187" s="402" t="s">
        <v>5024</v>
      </c>
      <c r="Q187" s="403" t="s">
        <v>5024</v>
      </c>
      <c r="R187" s="233"/>
      <c r="S187" s="234">
        <f>IF(C187="",NA(),MATCH($B187&amp;$C187,'Smelter Reference List'!$J:$J,0))</f>
        <v>112</v>
      </c>
      <c r="T187" s="235"/>
      <c r="U187" s="235">
        <f t="shared" si="4"/>
        <v>0</v>
      </c>
      <c r="V187" s="235"/>
      <c r="W187" s="235"/>
      <c r="Y187" s="228" t="str">
        <f t="shared" si="5"/>
        <v>GoldLuoyang Zijin Yinhui Gold Refinery Co., Ltd.</v>
      </c>
    </row>
    <row r="188" spans="1:25" s="228" customFormat="1" ht="20.25">
      <c r="A188" s="400" t="s">
        <v>1289</v>
      </c>
      <c r="B188" s="396" t="s">
        <v>2323</v>
      </c>
      <c r="C188" s="397" t="s">
        <v>1792</v>
      </c>
      <c r="D188" s="396" t="s">
        <v>1792</v>
      </c>
      <c r="E188" s="396" t="s">
        <v>5016</v>
      </c>
      <c r="F188" s="396" t="s">
        <v>1289</v>
      </c>
      <c r="G188" s="396" t="s">
        <v>3125</v>
      </c>
      <c r="H188" s="398" t="s">
        <v>5024</v>
      </c>
      <c r="I188" s="399" t="s">
        <v>3229</v>
      </c>
      <c r="J188" s="399" t="s">
        <v>3230</v>
      </c>
      <c r="K188" s="402"/>
      <c r="L188" s="402"/>
      <c r="M188" s="402" t="s">
        <v>5024</v>
      </c>
      <c r="N188" s="402" t="s">
        <v>5024</v>
      </c>
      <c r="O188" s="402" t="s">
        <v>5029</v>
      </c>
      <c r="P188" s="402" t="s">
        <v>924</v>
      </c>
      <c r="Q188" s="403" t="s">
        <v>5026</v>
      </c>
      <c r="R188" s="233"/>
      <c r="S188" s="234">
        <f>IF(C188="",NA(),MATCH($B188&amp;$C188,'Smelter Reference List'!$J:$J,0))</f>
        <v>115</v>
      </c>
      <c r="T188" s="235"/>
      <c r="U188" s="235">
        <f t="shared" si="4"/>
        <v>0</v>
      </c>
      <c r="V188" s="235"/>
      <c r="W188" s="235"/>
      <c r="Y188" s="228" t="str">
        <f t="shared" si="5"/>
        <v>GoldMaterion</v>
      </c>
    </row>
    <row r="189" spans="1:25" s="228" customFormat="1" ht="20.25">
      <c r="A189" s="400" t="s">
        <v>1290</v>
      </c>
      <c r="B189" s="396" t="s">
        <v>2323</v>
      </c>
      <c r="C189" s="397" t="s">
        <v>75</v>
      </c>
      <c r="D189" s="396" t="s">
        <v>75</v>
      </c>
      <c r="E189" s="396" t="s">
        <v>2249</v>
      </c>
      <c r="F189" s="396" t="s">
        <v>1290</v>
      </c>
      <c r="G189" s="396" t="s">
        <v>3125</v>
      </c>
      <c r="H189" s="398" t="s">
        <v>5024</v>
      </c>
      <c r="I189" s="399" t="s">
        <v>3231</v>
      </c>
      <c r="J189" s="399" t="s">
        <v>3179</v>
      </c>
      <c r="K189" s="402"/>
      <c r="L189" s="402"/>
      <c r="M189" s="402" t="s">
        <v>5024</v>
      </c>
      <c r="N189" s="402" t="s">
        <v>5024</v>
      </c>
      <c r="O189" s="402" t="s">
        <v>5025</v>
      </c>
      <c r="P189" s="402" t="s">
        <v>925</v>
      </c>
      <c r="Q189" s="403" t="s">
        <v>5026</v>
      </c>
      <c r="R189" s="233"/>
      <c r="S189" s="234">
        <f>IF(C189="",NA(),MATCH($B189&amp;$C189,'Smelter Reference List'!$J:$J,0))</f>
        <v>116</v>
      </c>
      <c r="T189" s="235"/>
      <c r="U189" s="235">
        <f t="shared" si="4"/>
        <v>0</v>
      </c>
      <c r="V189" s="235"/>
      <c r="W189" s="235"/>
      <c r="Y189" s="228" t="str">
        <f t="shared" si="5"/>
        <v>GoldMatsuda Sangyo Co., Ltd.</v>
      </c>
    </row>
    <row r="190" spans="1:25" s="228" customFormat="1" ht="20.25">
      <c r="A190" s="400" t="s">
        <v>1291</v>
      </c>
      <c r="B190" s="396" t="s">
        <v>2323</v>
      </c>
      <c r="C190" s="397" t="s">
        <v>4162</v>
      </c>
      <c r="D190" s="396" t="s">
        <v>4162</v>
      </c>
      <c r="E190" s="396" t="s">
        <v>2181</v>
      </c>
      <c r="F190" s="396" t="s">
        <v>1291</v>
      </c>
      <c r="G190" s="396" t="s">
        <v>3125</v>
      </c>
      <c r="H190" s="398" t="s">
        <v>5024</v>
      </c>
      <c r="I190" s="399" t="s">
        <v>3236</v>
      </c>
      <c r="J190" s="399" t="s">
        <v>3191</v>
      </c>
      <c r="K190" s="402"/>
      <c r="L190" s="402"/>
      <c r="M190" s="402" t="s">
        <v>5024</v>
      </c>
      <c r="N190" s="402" t="s">
        <v>5024</v>
      </c>
      <c r="O190" s="402" t="s">
        <v>926</v>
      </c>
      <c r="P190" s="402" t="s">
        <v>5024</v>
      </c>
      <c r="Q190" s="403" t="s">
        <v>5026</v>
      </c>
      <c r="R190" s="233"/>
      <c r="S190" s="234">
        <f>IF(C190="",NA(),MATCH($B190&amp;$C190,'Smelter Reference List'!$J:$J,0))</f>
        <v>120</v>
      </c>
      <c r="T190" s="235"/>
      <c r="U190" s="235">
        <f t="shared" si="4"/>
        <v>0</v>
      </c>
      <c r="V190" s="235"/>
      <c r="W190" s="235"/>
      <c r="Y190" s="228" t="str">
        <f t="shared" si="5"/>
        <v>GoldMetalor Technologies (Hong Kong) Ltd.</v>
      </c>
    </row>
    <row r="191" spans="1:25" s="228" customFormat="1" ht="20.25">
      <c r="A191" s="400" t="s">
        <v>1292</v>
      </c>
      <c r="B191" s="396" t="s">
        <v>2323</v>
      </c>
      <c r="C191" s="397" t="s">
        <v>4163</v>
      </c>
      <c r="D191" s="396" t="s">
        <v>4163</v>
      </c>
      <c r="E191" s="396" t="s">
        <v>1722</v>
      </c>
      <c r="F191" s="396" t="s">
        <v>1292</v>
      </c>
      <c r="G191" s="396" t="s">
        <v>3125</v>
      </c>
      <c r="H191" s="398" t="s">
        <v>5024</v>
      </c>
      <c r="I191" s="399" t="s">
        <v>3237</v>
      </c>
      <c r="J191" s="399" t="s">
        <v>3238</v>
      </c>
      <c r="K191" s="402"/>
      <c r="L191" s="402"/>
      <c r="M191" s="402" t="s">
        <v>5024</v>
      </c>
      <c r="N191" s="402" t="s">
        <v>5024</v>
      </c>
      <c r="O191" s="402" t="s">
        <v>926</v>
      </c>
      <c r="P191" s="402" t="s">
        <v>5024</v>
      </c>
      <c r="Q191" s="403" t="s">
        <v>5026</v>
      </c>
      <c r="R191" s="233"/>
      <c r="S191" s="234">
        <f>IF(C191="",NA(),MATCH($B191&amp;$C191,'Smelter Reference List'!$J:$J,0))</f>
        <v>121</v>
      </c>
      <c r="T191" s="235"/>
      <c r="U191" s="235">
        <f t="shared" si="4"/>
        <v>0</v>
      </c>
      <c r="V191" s="235"/>
      <c r="W191" s="235"/>
      <c r="Y191" s="228" t="str">
        <f t="shared" si="5"/>
        <v>GoldMetalor Technologies (Singapore) Pte., Ltd.</v>
      </c>
    </row>
    <row r="192" spans="1:25" s="228" customFormat="1" ht="20.25">
      <c r="A192" s="400" t="s">
        <v>3233</v>
      </c>
      <c r="B192" s="396" t="s">
        <v>2323</v>
      </c>
      <c r="C192" s="397" t="s">
        <v>3232</v>
      </c>
      <c r="D192" s="396" t="s">
        <v>3232</v>
      </c>
      <c r="E192" s="396" t="s">
        <v>2181</v>
      </c>
      <c r="F192" s="396" t="s">
        <v>3233</v>
      </c>
      <c r="G192" s="396" t="s">
        <v>3125</v>
      </c>
      <c r="H192" s="398" t="s">
        <v>5024</v>
      </c>
      <c r="I192" s="399" t="s">
        <v>3234</v>
      </c>
      <c r="J192" s="399" t="s">
        <v>3235</v>
      </c>
      <c r="K192" s="402"/>
      <c r="L192" s="402"/>
      <c r="M192" s="402" t="s">
        <v>5024</v>
      </c>
      <c r="N192" s="402" t="s">
        <v>5024</v>
      </c>
      <c r="O192" s="402" t="s">
        <v>926</v>
      </c>
      <c r="P192" s="402" t="s">
        <v>5024</v>
      </c>
      <c r="Q192" s="403" t="s">
        <v>5026</v>
      </c>
      <c r="R192" s="233"/>
      <c r="S192" s="234">
        <f>IF(C192="",NA(),MATCH($B192&amp;$C192,'Smelter Reference List'!$J:$J,0))</f>
        <v>122</v>
      </c>
      <c r="T192" s="235"/>
      <c r="U192" s="235">
        <f t="shared" si="4"/>
        <v>0</v>
      </c>
      <c r="V192" s="235"/>
      <c r="W192" s="235"/>
      <c r="Y192" s="228" t="str">
        <f t="shared" si="5"/>
        <v>GoldMetalor Technologies (Suzhou) Ltd.</v>
      </c>
    </row>
    <row r="193" spans="1:25" s="228" customFormat="1" ht="20.25">
      <c r="A193" s="400" t="s">
        <v>1293</v>
      </c>
      <c r="B193" s="396" t="s">
        <v>2323</v>
      </c>
      <c r="C193" s="397" t="s">
        <v>4697</v>
      </c>
      <c r="D193" s="396" t="s">
        <v>4697</v>
      </c>
      <c r="E193" s="396" t="s">
        <v>2179</v>
      </c>
      <c r="F193" s="396" t="s">
        <v>1293</v>
      </c>
      <c r="G193" s="396" t="s">
        <v>3125</v>
      </c>
      <c r="H193" s="398" t="s">
        <v>5024</v>
      </c>
      <c r="I193" s="399" t="s">
        <v>3239</v>
      </c>
      <c r="J193" s="399" t="s">
        <v>3240</v>
      </c>
      <c r="K193" s="402"/>
      <c r="L193" s="402"/>
      <c r="M193" s="402" t="s">
        <v>5024</v>
      </c>
      <c r="N193" s="402" t="s">
        <v>5024</v>
      </c>
      <c r="O193" s="402" t="s">
        <v>5025</v>
      </c>
      <c r="P193" s="402" t="s">
        <v>925</v>
      </c>
      <c r="Q193" s="403" t="s">
        <v>5026</v>
      </c>
      <c r="R193" s="233"/>
      <c r="S193" s="234">
        <f>IF(C193="",NA(),MATCH($B193&amp;$C193,'Smelter Reference List'!$J:$J,0))</f>
        <v>123</v>
      </c>
      <c r="T193" s="235"/>
      <c r="U193" s="235">
        <f t="shared" si="4"/>
        <v>0</v>
      </c>
      <c r="V193" s="235"/>
      <c r="W193" s="235"/>
      <c r="Y193" s="228" t="str">
        <f t="shared" si="5"/>
        <v>GoldMetalor Technologies S.A.</v>
      </c>
    </row>
    <row r="194" spans="1:25" s="228" customFormat="1" ht="20.25">
      <c r="A194" s="400" t="s">
        <v>1294</v>
      </c>
      <c r="B194" s="396" t="s">
        <v>2323</v>
      </c>
      <c r="C194" s="397" t="s">
        <v>2453</v>
      </c>
      <c r="D194" s="396" t="s">
        <v>2453</v>
      </c>
      <c r="E194" s="396" t="s">
        <v>5016</v>
      </c>
      <c r="F194" s="396" t="s">
        <v>1294</v>
      </c>
      <c r="G194" s="396" t="s">
        <v>3125</v>
      </c>
      <c r="H194" s="398" t="s">
        <v>5024</v>
      </c>
      <c r="I194" s="399" t="s">
        <v>3241</v>
      </c>
      <c r="J194" s="399" t="s">
        <v>3242</v>
      </c>
      <c r="K194" s="402"/>
      <c r="L194" s="402"/>
      <c r="M194" s="402" t="s">
        <v>5024</v>
      </c>
      <c r="N194" s="402" t="s">
        <v>5024</v>
      </c>
      <c r="O194" s="402" t="s">
        <v>5025</v>
      </c>
      <c r="P194" s="402" t="s">
        <v>925</v>
      </c>
      <c r="Q194" s="403" t="s">
        <v>5026</v>
      </c>
      <c r="R194" s="233"/>
      <c r="S194" s="234">
        <f>IF(C194="",NA(),MATCH($B194&amp;$C194,'Smelter Reference List'!$J:$J,0))</f>
        <v>124</v>
      </c>
      <c r="T194" s="235"/>
      <c r="U194" s="235">
        <f t="shared" si="4"/>
        <v>0</v>
      </c>
      <c r="V194" s="235"/>
      <c r="W194" s="235"/>
      <c r="Y194" s="228" t="str">
        <f t="shared" si="5"/>
        <v>GoldMetalor USA Refining Corporation</v>
      </c>
    </row>
    <row r="195" spans="1:25" s="228" customFormat="1" ht="20.25">
      <c r="A195" s="400" t="s">
        <v>1295</v>
      </c>
      <c r="B195" s="396" t="s">
        <v>2323</v>
      </c>
      <c r="C195" s="397" t="s">
        <v>4699</v>
      </c>
      <c r="D195" s="396" t="s">
        <v>4699</v>
      </c>
      <c r="E195" s="396" t="s">
        <v>2275</v>
      </c>
      <c r="F195" s="396" t="s">
        <v>1295</v>
      </c>
      <c r="G195" s="396" t="s">
        <v>3125</v>
      </c>
      <c r="H195" s="398" t="s">
        <v>5024</v>
      </c>
      <c r="I195" s="399" t="s">
        <v>3243</v>
      </c>
      <c r="J195" s="399" t="s">
        <v>3244</v>
      </c>
      <c r="K195" s="402"/>
      <c r="L195" s="402"/>
      <c r="M195" s="402" t="s">
        <v>5024</v>
      </c>
      <c r="N195" s="402" t="s">
        <v>5024</v>
      </c>
      <c r="O195" s="402" t="s">
        <v>926</v>
      </c>
      <c r="P195" s="402" t="s">
        <v>5024</v>
      </c>
      <c r="Q195" s="403" t="s">
        <v>5026</v>
      </c>
      <c r="R195" s="233"/>
      <c r="S195" s="234">
        <f>IF(C195="",NA(),MATCH($B195&amp;$C195,'Smelter Reference List'!$J:$J,0))</f>
        <v>125</v>
      </c>
      <c r="T195" s="235"/>
      <c r="U195" s="235">
        <f t="shared" si="4"/>
        <v>0</v>
      </c>
      <c r="V195" s="235"/>
      <c r="W195" s="235"/>
      <c r="Y195" s="228" t="str">
        <f t="shared" si="5"/>
        <v>GoldMetalúrgica Met-Mex Peñoles S.A. De C.V.</v>
      </c>
    </row>
    <row r="196" spans="1:25" s="228" customFormat="1" ht="20.25">
      <c r="A196" s="400" t="s">
        <v>1296</v>
      </c>
      <c r="B196" s="396" t="s">
        <v>2323</v>
      </c>
      <c r="C196" s="397" t="s">
        <v>2371</v>
      </c>
      <c r="D196" s="396" t="s">
        <v>2371</v>
      </c>
      <c r="E196" s="396" t="s">
        <v>2249</v>
      </c>
      <c r="F196" s="396" t="s">
        <v>1296</v>
      </c>
      <c r="G196" s="396" t="s">
        <v>3125</v>
      </c>
      <c r="H196" s="398" t="s">
        <v>5024</v>
      </c>
      <c r="I196" s="399" t="s">
        <v>3245</v>
      </c>
      <c r="J196" s="399" t="s">
        <v>4283</v>
      </c>
      <c r="K196" s="402"/>
      <c r="L196" s="402"/>
      <c r="M196" s="402" t="s">
        <v>5024</v>
      </c>
      <c r="N196" s="402" t="s">
        <v>5024</v>
      </c>
      <c r="O196" s="402" t="s">
        <v>926</v>
      </c>
      <c r="P196" s="402" t="s">
        <v>5024</v>
      </c>
      <c r="Q196" s="403" t="s">
        <v>5026</v>
      </c>
      <c r="R196" s="233"/>
      <c r="S196" s="234">
        <f>IF(C196="",NA(),MATCH($B196&amp;$C196,'Smelter Reference List'!$J:$J,0))</f>
        <v>128</v>
      </c>
      <c r="T196" s="235"/>
      <c r="U196" s="235">
        <f t="shared" si="4"/>
        <v>0</v>
      </c>
      <c r="V196" s="235"/>
      <c r="W196" s="235"/>
      <c r="Y196" s="228" t="str">
        <f t="shared" si="5"/>
        <v>GoldMitsubishi Materials Corporation</v>
      </c>
    </row>
    <row r="197" spans="1:25" s="228" customFormat="1" ht="20.25">
      <c r="A197" s="400" t="s">
        <v>1297</v>
      </c>
      <c r="B197" s="396" t="s">
        <v>2323</v>
      </c>
      <c r="C197" s="397" t="s">
        <v>2454</v>
      </c>
      <c r="D197" s="396" t="s">
        <v>2454</v>
      </c>
      <c r="E197" s="396" t="s">
        <v>2249</v>
      </c>
      <c r="F197" s="396" t="s">
        <v>1297</v>
      </c>
      <c r="G197" s="396" t="s">
        <v>3125</v>
      </c>
      <c r="H197" s="398" t="s">
        <v>5024</v>
      </c>
      <c r="I197" s="399" t="s">
        <v>3247</v>
      </c>
      <c r="J197" s="399" t="s">
        <v>3246</v>
      </c>
      <c r="K197" s="402"/>
      <c r="L197" s="402"/>
      <c r="M197" s="402" t="s">
        <v>5024</v>
      </c>
      <c r="N197" s="402" t="s">
        <v>5024</v>
      </c>
      <c r="O197" s="402" t="s">
        <v>5025</v>
      </c>
      <c r="P197" s="402" t="s">
        <v>925</v>
      </c>
      <c r="Q197" s="403" t="s">
        <v>5026</v>
      </c>
      <c r="R197" s="233"/>
      <c r="S197" s="234">
        <f>IF(C197="",NA(),MATCH($B197&amp;$C197,'Smelter Reference List'!$J:$J,0))</f>
        <v>130</v>
      </c>
      <c r="T197" s="235"/>
      <c r="U197" s="235">
        <f t="shared" si="4"/>
        <v>0</v>
      </c>
      <c r="V197" s="235"/>
      <c r="W197" s="235"/>
      <c r="Y197" s="228" t="str">
        <f t="shared" si="5"/>
        <v>GoldMitsui Mining and Smelting Co., Ltd.</v>
      </c>
    </row>
    <row r="198" spans="1:25" s="228" customFormat="1" ht="20.25">
      <c r="A198" s="400" t="s">
        <v>2691</v>
      </c>
      <c r="B198" s="396" t="s">
        <v>2323</v>
      </c>
      <c r="C198" s="397" t="s">
        <v>4191</v>
      </c>
      <c r="D198" s="396" t="s">
        <v>4191</v>
      </c>
      <c r="E198" s="396" t="s">
        <v>2239</v>
      </c>
      <c r="F198" s="396" t="s">
        <v>2691</v>
      </c>
      <c r="G198" s="396" t="s">
        <v>3125</v>
      </c>
      <c r="H198" s="398" t="s">
        <v>5024</v>
      </c>
      <c r="I198" s="399" t="s">
        <v>3345</v>
      </c>
      <c r="J198" s="399" t="s">
        <v>3346</v>
      </c>
      <c r="K198" s="402"/>
      <c r="L198" s="402"/>
      <c r="M198" s="402" t="s">
        <v>5024</v>
      </c>
      <c r="N198" s="402" t="s">
        <v>5024</v>
      </c>
      <c r="O198" s="402" t="s">
        <v>926</v>
      </c>
      <c r="P198" s="402" t="s">
        <v>5024</v>
      </c>
      <c r="Q198" s="403" t="s">
        <v>5026</v>
      </c>
      <c r="R198" s="233"/>
      <c r="S198" s="234">
        <f>IF(C198="",NA(),MATCH($B198&amp;$C198,'Smelter Reference List'!$J:$J,0))</f>
        <v>131</v>
      </c>
      <c r="T198" s="235"/>
      <c r="U198" s="235">
        <f t="shared" ref="U198:U261" si="6">IF(AND(C198="Smelter not listed",OR(LEN(D198)=0,LEN(E198)=0)),1,0)</f>
        <v>0</v>
      </c>
      <c r="V198" s="235"/>
      <c r="W198" s="235"/>
      <c r="Y198" s="228" t="str">
        <f t="shared" ref="Y198:Y261" si="7">B198&amp;C198</f>
        <v>GoldMMTC-PAMP India Pvt., Ltd.</v>
      </c>
    </row>
    <row r="199" spans="1:25" s="228" customFormat="1" ht="38.25">
      <c r="A199" s="400" t="s">
        <v>4703</v>
      </c>
      <c r="B199" s="396" t="s">
        <v>2323</v>
      </c>
      <c r="C199" s="397" t="s">
        <v>4702</v>
      </c>
      <c r="D199" s="396" t="s">
        <v>4702</v>
      </c>
      <c r="E199" s="396" t="s">
        <v>2289</v>
      </c>
      <c r="F199" s="396" t="s">
        <v>4703</v>
      </c>
      <c r="G199" s="396" t="s">
        <v>3125</v>
      </c>
      <c r="H199" s="398" t="s">
        <v>5024</v>
      </c>
      <c r="I199" s="399" t="s">
        <v>4764</v>
      </c>
      <c r="J199" s="399" t="s">
        <v>4765</v>
      </c>
      <c r="K199" s="402"/>
      <c r="L199" s="402"/>
      <c r="M199" s="402" t="s">
        <v>5031</v>
      </c>
      <c r="N199" s="402" t="s">
        <v>5024</v>
      </c>
      <c r="O199" s="402" t="s">
        <v>5029</v>
      </c>
      <c r="P199" s="402" t="s">
        <v>924</v>
      </c>
      <c r="Q199" s="403" t="s">
        <v>5035</v>
      </c>
      <c r="R199" s="233"/>
      <c r="S199" s="234">
        <f>IF(C199="",NA(),MATCH($B199&amp;$C199,'Smelter Reference List'!$J:$J,0))</f>
        <v>132</v>
      </c>
      <c r="T199" s="235"/>
      <c r="U199" s="235">
        <f t="shared" si="6"/>
        <v>0</v>
      </c>
      <c r="V199" s="235"/>
      <c r="W199" s="235"/>
      <c r="Y199" s="228" t="str">
        <f t="shared" si="7"/>
        <v>GoldModeltech Sdn Bhd</v>
      </c>
    </row>
    <row r="200" spans="1:25" s="228" customFormat="1" ht="20.25">
      <c r="A200" s="400" t="s">
        <v>1298</v>
      </c>
      <c r="B200" s="396" t="s">
        <v>2323</v>
      </c>
      <c r="C200" s="397" t="s">
        <v>1793</v>
      </c>
      <c r="D200" s="396" t="s">
        <v>1793</v>
      </c>
      <c r="E200" s="396" t="s">
        <v>1717</v>
      </c>
      <c r="F200" s="396" t="s">
        <v>1298</v>
      </c>
      <c r="G200" s="396" t="s">
        <v>3125</v>
      </c>
      <c r="H200" s="398" t="s">
        <v>5024</v>
      </c>
      <c r="I200" s="399" t="s">
        <v>3249</v>
      </c>
      <c r="J200" s="399" t="s">
        <v>3294</v>
      </c>
      <c r="K200" s="402"/>
      <c r="L200" s="402"/>
      <c r="M200" s="402" t="s">
        <v>5024</v>
      </c>
      <c r="N200" s="402" t="s">
        <v>5024</v>
      </c>
      <c r="O200" s="402" t="s">
        <v>926</v>
      </c>
      <c r="P200" s="402" t="s">
        <v>5024</v>
      </c>
      <c r="Q200" s="403" t="s">
        <v>5026</v>
      </c>
      <c r="R200" s="233"/>
      <c r="S200" s="234">
        <f>IF(C200="",NA(),MATCH($B200&amp;$C200,'Smelter Reference List'!$J:$J,0))</f>
        <v>134</v>
      </c>
      <c r="T200" s="235"/>
      <c r="U200" s="235">
        <f t="shared" si="6"/>
        <v>0</v>
      </c>
      <c r="V200" s="235"/>
      <c r="W200" s="235"/>
      <c r="Y200" s="228" t="str">
        <f t="shared" si="7"/>
        <v>GoldMoscow Special Alloys Processing Plant</v>
      </c>
    </row>
    <row r="201" spans="1:25" s="228" customFormat="1" ht="20.25">
      <c r="A201" s="400" t="s">
        <v>1299</v>
      </c>
      <c r="B201" s="396" t="s">
        <v>2323</v>
      </c>
      <c r="C201" s="397" t="s">
        <v>2460</v>
      </c>
      <c r="D201" s="396" t="s">
        <v>2460</v>
      </c>
      <c r="E201" s="396" t="s">
        <v>1751</v>
      </c>
      <c r="F201" s="396" t="s">
        <v>1299</v>
      </c>
      <c r="G201" s="396" t="s">
        <v>3125</v>
      </c>
      <c r="H201" s="398" t="s">
        <v>5024</v>
      </c>
      <c r="I201" s="399" t="s">
        <v>3250</v>
      </c>
      <c r="J201" s="399" t="s">
        <v>3144</v>
      </c>
      <c r="K201" s="402"/>
      <c r="L201" s="402"/>
      <c r="M201" s="402" t="s">
        <v>5024</v>
      </c>
      <c r="N201" s="402" t="s">
        <v>5024</v>
      </c>
      <c r="O201" s="402" t="s">
        <v>926</v>
      </c>
      <c r="P201" s="402" t="s">
        <v>5024</v>
      </c>
      <c r="Q201" s="403" t="s">
        <v>5026</v>
      </c>
      <c r="R201" s="233"/>
      <c r="S201" s="234">
        <f>IF(C201="",NA(),MATCH($B201&amp;$C201,'Smelter Reference List'!$J:$J,0))</f>
        <v>135</v>
      </c>
      <c r="T201" s="235"/>
      <c r="U201" s="235">
        <f t="shared" si="6"/>
        <v>0</v>
      </c>
      <c r="V201" s="235"/>
      <c r="W201" s="235"/>
      <c r="Y201" s="228" t="str">
        <f t="shared" si="7"/>
        <v>GoldNadir Metal Rafineri San. Ve Tic. A.Ş.</v>
      </c>
    </row>
    <row r="202" spans="1:25" s="228" customFormat="1" ht="20.25">
      <c r="A202" s="400" t="s">
        <v>1300</v>
      </c>
      <c r="B202" s="396" t="s">
        <v>2323</v>
      </c>
      <c r="C202" s="397" t="s">
        <v>2455</v>
      </c>
      <c r="D202" s="396" t="s">
        <v>2455</v>
      </c>
      <c r="E202" s="396" t="s">
        <v>1760</v>
      </c>
      <c r="F202" s="396" t="s">
        <v>1300</v>
      </c>
      <c r="G202" s="396" t="s">
        <v>3125</v>
      </c>
      <c r="H202" s="398" t="s">
        <v>5024</v>
      </c>
      <c r="I202" s="399" t="s">
        <v>3251</v>
      </c>
      <c r="J202" s="399" t="s">
        <v>3252</v>
      </c>
      <c r="K202" s="402"/>
      <c r="L202" s="402"/>
      <c r="M202" s="402" t="s">
        <v>5024</v>
      </c>
      <c r="N202" s="402" t="s">
        <v>5024</v>
      </c>
      <c r="O202" s="402" t="s">
        <v>926</v>
      </c>
      <c r="P202" s="402" t="s">
        <v>5024</v>
      </c>
      <c r="Q202" s="403" t="s">
        <v>5026</v>
      </c>
      <c r="R202" s="233"/>
      <c r="S202" s="234">
        <f>IF(C202="",NA(),MATCH($B202&amp;$C202,'Smelter Reference List'!$J:$J,0))</f>
        <v>136</v>
      </c>
      <c r="T202" s="235"/>
      <c r="U202" s="235">
        <f t="shared" si="6"/>
        <v>0</v>
      </c>
      <c r="V202" s="235"/>
      <c r="W202" s="235"/>
      <c r="Y202" s="228" t="str">
        <f t="shared" si="7"/>
        <v>GoldNavoi Mining and Metallurgical Combinat</v>
      </c>
    </row>
    <row r="203" spans="1:25" s="228" customFormat="1" ht="20.25">
      <c r="A203" s="400" t="s">
        <v>1301</v>
      </c>
      <c r="B203" s="396" t="s">
        <v>2323</v>
      </c>
      <c r="C203" s="397" t="s">
        <v>4166</v>
      </c>
      <c r="D203" s="396" t="s">
        <v>4166</v>
      </c>
      <c r="E203" s="396" t="s">
        <v>2249</v>
      </c>
      <c r="F203" s="396" t="s">
        <v>1301</v>
      </c>
      <c r="G203" s="396" t="s">
        <v>3125</v>
      </c>
      <c r="H203" s="398" t="s">
        <v>5024</v>
      </c>
      <c r="I203" s="399" t="s">
        <v>3253</v>
      </c>
      <c r="J203" s="399" t="s">
        <v>3254</v>
      </c>
      <c r="K203" s="402"/>
      <c r="L203" s="402"/>
      <c r="M203" s="402" t="s">
        <v>5024</v>
      </c>
      <c r="N203" s="402" t="s">
        <v>5024</v>
      </c>
      <c r="O203" s="402" t="s">
        <v>5029</v>
      </c>
      <c r="P203" s="402" t="s">
        <v>924</v>
      </c>
      <c r="Q203" s="403" t="s">
        <v>5026</v>
      </c>
      <c r="R203" s="233"/>
      <c r="S203" s="234">
        <f>IF(C203="",NA(),MATCH($B203&amp;$C203,'Smelter Reference List'!$J:$J,0))</f>
        <v>137</v>
      </c>
      <c r="T203" s="235"/>
      <c r="U203" s="235">
        <f t="shared" si="6"/>
        <v>0</v>
      </c>
      <c r="V203" s="235"/>
      <c r="W203" s="235"/>
      <c r="Y203" s="228" t="str">
        <f t="shared" si="7"/>
        <v>GoldNihon Material Co., Ltd.</v>
      </c>
    </row>
    <row r="204" spans="1:25" s="228" customFormat="1" ht="20.25">
      <c r="A204" s="400" t="s">
        <v>1303</v>
      </c>
      <c r="B204" s="396" t="s">
        <v>2323</v>
      </c>
      <c r="C204" s="397" t="s">
        <v>4167</v>
      </c>
      <c r="D204" s="396" t="s">
        <v>4167</v>
      </c>
      <c r="E204" s="396" t="s">
        <v>2249</v>
      </c>
      <c r="F204" s="396" t="s">
        <v>1303</v>
      </c>
      <c r="G204" s="396" t="s">
        <v>3125</v>
      </c>
      <c r="H204" s="398" t="s">
        <v>5024</v>
      </c>
      <c r="I204" s="399" t="s">
        <v>3257</v>
      </c>
      <c r="J204" s="399" t="s">
        <v>3258</v>
      </c>
      <c r="K204" s="402"/>
      <c r="L204" s="402"/>
      <c r="M204" s="402" t="s">
        <v>5024</v>
      </c>
      <c r="N204" s="402" t="s">
        <v>5024</v>
      </c>
      <c r="O204" s="402" t="s">
        <v>5029</v>
      </c>
      <c r="P204" s="402" t="s">
        <v>924</v>
      </c>
      <c r="Q204" s="403" t="s">
        <v>5026</v>
      </c>
      <c r="R204" s="233"/>
      <c r="S204" s="234">
        <f>IF(C204="",NA(),MATCH($B204&amp;$C204,'Smelter Reference List'!$J:$J,0))</f>
        <v>141</v>
      </c>
      <c r="T204" s="235"/>
      <c r="U204" s="235">
        <f t="shared" si="6"/>
        <v>0</v>
      </c>
      <c r="V204" s="235"/>
      <c r="W204" s="235"/>
      <c r="Y204" s="228" t="str">
        <f t="shared" si="7"/>
        <v>GoldOhura Precious Metal Industry Co., Ltd.</v>
      </c>
    </row>
    <row r="205" spans="1:25" s="228" customFormat="1" ht="25.5">
      <c r="A205" s="400" t="s">
        <v>1304</v>
      </c>
      <c r="B205" s="396" t="s">
        <v>2323</v>
      </c>
      <c r="C205" s="397" t="s">
        <v>4342</v>
      </c>
      <c r="D205" s="396" t="s">
        <v>4342</v>
      </c>
      <c r="E205" s="396" t="s">
        <v>1717</v>
      </c>
      <c r="F205" s="396" t="s">
        <v>1304</v>
      </c>
      <c r="G205" s="396" t="s">
        <v>3125</v>
      </c>
      <c r="H205" s="398" t="s">
        <v>5024</v>
      </c>
      <c r="I205" s="399" t="s">
        <v>3259</v>
      </c>
      <c r="J205" s="399" t="s">
        <v>3260</v>
      </c>
      <c r="K205" s="402"/>
      <c r="L205" s="402"/>
      <c r="M205" s="402" t="s">
        <v>5024</v>
      </c>
      <c r="N205" s="402" t="s">
        <v>5024</v>
      </c>
      <c r="O205" s="402" t="s">
        <v>926</v>
      </c>
      <c r="P205" s="402" t="s">
        <v>5024</v>
      </c>
      <c r="Q205" s="403" t="s">
        <v>5026</v>
      </c>
      <c r="R205" s="233"/>
      <c r="S205" s="234">
        <f>IF(C205="",NA(),MATCH($B205&amp;$C205,'Smelter Reference List'!$J:$J,0))</f>
        <v>142</v>
      </c>
      <c r="T205" s="235"/>
      <c r="U205" s="235">
        <f t="shared" si="6"/>
        <v>0</v>
      </c>
      <c r="V205" s="235"/>
      <c r="W205" s="235"/>
      <c r="Y205" s="228" t="str">
        <f t="shared" si="7"/>
        <v>GoldOJSC "The Gulidov Krasnoyarsk Non-Ferrous Metals Plant" (OJSC Krastsvetmet)</v>
      </c>
    </row>
    <row r="206" spans="1:25" s="228" customFormat="1" ht="20.25">
      <c r="A206" s="400" t="s">
        <v>1259</v>
      </c>
      <c r="B206" s="396" t="s">
        <v>2323</v>
      </c>
      <c r="C206" s="397" t="s">
        <v>4265</v>
      </c>
      <c r="D206" s="396" t="s">
        <v>4265</v>
      </c>
      <c r="E206" s="396" t="s">
        <v>1717</v>
      </c>
      <c r="F206" s="396" t="s">
        <v>1259</v>
      </c>
      <c r="G206" s="396" t="s">
        <v>3125</v>
      </c>
      <c r="H206" s="398" t="s">
        <v>5024</v>
      </c>
      <c r="I206" s="399" t="s">
        <v>3180</v>
      </c>
      <c r="J206" s="399" t="s">
        <v>4343</v>
      </c>
      <c r="K206" s="402"/>
      <c r="L206" s="402"/>
      <c r="M206" s="402" t="s">
        <v>5024</v>
      </c>
      <c r="N206" s="402" t="s">
        <v>5024</v>
      </c>
      <c r="O206" s="402" t="s">
        <v>926</v>
      </c>
      <c r="P206" s="402" t="s">
        <v>5024</v>
      </c>
      <c r="Q206" s="403" t="s">
        <v>5026</v>
      </c>
      <c r="R206" s="233"/>
      <c r="S206" s="234">
        <f>IF(C206="",NA(),MATCH($B206&amp;$C206,'Smelter Reference List'!$J:$J,0))</f>
        <v>144</v>
      </c>
      <c r="T206" s="235"/>
      <c r="U206" s="235">
        <f t="shared" si="6"/>
        <v>0</v>
      </c>
      <c r="V206" s="235"/>
      <c r="W206" s="235"/>
      <c r="Y206" s="228" t="str">
        <f t="shared" si="7"/>
        <v>GoldOJSC Novosibirsk Refinery</v>
      </c>
    </row>
    <row r="207" spans="1:25" s="228" customFormat="1" ht="20.25">
      <c r="A207" s="400" t="s">
        <v>1305</v>
      </c>
      <c r="B207" s="396" t="s">
        <v>2323</v>
      </c>
      <c r="C207" s="397" t="s">
        <v>4705</v>
      </c>
      <c r="D207" s="396" t="s">
        <v>4705</v>
      </c>
      <c r="E207" s="396" t="s">
        <v>2179</v>
      </c>
      <c r="F207" s="396" t="s">
        <v>1305</v>
      </c>
      <c r="G207" s="396" t="s">
        <v>3125</v>
      </c>
      <c r="H207" s="398" t="s">
        <v>5024</v>
      </c>
      <c r="I207" s="399" t="s">
        <v>3262</v>
      </c>
      <c r="J207" s="399" t="s">
        <v>3138</v>
      </c>
      <c r="K207" s="402"/>
      <c r="L207" s="402"/>
      <c r="M207" s="402" t="s">
        <v>5024</v>
      </c>
      <c r="N207" s="402" t="s">
        <v>5024</v>
      </c>
      <c r="O207" s="402" t="s">
        <v>5027</v>
      </c>
      <c r="P207" s="402" t="s">
        <v>925</v>
      </c>
      <c r="Q207" s="403" t="s">
        <v>5026</v>
      </c>
      <c r="R207" s="233"/>
      <c r="S207" s="234">
        <f>IF(C207="",NA(),MATCH($B207&amp;$C207,'Smelter Reference List'!$J:$J,0))</f>
        <v>146</v>
      </c>
      <c r="T207" s="235"/>
      <c r="U207" s="235">
        <f t="shared" si="6"/>
        <v>0</v>
      </c>
      <c r="V207" s="235"/>
      <c r="W207" s="235"/>
      <c r="Y207" s="228" t="str">
        <f t="shared" si="7"/>
        <v>GoldPAMP S.A.</v>
      </c>
    </row>
    <row r="208" spans="1:25" s="228" customFormat="1" ht="38.25">
      <c r="A208" s="400" t="s">
        <v>1306</v>
      </c>
      <c r="B208" s="396" t="s">
        <v>2323</v>
      </c>
      <c r="C208" s="397" t="s">
        <v>4168</v>
      </c>
      <c r="D208" s="396" t="s">
        <v>4168</v>
      </c>
      <c r="E208" s="396" t="s">
        <v>2181</v>
      </c>
      <c r="F208" s="396" t="s">
        <v>1306</v>
      </c>
      <c r="G208" s="396" t="s">
        <v>3125</v>
      </c>
      <c r="H208" s="398" t="s">
        <v>5024</v>
      </c>
      <c r="I208" s="399" t="s">
        <v>4756</v>
      </c>
      <c r="J208" s="399" t="s">
        <v>3264</v>
      </c>
      <c r="K208" s="402"/>
      <c r="L208" s="402"/>
      <c r="M208" s="402" t="s">
        <v>5030</v>
      </c>
      <c r="N208" s="402" t="s">
        <v>5024</v>
      </c>
      <c r="O208" s="402" t="s">
        <v>5025</v>
      </c>
      <c r="P208" s="402" t="s">
        <v>925</v>
      </c>
      <c r="Q208" s="403" t="s">
        <v>5035</v>
      </c>
      <c r="R208" s="233"/>
      <c r="S208" s="234">
        <f>IF(C208="",NA(),MATCH($B208&amp;$C208,'Smelter Reference List'!$J:$J,0))</f>
        <v>148</v>
      </c>
      <c r="T208" s="235"/>
      <c r="U208" s="235">
        <f t="shared" si="6"/>
        <v>0</v>
      </c>
      <c r="V208" s="235"/>
      <c r="W208" s="235"/>
      <c r="Y208" s="228" t="str">
        <f t="shared" si="7"/>
        <v>GoldPenglai Penggang Gold Industry Co., Ltd.</v>
      </c>
    </row>
    <row r="209" spans="1:25" s="228" customFormat="1" ht="20.25">
      <c r="A209" s="400" t="s">
        <v>1307</v>
      </c>
      <c r="B209" s="396" t="s">
        <v>2323</v>
      </c>
      <c r="C209" s="397" t="s">
        <v>1794</v>
      </c>
      <c r="D209" s="396" t="s">
        <v>1794</v>
      </c>
      <c r="E209" s="396" t="s">
        <v>1717</v>
      </c>
      <c r="F209" s="396" t="s">
        <v>1307</v>
      </c>
      <c r="G209" s="396" t="s">
        <v>3125</v>
      </c>
      <c r="H209" s="398" t="s">
        <v>5024</v>
      </c>
      <c r="I209" s="399" t="s">
        <v>3265</v>
      </c>
      <c r="J209" s="399" t="s">
        <v>3266</v>
      </c>
      <c r="K209" s="402"/>
      <c r="L209" s="402"/>
      <c r="M209" s="402" t="s">
        <v>5024</v>
      </c>
      <c r="N209" s="402" t="s">
        <v>5024</v>
      </c>
      <c r="O209" s="402" t="s">
        <v>926</v>
      </c>
      <c r="P209" s="402" t="s">
        <v>5024</v>
      </c>
      <c r="Q209" s="403" t="s">
        <v>5026</v>
      </c>
      <c r="R209" s="233"/>
      <c r="S209" s="234">
        <f>IF(C209="",NA(),MATCH($B209&amp;$C209,'Smelter Reference List'!$J:$J,0))</f>
        <v>151</v>
      </c>
      <c r="T209" s="235"/>
      <c r="U209" s="235">
        <f t="shared" si="6"/>
        <v>0</v>
      </c>
      <c r="V209" s="235"/>
      <c r="W209" s="235"/>
      <c r="Y209" s="228" t="str">
        <f t="shared" si="7"/>
        <v>GoldPrioksky Plant of Non-Ferrous Metals</v>
      </c>
    </row>
    <row r="210" spans="1:25" s="228" customFormat="1" ht="20.25">
      <c r="A210" s="400" t="s">
        <v>1308</v>
      </c>
      <c r="B210" s="396" t="s">
        <v>2323</v>
      </c>
      <c r="C210" s="397" t="s">
        <v>2456</v>
      </c>
      <c r="D210" s="396" t="s">
        <v>2456</v>
      </c>
      <c r="E210" s="396" t="s">
        <v>2238</v>
      </c>
      <c r="F210" s="396" t="s">
        <v>1308</v>
      </c>
      <c r="G210" s="396" t="s">
        <v>3125</v>
      </c>
      <c r="H210" s="398" t="s">
        <v>5024</v>
      </c>
      <c r="I210" s="399" t="s">
        <v>3267</v>
      </c>
      <c r="J210" s="399" t="s">
        <v>3268</v>
      </c>
      <c r="K210" s="402"/>
      <c r="L210" s="402"/>
      <c r="M210" s="402" t="s">
        <v>5024</v>
      </c>
      <c r="N210" s="402" t="s">
        <v>5024</v>
      </c>
      <c r="O210" s="402" t="s">
        <v>926</v>
      </c>
      <c r="P210" s="402" t="s">
        <v>5024</v>
      </c>
      <c r="Q210" s="403" t="s">
        <v>5026</v>
      </c>
      <c r="R210" s="233"/>
      <c r="S210" s="234">
        <f>IF(C210="",NA(),MATCH($B210&amp;$C210,'Smelter Reference List'!$J:$J,0))</f>
        <v>153</v>
      </c>
      <c r="T210" s="235"/>
      <c r="U210" s="235">
        <f t="shared" si="6"/>
        <v>0</v>
      </c>
      <c r="V210" s="235"/>
      <c r="W210" s="235"/>
      <c r="Y210" s="228" t="str">
        <f t="shared" si="7"/>
        <v>GoldPT Aneka Tambang (Persero) Tbk</v>
      </c>
    </row>
    <row r="211" spans="1:25" s="228" customFormat="1" ht="20.25">
      <c r="A211" s="400" t="s">
        <v>1309</v>
      </c>
      <c r="B211" s="396" t="s">
        <v>2323</v>
      </c>
      <c r="C211" s="397" t="s">
        <v>4706</v>
      </c>
      <c r="D211" s="396" t="s">
        <v>4706</v>
      </c>
      <c r="E211" s="396" t="s">
        <v>2179</v>
      </c>
      <c r="F211" s="396" t="s">
        <v>1309</v>
      </c>
      <c r="G211" s="396" t="s">
        <v>3125</v>
      </c>
      <c r="H211" s="398" t="s">
        <v>5024</v>
      </c>
      <c r="I211" s="399" t="s">
        <v>3269</v>
      </c>
      <c r="J211" s="399" t="s">
        <v>3240</v>
      </c>
      <c r="K211" s="402"/>
      <c r="L211" s="402"/>
      <c r="M211" s="402" t="s">
        <v>5024</v>
      </c>
      <c r="N211" s="402"/>
      <c r="O211" s="402" t="s">
        <v>5037</v>
      </c>
      <c r="P211" s="402" t="s">
        <v>925</v>
      </c>
      <c r="Q211" s="403" t="s">
        <v>5026</v>
      </c>
      <c r="R211" s="233"/>
      <c r="S211" s="234">
        <f>IF(C211="",NA(),MATCH($B211&amp;$C211,'Smelter Reference List'!$J:$J,0))</f>
        <v>154</v>
      </c>
      <c r="T211" s="235"/>
      <c r="U211" s="235">
        <f t="shared" si="6"/>
        <v>0</v>
      </c>
      <c r="V211" s="235"/>
      <c r="W211" s="235"/>
      <c r="Y211" s="228" t="str">
        <f t="shared" si="7"/>
        <v>GoldPX Précinox S.A.</v>
      </c>
    </row>
    <row r="212" spans="1:25" s="228" customFormat="1" ht="20.25">
      <c r="A212" s="400" t="s">
        <v>1310</v>
      </c>
      <c r="B212" s="396" t="s">
        <v>2323</v>
      </c>
      <c r="C212" s="397" t="s">
        <v>4171</v>
      </c>
      <c r="D212" s="396" t="s">
        <v>4171</v>
      </c>
      <c r="E212" s="396" t="s">
        <v>1772</v>
      </c>
      <c r="F212" s="396" t="s">
        <v>1310</v>
      </c>
      <c r="G212" s="396" t="s">
        <v>3125</v>
      </c>
      <c r="H212" s="398" t="s">
        <v>5024</v>
      </c>
      <c r="I212" s="399" t="s">
        <v>3270</v>
      </c>
      <c r="J212" s="399" t="s">
        <v>3271</v>
      </c>
      <c r="K212" s="402"/>
      <c r="L212" s="402"/>
      <c r="M212" s="402" t="s">
        <v>5024</v>
      </c>
      <c r="N212" s="402" t="s">
        <v>5024</v>
      </c>
      <c r="O212" s="402" t="s">
        <v>5025</v>
      </c>
      <c r="P212" s="402" t="s">
        <v>925</v>
      </c>
      <c r="Q212" s="403" t="s">
        <v>5026</v>
      </c>
      <c r="R212" s="233"/>
      <c r="S212" s="234">
        <f>IF(C212="",NA(),MATCH($B212&amp;$C212,'Smelter Reference List'!$J:$J,0))</f>
        <v>155</v>
      </c>
      <c r="T212" s="235"/>
      <c r="U212" s="235">
        <f t="shared" si="6"/>
        <v>0</v>
      </c>
      <c r="V212" s="235"/>
      <c r="W212" s="235"/>
      <c r="Y212" s="228" t="str">
        <f t="shared" si="7"/>
        <v>GoldRand Refinery (Pty) Ltd.</v>
      </c>
    </row>
    <row r="213" spans="1:25" s="228" customFormat="1" ht="20.25">
      <c r="A213" s="400" t="s">
        <v>2693</v>
      </c>
      <c r="B213" s="396" t="s">
        <v>2323</v>
      </c>
      <c r="C213" s="397" t="s">
        <v>2692</v>
      </c>
      <c r="D213" s="396" t="s">
        <v>2692</v>
      </c>
      <c r="E213" s="396" t="s">
        <v>5016</v>
      </c>
      <c r="F213" s="396" t="s">
        <v>2693</v>
      </c>
      <c r="G213" s="396" t="s">
        <v>3125</v>
      </c>
      <c r="H213" s="398" t="s">
        <v>5024</v>
      </c>
      <c r="I213" s="399" t="s">
        <v>3347</v>
      </c>
      <c r="J213" s="399" t="s">
        <v>3348</v>
      </c>
      <c r="K213" s="402"/>
      <c r="L213" s="402"/>
      <c r="M213" s="402" t="s">
        <v>5024</v>
      </c>
      <c r="N213" s="402" t="s">
        <v>5024</v>
      </c>
      <c r="O213" s="402" t="s">
        <v>5025</v>
      </c>
      <c r="P213" s="402" t="s">
        <v>925</v>
      </c>
      <c r="Q213" s="403" t="s">
        <v>5026</v>
      </c>
      <c r="R213" s="233"/>
      <c r="S213" s="234">
        <f>IF(C213="",NA(),MATCH($B213&amp;$C213,'Smelter Reference List'!$J:$J,0))</f>
        <v>158</v>
      </c>
      <c r="T213" s="235"/>
      <c r="U213" s="235">
        <f t="shared" si="6"/>
        <v>0</v>
      </c>
      <c r="V213" s="235"/>
      <c r="W213" s="235"/>
      <c r="Y213" s="228" t="str">
        <f t="shared" si="7"/>
        <v>GoldRepublic Metals Corporation</v>
      </c>
    </row>
    <row r="214" spans="1:25" s="228" customFormat="1" ht="20.25">
      <c r="A214" s="400" t="s">
        <v>1311</v>
      </c>
      <c r="B214" s="396" t="s">
        <v>2323</v>
      </c>
      <c r="C214" s="397" t="s">
        <v>1795</v>
      </c>
      <c r="D214" s="396" t="s">
        <v>1795</v>
      </c>
      <c r="E214" s="396" t="s">
        <v>2177</v>
      </c>
      <c r="F214" s="396" t="s">
        <v>1311</v>
      </c>
      <c r="G214" s="396" t="s">
        <v>3125</v>
      </c>
      <c r="H214" s="398" t="s">
        <v>5024</v>
      </c>
      <c r="I214" s="399" t="s">
        <v>3272</v>
      </c>
      <c r="J214" s="399" t="s">
        <v>3210</v>
      </c>
      <c r="K214" s="402"/>
      <c r="L214" s="402"/>
      <c r="M214" s="402" t="s">
        <v>5024</v>
      </c>
      <c r="N214" s="402" t="s">
        <v>5024</v>
      </c>
      <c r="O214" s="402" t="s">
        <v>5025</v>
      </c>
      <c r="P214" s="402" t="s">
        <v>925</v>
      </c>
      <c r="Q214" s="403" t="s">
        <v>5026</v>
      </c>
      <c r="R214" s="233"/>
      <c r="S214" s="234">
        <f>IF(C214="",NA(),MATCH($B214&amp;$C214,'Smelter Reference List'!$J:$J,0))</f>
        <v>159</v>
      </c>
      <c r="T214" s="235"/>
      <c r="U214" s="235">
        <f t="shared" si="6"/>
        <v>0</v>
      </c>
      <c r="V214" s="235"/>
      <c r="W214" s="235"/>
      <c r="Y214" s="228" t="str">
        <f t="shared" si="7"/>
        <v>GoldRoyal Canadian Mint</v>
      </c>
    </row>
    <row r="215" spans="1:25" s="228" customFormat="1" ht="38.25">
      <c r="A215" s="400" t="s">
        <v>1312</v>
      </c>
      <c r="B215" s="396" t="s">
        <v>2323</v>
      </c>
      <c r="C215" s="397" t="s">
        <v>2372</v>
      </c>
      <c r="D215" s="396" t="s">
        <v>2372</v>
      </c>
      <c r="E215" s="396" t="s">
        <v>5016</v>
      </c>
      <c r="F215" s="396" t="s">
        <v>1312</v>
      </c>
      <c r="G215" s="396" t="s">
        <v>3125</v>
      </c>
      <c r="H215" s="398" t="s">
        <v>5024</v>
      </c>
      <c r="I215" s="399" t="s">
        <v>3273</v>
      </c>
      <c r="J215" s="399" t="s">
        <v>3274</v>
      </c>
      <c r="K215" s="402"/>
      <c r="L215" s="402"/>
      <c r="M215" s="402" t="s">
        <v>5024</v>
      </c>
      <c r="N215" s="402" t="s">
        <v>5024</v>
      </c>
      <c r="O215" s="402" t="s">
        <v>5029</v>
      </c>
      <c r="P215" s="402" t="s">
        <v>924</v>
      </c>
      <c r="Q215" s="403" t="s">
        <v>5035</v>
      </c>
      <c r="R215" s="233"/>
      <c r="S215" s="234">
        <f>IF(C215="",NA(),MATCH($B215&amp;$C215,'Smelter Reference List'!$J:$J,0))</f>
        <v>161</v>
      </c>
      <c r="T215" s="235"/>
      <c r="U215" s="235">
        <f t="shared" si="6"/>
        <v>0</v>
      </c>
      <c r="V215" s="235"/>
      <c r="W215" s="235"/>
      <c r="Y215" s="228" t="str">
        <f t="shared" si="7"/>
        <v>GoldSabin Metal Corp.</v>
      </c>
    </row>
    <row r="216" spans="1:25" s="228" customFormat="1" ht="20.25">
      <c r="A216" s="400" t="s">
        <v>2731</v>
      </c>
      <c r="B216" s="396" t="s">
        <v>2323</v>
      </c>
      <c r="C216" s="397" t="s">
        <v>2730</v>
      </c>
      <c r="D216" s="396" t="s">
        <v>2730</v>
      </c>
      <c r="E216" s="396" t="s">
        <v>5017</v>
      </c>
      <c r="F216" s="396" t="s">
        <v>2731</v>
      </c>
      <c r="G216" s="396" t="s">
        <v>3125</v>
      </c>
      <c r="H216" s="398" t="s">
        <v>5024</v>
      </c>
      <c r="I216" s="399" t="s">
        <v>3166</v>
      </c>
      <c r="J216" s="399" t="s">
        <v>3167</v>
      </c>
      <c r="K216" s="402"/>
      <c r="L216" s="402"/>
      <c r="M216" s="402" t="s">
        <v>5024</v>
      </c>
      <c r="N216" s="402" t="s">
        <v>5024</v>
      </c>
      <c r="O216" s="402" t="s">
        <v>5029</v>
      </c>
      <c r="P216" s="402" t="s">
        <v>924</v>
      </c>
      <c r="Q216" s="403" t="s">
        <v>5026</v>
      </c>
      <c r="R216" s="233"/>
      <c r="S216" s="234">
        <f>IF(C216="",NA(),MATCH($B216&amp;$C216,'Smelter Reference List'!$J:$J,0))</f>
        <v>166</v>
      </c>
      <c r="T216" s="235"/>
      <c r="U216" s="235">
        <f t="shared" si="6"/>
        <v>0</v>
      </c>
      <c r="V216" s="235"/>
      <c r="W216" s="235"/>
      <c r="Y216" s="228" t="str">
        <f t="shared" si="7"/>
        <v>GoldSamduck Precious Metals</v>
      </c>
    </row>
    <row r="217" spans="1:25" s="228" customFormat="1" ht="25.5">
      <c r="A217" s="400" t="s">
        <v>1313</v>
      </c>
      <c r="B217" s="396" t="s">
        <v>2323</v>
      </c>
      <c r="C217" s="397" t="s">
        <v>5040</v>
      </c>
      <c r="D217" s="396" t="s">
        <v>5040</v>
      </c>
      <c r="E217" s="396" t="s">
        <v>5017</v>
      </c>
      <c r="F217" s="396" t="s">
        <v>1313</v>
      </c>
      <c r="G217" s="396" t="s">
        <v>3125</v>
      </c>
      <c r="H217" s="398" t="s">
        <v>5024</v>
      </c>
      <c r="I217" s="399" t="s">
        <v>3277</v>
      </c>
      <c r="J217" s="399" t="s">
        <v>3278</v>
      </c>
      <c r="K217" s="402"/>
      <c r="L217" s="402"/>
      <c r="M217" s="402" t="s">
        <v>5030</v>
      </c>
      <c r="N217" s="402" t="s">
        <v>5024</v>
      </c>
      <c r="O217" s="402" t="s">
        <v>926</v>
      </c>
      <c r="P217" s="402" t="s">
        <v>5024</v>
      </c>
      <c r="Q217" s="403" t="s">
        <v>5024</v>
      </c>
      <c r="R217" s="233"/>
      <c r="S217" s="234">
        <f>IF(C217="",NA(),MATCH($B217&amp;$C217,'Smelter Reference List'!$J:$J,0))</f>
        <v>167</v>
      </c>
      <c r="T217" s="235"/>
      <c r="U217" s="235">
        <f t="shared" si="6"/>
        <v>0</v>
      </c>
      <c r="V217" s="235"/>
      <c r="W217" s="235"/>
      <c r="Y217" s="228" t="str">
        <f t="shared" si="7"/>
        <v>GoldSamwon Metals Corp.</v>
      </c>
    </row>
    <row r="218" spans="1:25" s="228" customFormat="1" ht="20.25">
      <c r="A218" s="400" t="s">
        <v>4273</v>
      </c>
      <c r="B218" s="396" t="s">
        <v>2323</v>
      </c>
      <c r="C218" s="397" t="s">
        <v>4270</v>
      </c>
      <c r="D218" s="396" t="s">
        <v>4270</v>
      </c>
      <c r="E218" s="396" t="s">
        <v>2195</v>
      </c>
      <c r="F218" s="396" t="s">
        <v>4273</v>
      </c>
      <c r="G218" s="396" t="s">
        <v>3125</v>
      </c>
      <c r="H218" s="398" t="s">
        <v>5024</v>
      </c>
      <c r="I218" s="399" t="s">
        <v>3464</v>
      </c>
      <c r="J218" s="399" t="s">
        <v>3465</v>
      </c>
      <c r="K218" s="402"/>
      <c r="L218" s="402"/>
      <c r="M218" s="402" t="s">
        <v>5024</v>
      </c>
      <c r="N218" s="402" t="s">
        <v>5024</v>
      </c>
      <c r="O218" s="402" t="s">
        <v>5029</v>
      </c>
      <c r="P218" s="402" t="s">
        <v>924</v>
      </c>
      <c r="Q218" s="403" t="s">
        <v>5026</v>
      </c>
      <c r="R218" s="233"/>
      <c r="S218" s="234">
        <f>IF(C218="",NA(),MATCH($B218&amp;$C218,'Smelter Reference List'!$J:$J,0))</f>
        <v>168</v>
      </c>
      <c r="T218" s="235"/>
      <c r="U218" s="235">
        <f t="shared" si="6"/>
        <v>0</v>
      </c>
      <c r="V218" s="235"/>
      <c r="W218" s="235"/>
      <c r="Y218" s="228" t="str">
        <f t="shared" si="7"/>
        <v>GoldSAXONIA Edelmetalle GmbH</v>
      </c>
    </row>
    <row r="219" spans="1:25" s="228" customFormat="1" ht="20.25">
      <c r="A219" s="400" t="s">
        <v>1314</v>
      </c>
      <c r="B219" s="396" t="s">
        <v>2323</v>
      </c>
      <c r="C219" s="397" t="s">
        <v>4285</v>
      </c>
      <c r="D219" s="396" t="s">
        <v>4285</v>
      </c>
      <c r="E219" s="396" t="s">
        <v>2298</v>
      </c>
      <c r="F219" s="396" t="s">
        <v>1314</v>
      </c>
      <c r="G219" s="396" t="s">
        <v>3125</v>
      </c>
      <c r="H219" s="398" t="s">
        <v>5024</v>
      </c>
      <c r="I219" s="399" t="s">
        <v>3279</v>
      </c>
      <c r="J219" s="399" t="s">
        <v>3280</v>
      </c>
      <c r="K219" s="402"/>
      <c r="L219" s="402"/>
      <c r="M219" s="402" t="s">
        <v>5024</v>
      </c>
      <c r="N219" s="402" t="s">
        <v>5024</v>
      </c>
      <c r="O219" s="402" t="s">
        <v>926</v>
      </c>
      <c r="P219" s="402" t="s">
        <v>5024</v>
      </c>
      <c r="Q219" s="403" t="s">
        <v>5026</v>
      </c>
      <c r="R219" s="233"/>
      <c r="S219" s="234">
        <f>IF(C219="",NA(),MATCH($B219&amp;$C219,'Smelter Reference List'!$J:$J,0))</f>
        <v>169</v>
      </c>
      <c r="T219" s="235"/>
      <c r="U219" s="235">
        <f t="shared" si="6"/>
        <v>0</v>
      </c>
      <c r="V219" s="235"/>
      <c r="W219" s="235"/>
      <c r="Y219" s="228" t="str">
        <f t="shared" si="7"/>
        <v>GoldSchone Edelmetaal B.V.</v>
      </c>
    </row>
    <row r="220" spans="1:25" s="228" customFormat="1" ht="20.25">
      <c r="A220" s="400" t="s">
        <v>1315</v>
      </c>
      <c r="B220" s="396" t="s">
        <v>2323</v>
      </c>
      <c r="C220" s="397" t="s">
        <v>4716</v>
      </c>
      <c r="D220" s="396" t="s">
        <v>4716</v>
      </c>
      <c r="E220" s="396" t="s">
        <v>2205</v>
      </c>
      <c r="F220" s="396" t="s">
        <v>1315</v>
      </c>
      <c r="G220" s="396" t="s">
        <v>3125</v>
      </c>
      <c r="H220" s="398" t="s">
        <v>5024</v>
      </c>
      <c r="I220" s="399" t="s">
        <v>3281</v>
      </c>
      <c r="J220" s="399" t="s">
        <v>3282</v>
      </c>
      <c r="K220" s="402"/>
      <c r="L220" s="402"/>
      <c r="M220" s="402" t="s">
        <v>5024</v>
      </c>
      <c r="N220" s="402" t="s">
        <v>5024</v>
      </c>
      <c r="O220" s="402" t="s">
        <v>5029</v>
      </c>
      <c r="P220" s="402" t="s">
        <v>924</v>
      </c>
      <c r="Q220" s="403" t="s">
        <v>5026</v>
      </c>
      <c r="R220" s="233"/>
      <c r="S220" s="234">
        <f>IF(C220="",NA(),MATCH($B220&amp;$C220,'Smelter Reference List'!$J:$J,0))</f>
        <v>171</v>
      </c>
      <c r="T220" s="235"/>
      <c r="U220" s="235">
        <f t="shared" si="6"/>
        <v>0</v>
      </c>
      <c r="V220" s="235"/>
      <c r="W220" s="235"/>
      <c r="Y220" s="228" t="str">
        <f t="shared" si="7"/>
        <v>GoldSEMPSA Joyería Platería S.A.</v>
      </c>
    </row>
    <row r="221" spans="1:25" s="228" customFormat="1" ht="25.5">
      <c r="A221" s="400" t="s">
        <v>3285</v>
      </c>
      <c r="B221" s="396" t="s">
        <v>2323</v>
      </c>
      <c r="C221" s="397" t="s">
        <v>3284</v>
      </c>
      <c r="D221" s="396" t="s">
        <v>3284</v>
      </c>
      <c r="E221" s="396" t="s">
        <v>2181</v>
      </c>
      <c r="F221" s="396" t="s">
        <v>3285</v>
      </c>
      <c r="G221" s="396" t="s">
        <v>3125</v>
      </c>
      <c r="H221" s="398" t="s">
        <v>5024</v>
      </c>
      <c r="I221" s="399" t="s">
        <v>3286</v>
      </c>
      <c r="J221" s="399" t="s">
        <v>3263</v>
      </c>
      <c r="K221" s="402"/>
      <c r="L221" s="402"/>
      <c r="M221" s="402" t="s">
        <v>5030</v>
      </c>
      <c r="N221" s="402" t="s">
        <v>5024</v>
      </c>
      <c r="O221" s="402" t="s">
        <v>926</v>
      </c>
      <c r="P221" s="402" t="s">
        <v>5024</v>
      </c>
      <c r="Q221" s="403" t="s">
        <v>5024</v>
      </c>
      <c r="R221" s="233"/>
      <c r="S221" s="234">
        <f>IF(C221="",NA(),MATCH($B221&amp;$C221,'Smelter Reference List'!$J:$J,0))</f>
        <v>175</v>
      </c>
      <c r="T221" s="235"/>
      <c r="U221" s="235">
        <f t="shared" si="6"/>
        <v>0</v>
      </c>
      <c r="V221" s="235"/>
      <c r="W221" s="235"/>
      <c r="Y221" s="228" t="str">
        <f t="shared" si="7"/>
        <v>GoldShandong Tiancheng Biological Gold Industrial Co., Ltd.</v>
      </c>
    </row>
    <row r="222" spans="1:25" s="228" customFormat="1" ht="25.5">
      <c r="A222" s="400" t="s">
        <v>1316</v>
      </c>
      <c r="B222" s="396" t="s">
        <v>2323</v>
      </c>
      <c r="C222" s="397" t="s">
        <v>4174</v>
      </c>
      <c r="D222" s="396" t="s">
        <v>4174</v>
      </c>
      <c r="E222" s="396" t="s">
        <v>2181</v>
      </c>
      <c r="F222" s="396" t="s">
        <v>1316</v>
      </c>
      <c r="G222" s="396" t="s">
        <v>3125</v>
      </c>
      <c r="H222" s="398" t="s">
        <v>5024</v>
      </c>
      <c r="I222" s="399" t="s">
        <v>3185</v>
      </c>
      <c r="J222" s="399" t="s">
        <v>3264</v>
      </c>
      <c r="K222" s="402"/>
      <c r="L222" s="402"/>
      <c r="M222" s="402" t="s">
        <v>5024</v>
      </c>
      <c r="N222" s="402" t="s">
        <v>5024</v>
      </c>
      <c r="O222" s="402" t="s">
        <v>5025</v>
      </c>
      <c r="P222" s="402" t="s">
        <v>925</v>
      </c>
      <c r="Q222" s="403" t="s">
        <v>5026</v>
      </c>
      <c r="R222" s="233"/>
      <c r="S222" s="234">
        <f>IF(C222="",NA(),MATCH($B222&amp;$C222,'Smelter Reference List'!$J:$J,0))</f>
        <v>176</v>
      </c>
      <c r="T222" s="235"/>
      <c r="U222" s="235">
        <f t="shared" si="6"/>
        <v>0</v>
      </c>
      <c r="V222" s="235"/>
      <c r="W222" s="235"/>
      <c r="Y222" s="228" t="str">
        <f t="shared" si="7"/>
        <v>GoldShandong Zhaojin Gold &amp; Silver Refinery Co., Ltd.</v>
      </c>
    </row>
    <row r="223" spans="1:25" s="228" customFormat="1" ht="20.25">
      <c r="A223" s="400" t="s">
        <v>2694</v>
      </c>
      <c r="B223" s="396" t="s">
        <v>2323</v>
      </c>
      <c r="C223" s="397" t="s">
        <v>4175</v>
      </c>
      <c r="D223" s="396" t="s">
        <v>4175</v>
      </c>
      <c r="E223" s="396" t="s">
        <v>2181</v>
      </c>
      <c r="F223" s="396" t="s">
        <v>2694</v>
      </c>
      <c r="G223" s="396" t="s">
        <v>3125</v>
      </c>
      <c r="H223" s="398" t="s">
        <v>5024</v>
      </c>
      <c r="I223" s="399" t="s">
        <v>3290</v>
      </c>
      <c r="J223" s="399" t="s">
        <v>3291</v>
      </c>
      <c r="K223" s="402"/>
      <c r="L223" s="402"/>
      <c r="M223" s="402" t="s">
        <v>5024</v>
      </c>
      <c r="N223" s="402" t="s">
        <v>5024</v>
      </c>
      <c r="O223" s="402" t="s">
        <v>926</v>
      </c>
      <c r="P223" s="402" t="s">
        <v>5024</v>
      </c>
      <c r="Q223" s="403" t="s">
        <v>5026</v>
      </c>
      <c r="R223" s="233"/>
      <c r="S223" s="234">
        <f>IF(C223="",NA(),MATCH($B223&amp;$C223,'Smelter Reference List'!$J:$J,0))</f>
        <v>179</v>
      </c>
      <c r="T223" s="235"/>
      <c r="U223" s="235">
        <f t="shared" si="6"/>
        <v>0</v>
      </c>
      <c r="V223" s="235"/>
      <c r="W223" s="235"/>
      <c r="Y223" s="228" t="str">
        <f t="shared" si="7"/>
        <v>GoldSichuan Tianze Precious Metals Co., Ltd.</v>
      </c>
    </row>
    <row r="224" spans="1:25" s="228" customFormat="1" ht="25.5">
      <c r="A224" s="400" t="s">
        <v>2696</v>
      </c>
      <c r="B224" s="396" t="s">
        <v>2323</v>
      </c>
      <c r="C224" s="397" t="s">
        <v>2695</v>
      </c>
      <c r="D224" s="396" t="s">
        <v>2695</v>
      </c>
      <c r="E224" s="396" t="s">
        <v>5018</v>
      </c>
      <c r="F224" s="396" t="s">
        <v>2696</v>
      </c>
      <c r="G224" s="396" t="s">
        <v>3125</v>
      </c>
      <c r="H224" s="398" t="s">
        <v>5024</v>
      </c>
      <c r="I224" s="399" t="s">
        <v>3353</v>
      </c>
      <c r="J224" s="399" t="s">
        <v>3354</v>
      </c>
      <c r="K224" s="402"/>
      <c r="L224" s="402"/>
      <c r="M224" s="402" t="s">
        <v>5024</v>
      </c>
      <c r="N224" s="402" t="s">
        <v>5024</v>
      </c>
      <c r="O224" s="402" t="s">
        <v>5029</v>
      </c>
      <c r="P224" s="402" t="s">
        <v>924</v>
      </c>
      <c r="Q224" s="403" t="s">
        <v>5026</v>
      </c>
      <c r="R224" s="233"/>
      <c r="S224" s="234">
        <f>IF(C224="",NA(),MATCH($B224&amp;$C224,'Smelter Reference List'!$J:$J,0))</f>
        <v>181</v>
      </c>
      <c r="T224" s="235"/>
      <c r="U224" s="235">
        <f t="shared" si="6"/>
        <v>0</v>
      </c>
      <c r="V224" s="235"/>
      <c r="W224" s="235"/>
      <c r="Y224" s="228" t="str">
        <f t="shared" si="7"/>
        <v>GoldSingway Technology Co., Ltd.</v>
      </c>
    </row>
    <row r="225" spans="1:25" s="228" customFormat="1" ht="38.25">
      <c r="A225" s="400" t="s">
        <v>1318</v>
      </c>
      <c r="B225" s="396" t="s">
        <v>2323</v>
      </c>
      <c r="C225" s="397" t="s">
        <v>1317</v>
      </c>
      <c r="D225" s="396" t="s">
        <v>1317</v>
      </c>
      <c r="E225" s="396" t="s">
        <v>5016</v>
      </c>
      <c r="F225" s="396" t="s">
        <v>1318</v>
      </c>
      <c r="G225" s="396" t="s">
        <v>3125</v>
      </c>
      <c r="H225" s="398" t="s">
        <v>5024</v>
      </c>
      <c r="I225" s="399" t="s">
        <v>3292</v>
      </c>
      <c r="J225" s="399" t="s">
        <v>3230</v>
      </c>
      <c r="K225" s="402"/>
      <c r="L225" s="402"/>
      <c r="M225" s="402" t="s">
        <v>5024</v>
      </c>
      <c r="N225" s="402" t="s">
        <v>5024</v>
      </c>
      <c r="O225" s="402" t="s">
        <v>5029</v>
      </c>
      <c r="P225" s="402" t="s">
        <v>924</v>
      </c>
      <c r="Q225" s="403" t="s">
        <v>5035</v>
      </c>
      <c r="R225" s="233"/>
      <c r="S225" s="234">
        <f>IF(C225="",NA(),MATCH($B225&amp;$C225,'Smelter Reference List'!$J:$J,0))</f>
        <v>183</v>
      </c>
      <c r="T225" s="235"/>
      <c r="U225" s="235">
        <f t="shared" si="6"/>
        <v>0</v>
      </c>
      <c r="V225" s="235"/>
      <c r="W225" s="235"/>
      <c r="Y225" s="228" t="str">
        <f t="shared" si="7"/>
        <v>GoldSo Accurate Group, Inc.</v>
      </c>
    </row>
    <row r="226" spans="1:25" s="228" customFormat="1" ht="25.5">
      <c r="A226" s="400" t="s">
        <v>1319</v>
      </c>
      <c r="B226" s="396" t="s">
        <v>2323</v>
      </c>
      <c r="C226" s="397" t="s">
        <v>1796</v>
      </c>
      <c r="D226" s="396" t="s">
        <v>1796</v>
      </c>
      <c r="E226" s="396" t="s">
        <v>1717</v>
      </c>
      <c r="F226" s="396" t="s">
        <v>1319</v>
      </c>
      <c r="G226" s="396" t="s">
        <v>3125</v>
      </c>
      <c r="H226" s="398" t="s">
        <v>5024</v>
      </c>
      <c r="I226" s="399" t="s">
        <v>3293</v>
      </c>
      <c r="J226" s="399" t="s">
        <v>3294</v>
      </c>
      <c r="K226" s="402"/>
      <c r="L226" s="402"/>
      <c r="M226" s="402" t="s">
        <v>5024</v>
      </c>
      <c r="N226" s="402" t="s">
        <v>5024</v>
      </c>
      <c r="O226" s="402" t="s">
        <v>5029</v>
      </c>
      <c r="P226" s="402" t="s">
        <v>924</v>
      </c>
      <c r="Q226" s="403" t="s">
        <v>5026</v>
      </c>
      <c r="R226" s="233"/>
      <c r="S226" s="234">
        <f>IF(C226="",NA(),MATCH($B226&amp;$C226,'Smelter Reference List'!$J:$J,0))</f>
        <v>184</v>
      </c>
      <c r="T226" s="235"/>
      <c r="U226" s="235">
        <f t="shared" si="6"/>
        <v>0</v>
      </c>
      <c r="V226" s="235"/>
      <c r="W226" s="235"/>
      <c r="Y226" s="228" t="str">
        <f t="shared" si="7"/>
        <v>GoldSOE Shyolkovsky Factory of Secondary Precious Metals</v>
      </c>
    </row>
    <row r="227" spans="1:25" s="228" customFormat="1" ht="25.5">
      <c r="A227" s="400" t="s">
        <v>1320</v>
      </c>
      <c r="B227" s="396" t="s">
        <v>2323</v>
      </c>
      <c r="C227" s="397" t="s">
        <v>1797</v>
      </c>
      <c r="D227" s="396" t="s">
        <v>1797</v>
      </c>
      <c r="E227" s="396" t="s">
        <v>5018</v>
      </c>
      <c r="F227" s="396" t="s">
        <v>1320</v>
      </c>
      <c r="G227" s="396" t="s">
        <v>3125</v>
      </c>
      <c r="H227" s="398" t="s">
        <v>5024</v>
      </c>
      <c r="I227" s="399" t="s">
        <v>3295</v>
      </c>
      <c r="J227" s="399" t="s">
        <v>3296</v>
      </c>
      <c r="K227" s="402"/>
      <c r="L227" s="402"/>
      <c r="M227" s="402" t="s">
        <v>5024</v>
      </c>
      <c r="N227" s="402" t="s">
        <v>5024</v>
      </c>
      <c r="O227" s="402" t="s">
        <v>5025</v>
      </c>
      <c r="P227" s="402" t="s">
        <v>925</v>
      </c>
      <c r="Q227" s="403" t="s">
        <v>5026</v>
      </c>
      <c r="R227" s="233"/>
      <c r="S227" s="234">
        <f>IF(C227="",NA(),MATCH($B227&amp;$C227,'Smelter Reference List'!$J:$J,0))</f>
        <v>185</v>
      </c>
      <c r="T227" s="235"/>
      <c r="U227" s="235">
        <f t="shared" si="6"/>
        <v>0</v>
      </c>
      <c r="V227" s="235"/>
      <c r="W227" s="235"/>
      <c r="Y227" s="228" t="str">
        <f t="shared" si="7"/>
        <v>GoldSolar Applied Materials Technology Corp.</v>
      </c>
    </row>
    <row r="228" spans="1:25" s="228" customFormat="1" ht="20.25">
      <c r="A228" s="400" t="s">
        <v>1321</v>
      </c>
      <c r="B228" s="396" t="s">
        <v>2323</v>
      </c>
      <c r="C228" s="397" t="s">
        <v>77</v>
      </c>
      <c r="D228" s="396" t="s">
        <v>77</v>
      </c>
      <c r="E228" s="396" t="s">
        <v>2249</v>
      </c>
      <c r="F228" s="396" t="s">
        <v>1321</v>
      </c>
      <c r="G228" s="396" t="s">
        <v>3125</v>
      </c>
      <c r="H228" s="398" t="s">
        <v>5024</v>
      </c>
      <c r="I228" s="399" t="s">
        <v>3297</v>
      </c>
      <c r="J228" s="399" t="s">
        <v>4284</v>
      </c>
      <c r="K228" s="402"/>
      <c r="L228" s="402"/>
      <c r="M228" s="402" t="s">
        <v>5024</v>
      </c>
      <c r="N228" s="402" t="s">
        <v>5024</v>
      </c>
      <c r="O228" s="402" t="s">
        <v>926</v>
      </c>
      <c r="P228" s="402" t="s">
        <v>5024</v>
      </c>
      <c r="Q228" s="403" t="s">
        <v>5026</v>
      </c>
      <c r="R228" s="233"/>
      <c r="S228" s="234">
        <f>IF(C228="",NA(),MATCH($B228&amp;$C228,'Smelter Reference List'!$J:$J,0))</f>
        <v>190</v>
      </c>
      <c r="T228" s="235"/>
      <c r="U228" s="235">
        <f t="shared" si="6"/>
        <v>0</v>
      </c>
      <c r="V228" s="235"/>
      <c r="W228" s="235"/>
      <c r="Y228" s="228" t="str">
        <f t="shared" si="7"/>
        <v>GoldSumitomo Metal Mining Co., Ltd.</v>
      </c>
    </row>
    <row r="229" spans="1:25" s="228" customFormat="1" ht="20.25">
      <c r="A229" s="400" t="s">
        <v>3366</v>
      </c>
      <c r="B229" s="396" t="s">
        <v>2323</v>
      </c>
      <c r="C229" s="397" t="s">
        <v>4291</v>
      </c>
      <c r="D229" s="396" t="s">
        <v>4291</v>
      </c>
      <c r="E229" s="396" t="s">
        <v>2246</v>
      </c>
      <c r="F229" s="396" t="s">
        <v>3366</v>
      </c>
      <c r="G229" s="396" t="s">
        <v>3125</v>
      </c>
      <c r="H229" s="398" t="s">
        <v>5024</v>
      </c>
      <c r="I229" s="399" t="s">
        <v>3367</v>
      </c>
      <c r="J229" s="399" t="s">
        <v>3164</v>
      </c>
      <c r="K229" s="402"/>
      <c r="L229" s="402"/>
      <c r="M229" s="402" t="s">
        <v>5024</v>
      </c>
      <c r="N229" s="402" t="s">
        <v>5024</v>
      </c>
      <c r="O229" s="402" t="s">
        <v>926</v>
      </c>
      <c r="P229" s="402" t="s">
        <v>5024</v>
      </c>
      <c r="Q229" s="403" t="s">
        <v>5026</v>
      </c>
      <c r="R229" s="233"/>
      <c r="S229" s="234">
        <f>IF(C229="",NA(),MATCH($B229&amp;$C229,'Smelter Reference List'!$J:$J,0))</f>
        <v>191</v>
      </c>
      <c r="T229" s="235"/>
      <c r="U229" s="235">
        <f t="shared" si="6"/>
        <v>0</v>
      </c>
      <c r="V229" s="235"/>
      <c r="W229" s="235"/>
      <c r="Y229" s="228" t="str">
        <f t="shared" si="7"/>
        <v>GoldT.C.A S.p.A</v>
      </c>
    </row>
    <row r="230" spans="1:25" s="228" customFormat="1" ht="20.25">
      <c r="A230" s="400" t="s">
        <v>1322</v>
      </c>
      <c r="B230" s="396" t="s">
        <v>2323</v>
      </c>
      <c r="C230" s="397" t="s">
        <v>2457</v>
      </c>
      <c r="D230" s="396" t="s">
        <v>2457</v>
      </c>
      <c r="E230" s="396" t="s">
        <v>2249</v>
      </c>
      <c r="F230" s="396" t="s">
        <v>1322</v>
      </c>
      <c r="G230" s="396" t="s">
        <v>3125</v>
      </c>
      <c r="H230" s="398" t="s">
        <v>5024</v>
      </c>
      <c r="I230" s="399" t="s">
        <v>3299</v>
      </c>
      <c r="J230" s="399" t="s">
        <v>3300</v>
      </c>
      <c r="K230" s="402"/>
      <c r="L230" s="402"/>
      <c r="M230" s="402" t="s">
        <v>5024</v>
      </c>
      <c r="N230" s="402" t="s">
        <v>5024</v>
      </c>
      <c r="O230" s="402" t="s">
        <v>5025</v>
      </c>
      <c r="P230" s="402" t="s">
        <v>925</v>
      </c>
      <c r="Q230" s="403" t="s">
        <v>5026</v>
      </c>
      <c r="R230" s="233"/>
      <c r="S230" s="234">
        <f>IF(C230="",NA(),MATCH($B230&amp;$C230,'Smelter Reference List'!$J:$J,0))</f>
        <v>200</v>
      </c>
      <c r="T230" s="235"/>
      <c r="U230" s="235">
        <f t="shared" si="6"/>
        <v>0</v>
      </c>
      <c r="V230" s="235"/>
      <c r="W230" s="235"/>
      <c r="Y230" s="228" t="str">
        <f t="shared" si="7"/>
        <v>GoldTanaka Kikinzoku Kogyo K.K.</v>
      </c>
    </row>
    <row r="231" spans="1:25" s="228" customFormat="1" ht="25.5">
      <c r="A231" s="400" t="s">
        <v>1324</v>
      </c>
      <c r="B231" s="396" t="s">
        <v>2323</v>
      </c>
      <c r="C231" s="397" t="s">
        <v>4177</v>
      </c>
      <c r="D231" s="396" t="s">
        <v>4177</v>
      </c>
      <c r="E231" s="396" t="s">
        <v>2181</v>
      </c>
      <c r="F231" s="396" t="s">
        <v>1324</v>
      </c>
      <c r="G231" s="396" t="s">
        <v>3125</v>
      </c>
      <c r="H231" s="398" t="s">
        <v>5024</v>
      </c>
      <c r="I231" s="399" t="s">
        <v>3286</v>
      </c>
      <c r="J231" s="399" t="s">
        <v>3264</v>
      </c>
      <c r="K231" s="402"/>
      <c r="L231" s="402"/>
      <c r="M231" s="402" t="s">
        <v>5024</v>
      </c>
      <c r="N231" s="402" t="s">
        <v>5024</v>
      </c>
      <c r="O231" s="402" t="s">
        <v>5025</v>
      </c>
      <c r="P231" s="402" t="s">
        <v>925</v>
      </c>
      <c r="Q231" s="403" t="s">
        <v>5026</v>
      </c>
      <c r="R231" s="233"/>
      <c r="S231" s="234">
        <f>IF(C231="",NA(),MATCH($B231&amp;$C231,'Smelter Reference List'!$J:$J,0))</f>
        <v>204</v>
      </c>
      <c r="T231" s="235"/>
      <c r="U231" s="235">
        <f t="shared" si="6"/>
        <v>0</v>
      </c>
      <c r="V231" s="235"/>
      <c r="W231" s="235"/>
      <c r="Y231" s="228" t="str">
        <f t="shared" si="7"/>
        <v>GoldThe Refinery of Shandong Gold Mining Co., Ltd.</v>
      </c>
    </row>
    <row r="232" spans="1:25" s="228" customFormat="1" ht="20.25">
      <c r="A232" s="400" t="s">
        <v>1325</v>
      </c>
      <c r="B232" s="396" t="s">
        <v>2323</v>
      </c>
      <c r="C232" s="397" t="s">
        <v>4178</v>
      </c>
      <c r="D232" s="396" t="s">
        <v>4178</v>
      </c>
      <c r="E232" s="396" t="s">
        <v>2249</v>
      </c>
      <c r="F232" s="396" t="s">
        <v>1325</v>
      </c>
      <c r="G232" s="396" t="s">
        <v>3125</v>
      </c>
      <c r="H232" s="398" t="s">
        <v>5024</v>
      </c>
      <c r="I232" s="399" t="s">
        <v>3305</v>
      </c>
      <c r="J232" s="399" t="s">
        <v>3179</v>
      </c>
      <c r="K232" s="402"/>
      <c r="L232" s="402"/>
      <c r="M232" s="402" t="s">
        <v>5024</v>
      </c>
      <c r="N232" s="402" t="s">
        <v>5024</v>
      </c>
      <c r="O232" s="402" t="s">
        <v>5025</v>
      </c>
      <c r="P232" s="402" t="s">
        <v>925</v>
      </c>
      <c r="Q232" s="403" t="s">
        <v>5026</v>
      </c>
      <c r="R232" s="233"/>
      <c r="S232" s="234">
        <f>IF(C232="",NA(),MATCH($B232&amp;$C232,'Smelter Reference List'!$J:$J,0))</f>
        <v>205</v>
      </c>
      <c r="T232" s="235"/>
      <c r="U232" s="235">
        <f t="shared" si="6"/>
        <v>0</v>
      </c>
      <c r="V232" s="235"/>
      <c r="W232" s="235"/>
      <c r="Y232" s="228" t="str">
        <f t="shared" si="7"/>
        <v>GoldTokuriki Honten Co., Ltd.</v>
      </c>
    </row>
    <row r="233" spans="1:25" s="228" customFormat="1" ht="25.5">
      <c r="A233" s="400" t="s">
        <v>1326</v>
      </c>
      <c r="B233" s="396" t="s">
        <v>2323</v>
      </c>
      <c r="C233" s="397" t="s">
        <v>4251</v>
      </c>
      <c r="D233" s="396" t="s">
        <v>4251</v>
      </c>
      <c r="E233" s="396" t="s">
        <v>2181</v>
      </c>
      <c r="F233" s="396" t="s">
        <v>1326</v>
      </c>
      <c r="G233" s="396" t="s">
        <v>3125</v>
      </c>
      <c r="H233" s="398" t="s">
        <v>5024</v>
      </c>
      <c r="I233" s="399" t="s">
        <v>3306</v>
      </c>
      <c r="J233" s="399" t="s">
        <v>3307</v>
      </c>
      <c r="K233" s="402"/>
      <c r="L233" s="402"/>
      <c r="M233" s="402" t="s">
        <v>5030</v>
      </c>
      <c r="N233" s="402" t="s">
        <v>5024</v>
      </c>
      <c r="O233" s="402" t="s">
        <v>926</v>
      </c>
      <c r="P233" s="402" t="s">
        <v>5024</v>
      </c>
      <c r="Q233" s="403" t="s">
        <v>5024</v>
      </c>
      <c r="R233" s="233"/>
      <c r="S233" s="234">
        <f>IF(C233="",NA(),MATCH($B233&amp;$C233,'Smelter Reference List'!$J:$J,0))</f>
        <v>206</v>
      </c>
      <c r="T233" s="235"/>
      <c r="U233" s="235">
        <f t="shared" si="6"/>
        <v>0</v>
      </c>
      <c r="V233" s="235"/>
      <c r="W233" s="235"/>
      <c r="Y233" s="228" t="str">
        <f t="shared" si="7"/>
        <v>GoldTongling Nonferrous Metals Group Co., Ltd.</v>
      </c>
    </row>
    <row r="234" spans="1:25" s="228" customFormat="1" ht="20.25">
      <c r="A234" s="400" t="s">
        <v>1327</v>
      </c>
      <c r="B234" s="396" t="s">
        <v>2323</v>
      </c>
      <c r="C234" s="397" t="s">
        <v>1170</v>
      </c>
      <c r="D234" s="396" t="s">
        <v>1170</v>
      </c>
      <c r="E234" s="396" t="s">
        <v>5017</v>
      </c>
      <c r="F234" s="396" t="s">
        <v>1327</v>
      </c>
      <c r="G234" s="396" t="s">
        <v>3125</v>
      </c>
      <c r="H234" s="398" t="s">
        <v>5024</v>
      </c>
      <c r="I234" s="399" t="s">
        <v>3310</v>
      </c>
      <c r="J234" s="399" t="s">
        <v>3311</v>
      </c>
      <c r="K234" s="402"/>
      <c r="L234" s="402"/>
      <c r="M234" s="402" t="s">
        <v>5024</v>
      </c>
      <c r="N234" s="402" t="s">
        <v>5024</v>
      </c>
      <c r="O234" s="402" t="s">
        <v>5029</v>
      </c>
      <c r="P234" s="402" t="s">
        <v>924</v>
      </c>
      <c r="Q234" s="403" t="s">
        <v>5026</v>
      </c>
      <c r="R234" s="233"/>
      <c r="S234" s="234">
        <f>IF(C234="",NA(),MATCH($B234&amp;$C234,'Smelter Reference List'!$J:$J,0))</f>
        <v>210</v>
      </c>
      <c r="T234" s="235"/>
      <c r="U234" s="235">
        <f t="shared" si="6"/>
        <v>0</v>
      </c>
      <c r="V234" s="235"/>
      <c r="W234" s="235"/>
      <c r="Y234" s="228" t="str">
        <f t="shared" si="7"/>
        <v>GoldTorecom</v>
      </c>
    </row>
    <row r="235" spans="1:25" s="228" customFormat="1" ht="20.25">
      <c r="A235" s="400" t="s">
        <v>1328</v>
      </c>
      <c r="B235" s="396" t="s">
        <v>2323</v>
      </c>
      <c r="C235" s="397" t="s">
        <v>4179</v>
      </c>
      <c r="D235" s="396" t="s">
        <v>4179</v>
      </c>
      <c r="E235" s="396" t="s">
        <v>2170</v>
      </c>
      <c r="F235" s="396" t="s">
        <v>1328</v>
      </c>
      <c r="G235" s="396" t="s">
        <v>3125</v>
      </c>
      <c r="H235" s="398" t="s">
        <v>5024</v>
      </c>
      <c r="I235" s="399" t="s">
        <v>3312</v>
      </c>
      <c r="J235" s="399" t="s">
        <v>3313</v>
      </c>
      <c r="K235" s="402"/>
      <c r="L235" s="402"/>
      <c r="M235" s="402" t="s">
        <v>5024</v>
      </c>
      <c r="N235" s="402" t="s">
        <v>5024</v>
      </c>
      <c r="O235" s="402" t="s">
        <v>926</v>
      </c>
      <c r="P235" s="402" t="s">
        <v>5024</v>
      </c>
      <c r="Q235" s="403" t="s">
        <v>5026</v>
      </c>
      <c r="R235" s="233"/>
      <c r="S235" s="234">
        <f>IF(C235="",NA(),MATCH($B235&amp;$C235,'Smelter Reference List'!$J:$J,0))</f>
        <v>212</v>
      </c>
      <c r="T235" s="235"/>
      <c r="U235" s="235">
        <f t="shared" si="6"/>
        <v>0</v>
      </c>
      <c r="V235" s="235"/>
      <c r="W235" s="235"/>
      <c r="Y235" s="228" t="str">
        <f t="shared" si="7"/>
        <v>GoldUmicore Brasil Ltda.</v>
      </c>
    </row>
    <row r="236" spans="1:25" s="228" customFormat="1" ht="20.25">
      <c r="A236" s="400" t="s">
        <v>208</v>
      </c>
      <c r="B236" s="396" t="s">
        <v>2323</v>
      </c>
      <c r="C236" s="397" t="s">
        <v>207</v>
      </c>
      <c r="D236" s="396" t="s">
        <v>207</v>
      </c>
      <c r="E236" s="396" t="s">
        <v>1743</v>
      </c>
      <c r="F236" s="396" t="s">
        <v>208</v>
      </c>
      <c r="G236" s="396" t="s">
        <v>3125</v>
      </c>
      <c r="H236" s="398" t="s">
        <v>5024</v>
      </c>
      <c r="I236" s="399" t="s">
        <v>3337</v>
      </c>
      <c r="J236" s="399" t="s">
        <v>3338</v>
      </c>
      <c r="K236" s="402"/>
      <c r="L236" s="402"/>
      <c r="M236" s="402" t="s">
        <v>5024</v>
      </c>
      <c r="N236" s="402" t="s">
        <v>5024</v>
      </c>
      <c r="O236" s="402" t="s">
        <v>926</v>
      </c>
      <c r="P236" s="402" t="s">
        <v>5024</v>
      </c>
      <c r="Q236" s="403" t="s">
        <v>5026</v>
      </c>
      <c r="R236" s="233"/>
      <c r="S236" s="234">
        <f>IF(C236="",NA(),MATCH($B236&amp;$C236,'Smelter Reference List'!$J:$J,0))</f>
        <v>213</v>
      </c>
      <c r="T236" s="235"/>
      <c r="U236" s="235">
        <f t="shared" si="6"/>
        <v>0</v>
      </c>
      <c r="V236" s="235"/>
      <c r="W236" s="235"/>
      <c r="Y236" s="228" t="str">
        <f t="shared" si="7"/>
        <v>GoldUmicore Precious Metals Thailand</v>
      </c>
    </row>
    <row r="237" spans="1:25" s="228" customFormat="1" ht="25.5">
      <c r="A237" s="400" t="s">
        <v>1329</v>
      </c>
      <c r="B237" s="396" t="s">
        <v>2323</v>
      </c>
      <c r="C237" s="397" t="s">
        <v>4724</v>
      </c>
      <c r="D237" s="396" t="s">
        <v>4724</v>
      </c>
      <c r="E237" s="396" t="s">
        <v>2158</v>
      </c>
      <c r="F237" s="396" t="s">
        <v>1329</v>
      </c>
      <c r="G237" s="396" t="s">
        <v>3125</v>
      </c>
      <c r="H237" s="398" t="s">
        <v>5024</v>
      </c>
      <c r="I237" s="399" t="s">
        <v>3314</v>
      </c>
      <c r="J237" s="399" t="s">
        <v>3315</v>
      </c>
      <c r="K237" s="402"/>
      <c r="L237" s="402"/>
      <c r="M237" s="402" t="s">
        <v>5024</v>
      </c>
      <c r="N237" s="402" t="s">
        <v>5024</v>
      </c>
      <c r="O237" s="402" t="s">
        <v>926</v>
      </c>
      <c r="P237" s="402" t="s">
        <v>5024</v>
      </c>
      <c r="Q237" s="403" t="s">
        <v>5026</v>
      </c>
      <c r="R237" s="233"/>
      <c r="S237" s="234">
        <f>IF(C237="",NA(),MATCH($B237&amp;$C237,'Smelter Reference List'!$J:$J,0))</f>
        <v>214</v>
      </c>
      <c r="T237" s="235"/>
      <c r="U237" s="235">
        <f t="shared" si="6"/>
        <v>0</v>
      </c>
      <c r="V237" s="235"/>
      <c r="W237" s="235"/>
      <c r="Y237" s="228" t="str">
        <f t="shared" si="7"/>
        <v>GoldUmicore S.A. Business Unit Precious Metals Refining</v>
      </c>
    </row>
    <row r="238" spans="1:25" s="228" customFormat="1" ht="20.25">
      <c r="A238" s="400" t="s">
        <v>1330</v>
      </c>
      <c r="B238" s="396" t="s">
        <v>2323</v>
      </c>
      <c r="C238" s="397" t="s">
        <v>1470</v>
      </c>
      <c r="D238" s="396" t="s">
        <v>1470</v>
      </c>
      <c r="E238" s="396" t="s">
        <v>5016</v>
      </c>
      <c r="F238" s="396" t="s">
        <v>1330</v>
      </c>
      <c r="G238" s="396" t="s">
        <v>3125</v>
      </c>
      <c r="H238" s="398" t="s">
        <v>5024</v>
      </c>
      <c r="I238" s="399" t="s">
        <v>3316</v>
      </c>
      <c r="J238" s="399" t="s">
        <v>3230</v>
      </c>
      <c r="K238" s="402"/>
      <c r="L238" s="402"/>
      <c r="M238" s="402" t="s">
        <v>5024</v>
      </c>
      <c r="N238" s="402" t="s">
        <v>5024</v>
      </c>
      <c r="O238" s="402" t="s">
        <v>5029</v>
      </c>
      <c r="P238" s="402" t="s">
        <v>924</v>
      </c>
      <c r="Q238" s="403" t="s">
        <v>5026</v>
      </c>
      <c r="R238" s="233"/>
      <c r="S238" s="234">
        <f>IF(C238="",NA(),MATCH($B238&amp;$C238,'Smelter Reference List'!$J:$J,0))</f>
        <v>215</v>
      </c>
      <c r="T238" s="235"/>
      <c r="U238" s="235">
        <f t="shared" si="6"/>
        <v>0</v>
      </c>
      <c r="V238" s="235"/>
      <c r="W238" s="235"/>
      <c r="Y238" s="228" t="str">
        <f t="shared" si="7"/>
        <v>GoldUnited Precious Metal Refining, Inc.</v>
      </c>
    </row>
    <row r="239" spans="1:25" s="228" customFormat="1" ht="20.25">
      <c r="A239" s="400" t="s">
        <v>1331</v>
      </c>
      <c r="B239" s="396" t="s">
        <v>2323</v>
      </c>
      <c r="C239" s="397" t="s">
        <v>4728</v>
      </c>
      <c r="D239" s="396" t="s">
        <v>4728</v>
      </c>
      <c r="E239" s="396" t="s">
        <v>2179</v>
      </c>
      <c r="F239" s="396" t="s">
        <v>1331</v>
      </c>
      <c r="G239" s="396" t="s">
        <v>3125</v>
      </c>
      <c r="H239" s="398" t="s">
        <v>5024</v>
      </c>
      <c r="I239" s="399" t="s">
        <v>3317</v>
      </c>
      <c r="J239" s="399" t="s">
        <v>3138</v>
      </c>
      <c r="K239" s="402"/>
      <c r="L239" s="402"/>
      <c r="M239" s="402" t="s">
        <v>5024</v>
      </c>
      <c r="N239" s="402" t="s">
        <v>5024</v>
      </c>
      <c r="O239" s="402" t="s">
        <v>926</v>
      </c>
      <c r="P239" s="402" t="s">
        <v>5024</v>
      </c>
      <c r="Q239" s="403" t="s">
        <v>5026</v>
      </c>
      <c r="R239" s="233"/>
      <c r="S239" s="234">
        <f>IF(C239="",NA(),MATCH($B239&amp;$C239,'Smelter Reference List'!$J:$J,0))</f>
        <v>217</v>
      </c>
      <c r="T239" s="235"/>
      <c r="U239" s="235">
        <f t="shared" si="6"/>
        <v>0</v>
      </c>
      <c r="V239" s="235"/>
      <c r="W239" s="235"/>
      <c r="Y239" s="228" t="str">
        <f t="shared" si="7"/>
        <v>GoldValcambi S.A.</v>
      </c>
    </row>
    <row r="240" spans="1:25" s="228" customFormat="1" ht="25.5">
      <c r="A240" s="400" t="s">
        <v>1332</v>
      </c>
      <c r="B240" s="396" t="s">
        <v>2323</v>
      </c>
      <c r="C240" s="397" t="s">
        <v>2322</v>
      </c>
      <c r="D240" s="396" t="s">
        <v>2322</v>
      </c>
      <c r="E240" s="396" t="s">
        <v>2154</v>
      </c>
      <c r="F240" s="396" t="s">
        <v>1332</v>
      </c>
      <c r="G240" s="396" t="s">
        <v>3125</v>
      </c>
      <c r="H240" s="398" t="s">
        <v>5024</v>
      </c>
      <c r="I240" s="399" t="s">
        <v>3318</v>
      </c>
      <c r="J240" s="399" t="s">
        <v>3319</v>
      </c>
      <c r="K240" s="402"/>
      <c r="L240" s="402"/>
      <c r="M240" s="402" t="s">
        <v>5024</v>
      </c>
      <c r="N240" s="402" t="s">
        <v>5024</v>
      </c>
      <c r="O240" s="402" t="s">
        <v>5025</v>
      </c>
      <c r="P240" s="402" t="s">
        <v>925</v>
      </c>
      <c r="Q240" s="403" t="s">
        <v>5026</v>
      </c>
      <c r="R240" s="233"/>
      <c r="S240" s="234">
        <f>IF(C240="",NA(),MATCH($B240&amp;$C240,'Smelter Reference List'!$J:$J,0))</f>
        <v>218</v>
      </c>
      <c r="T240" s="235"/>
      <c r="U240" s="235">
        <f t="shared" si="6"/>
        <v>0</v>
      </c>
      <c r="V240" s="235"/>
      <c r="W240" s="235"/>
      <c r="Y240" s="228" t="str">
        <f t="shared" si="7"/>
        <v>GoldWestern Australian Mint trading as The Perth Mint</v>
      </c>
    </row>
    <row r="241" spans="1:25" s="228" customFormat="1" ht="20.25">
      <c r="A241" s="400" t="s">
        <v>4274</v>
      </c>
      <c r="B241" s="396" t="s">
        <v>2323</v>
      </c>
      <c r="C241" s="397" t="s">
        <v>4271</v>
      </c>
      <c r="D241" s="396" t="s">
        <v>4271</v>
      </c>
      <c r="E241" s="396" t="s">
        <v>2195</v>
      </c>
      <c r="F241" s="396" t="s">
        <v>4274</v>
      </c>
      <c r="G241" s="396" t="s">
        <v>3125</v>
      </c>
      <c r="H241" s="398" t="s">
        <v>5024</v>
      </c>
      <c r="I241" s="399" t="s">
        <v>3130</v>
      </c>
      <c r="J241" s="399" t="s">
        <v>3131</v>
      </c>
      <c r="K241" s="402"/>
      <c r="L241" s="402"/>
      <c r="M241" s="402" t="s">
        <v>5024</v>
      </c>
      <c r="N241" s="402" t="s">
        <v>5024</v>
      </c>
      <c r="O241" s="402" t="s">
        <v>5029</v>
      </c>
      <c r="P241" s="402" t="s">
        <v>924</v>
      </c>
      <c r="Q241" s="403" t="s">
        <v>5026</v>
      </c>
      <c r="R241" s="233"/>
      <c r="S241" s="234">
        <f>IF(C241="",NA(),MATCH($B241&amp;$C241,'Smelter Reference List'!$J:$J,0))</f>
        <v>219</v>
      </c>
      <c r="T241" s="235"/>
      <c r="U241" s="235">
        <f t="shared" si="6"/>
        <v>0</v>
      </c>
      <c r="V241" s="235"/>
      <c r="W241" s="235"/>
      <c r="Y241" s="228" t="str">
        <f t="shared" si="7"/>
        <v>GoldWIELAND Edelmetalle GmbH</v>
      </c>
    </row>
    <row r="242" spans="1:25" s="228" customFormat="1" ht="20.25">
      <c r="A242" s="400" t="s">
        <v>1333</v>
      </c>
      <c r="B242" s="396" t="s">
        <v>2323</v>
      </c>
      <c r="C242" s="397" t="s">
        <v>4181</v>
      </c>
      <c r="D242" s="396" t="s">
        <v>4181</v>
      </c>
      <c r="E242" s="396" t="s">
        <v>2249</v>
      </c>
      <c r="F242" s="396" t="s">
        <v>1333</v>
      </c>
      <c r="G242" s="396" t="s">
        <v>3125</v>
      </c>
      <c r="H242" s="398" t="s">
        <v>5024</v>
      </c>
      <c r="I242" s="399" t="s">
        <v>3201</v>
      </c>
      <c r="J242" s="399" t="s">
        <v>3202</v>
      </c>
      <c r="K242" s="402"/>
      <c r="L242" s="402"/>
      <c r="M242" s="402" t="s">
        <v>5024</v>
      </c>
      <c r="N242" s="402" t="s">
        <v>5024</v>
      </c>
      <c r="O242" s="402" t="s">
        <v>5025</v>
      </c>
      <c r="P242" s="402" t="s">
        <v>925</v>
      </c>
      <c r="Q242" s="403" t="s">
        <v>5026</v>
      </c>
      <c r="R242" s="233"/>
      <c r="S242" s="234">
        <f>IF(C242="",NA(),MATCH($B242&amp;$C242,'Smelter Reference List'!$J:$J,0))</f>
        <v>222</v>
      </c>
      <c r="T242" s="235"/>
      <c r="U242" s="235">
        <f t="shared" si="6"/>
        <v>0</v>
      </c>
      <c r="V242" s="235"/>
      <c r="W242" s="235"/>
      <c r="Y242" s="228" t="str">
        <f t="shared" si="7"/>
        <v>GoldYamamoto Precious Metal Co., Ltd.</v>
      </c>
    </row>
    <row r="243" spans="1:25" s="228" customFormat="1" ht="20.25">
      <c r="A243" s="400" t="s">
        <v>1334</v>
      </c>
      <c r="B243" s="396" t="s">
        <v>2323</v>
      </c>
      <c r="C243" s="397" t="s">
        <v>4182</v>
      </c>
      <c r="D243" s="396" t="s">
        <v>4182</v>
      </c>
      <c r="E243" s="396" t="s">
        <v>2249</v>
      </c>
      <c r="F243" s="396" t="s">
        <v>1334</v>
      </c>
      <c r="G243" s="396" t="s">
        <v>3125</v>
      </c>
      <c r="H243" s="398" t="s">
        <v>5024</v>
      </c>
      <c r="I243" s="399" t="s">
        <v>3325</v>
      </c>
      <c r="J243" s="399" t="s">
        <v>3300</v>
      </c>
      <c r="K243" s="402"/>
      <c r="L243" s="402"/>
      <c r="M243" s="402" t="s">
        <v>5024</v>
      </c>
      <c r="N243" s="402" t="s">
        <v>5024</v>
      </c>
      <c r="O243" s="402" t="s">
        <v>5029</v>
      </c>
      <c r="P243" s="402" t="s">
        <v>924</v>
      </c>
      <c r="Q243" s="403" t="s">
        <v>5026</v>
      </c>
      <c r="R243" s="233"/>
      <c r="S243" s="234">
        <f>IF(C243="",NA(),MATCH($B243&amp;$C243,'Smelter Reference List'!$J:$J,0))</f>
        <v>225</v>
      </c>
      <c r="T243" s="235"/>
      <c r="U243" s="235">
        <f t="shared" si="6"/>
        <v>0</v>
      </c>
      <c r="V243" s="235"/>
      <c r="W243" s="235"/>
      <c r="Y243" s="228" t="str">
        <f t="shared" si="7"/>
        <v>GoldYokohama Metal Co., Ltd.</v>
      </c>
    </row>
    <row r="244" spans="1:25" s="228" customFormat="1" ht="25.5">
      <c r="A244" s="400" t="s">
        <v>1335</v>
      </c>
      <c r="B244" s="396" t="s">
        <v>2323</v>
      </c>
      <c r="C244" s="397" t="s">
        <v>4148</v>
      </c>
      <c r="D244" s="396" t="s">
        <v>4148</v>
      </c>
      <c r="E244" s="396" t="s">
        <v>2181</v>
      </c>
      <c r="F244" s="396" t="s">
        <v>1335</v>
      </c>
      <c r="G244" s="396" t="s">
        <v>3125</v>
      </c>
      <c r="H244" s="398" t="s">
        <v>5024</v>
      </c>
      <c r="I244" s="399" t="s">
        <v>3160</v>
      </c>
      <c r="J244" s="399" t="s">
        <v>3161</v>
      </c>
      <c r="K244" s="402"/>
      <c r="L244" s="402"/>
      <c r="M244" s="402" t="s">
        <v>5030</v>
      </c>
      <c r="N244" s="402" t="s">
        <v>5024</v>
      </c>
      <c r="O244" s="402" t="s">
        <v>926</v>
      </c>
      <c r="P244" s="402" t="s">
        <v>5024</v>
      </c>
      <c r="Q244" s="403" t="s">
        <v>5024</v>
      </c>
      <c r="R244" s="233"/>
      <c r="S244" s="234">
        <f>IF(C244="",NA(),MATCH($B244&amp;$C244,'Smelter Reference List'!$J:$J,0))</f>
        <v>226</v>
      </c>
      <c r="T244" s="235"/>
      <c r="U244" s="235">
        <f t="shared" si="6"/>
        <v>0</v>
      </c>
      <c r="V244" s="235"/>
      <c r="W244" s="235"/>
      <c r="Y244" s="228" t="str">
        <f t="shared" si="7"/>
        <v>GoldYunnan Copper Industry Co., Ltd.</v>
      </c>
    </row>
    <row r="245" spans="1:25" s="228" customFormat="1" ht="25.5">
      <c r="A245" s="400" t="s">
        <v>1336</v>
      </c>
      <c r="B245" s="396" t="s">
        <v>2323</v>
      </c>
      <c r="C245" s="397" t="s">
        <v>2575</v>
      </c>
      <c r="D245" s="396" t="s">
        <v>2575</v>
      </c>
      <c r="E245" s="396" t="s">
        <v>2181</v>
      </c>
      <c r="F245" s="396" t="s">
        <v>1336</v>
      </c>
      <c r="G245" s="396" t="s">
        <v>3125</v>
      </c>
      <c r="H245" s="398" t="s">
        <v>5024</v>
      </c>
      <c r="I245" s="399" t="s">
        <v>3326</v>
      </c>
      <c r="J245" s="399" t="s">
        <v>3224</v>
      </c>
      <c r="K245" s="402"/>
      <c r="L245" s="402"/>
      <c r="M245" s="402" t="s">
        <v>5024</v>
      </c>
      <c r="N245" s="402" t="s">
        <v>5024</v>
      </c>
      <c r="O245" s="402" t="s">
        <v>5025</v>
      </c>
      <c r="P245" s="402" t="s">
        <v>925</v>
      </c>
      <c r="Q245" s="403" t="s">
        <v>5026</v>
      </c>
      <c r="R245" s="233"/>
      <c r="S245" s="234">
        <f>IF(C245="",NA(),MATCH($B245&amp;$C245,'Smelter Reference List'!$J:$J,0))</f>
        <v>234</v>
      </c>
      <c r="T245" s="235"/>
      <c r="U245" s="235">
        <f t="shared" si="6"/>
        <v>0</v>
      </c>
      <c r="V245" s="235"/>
      <c r="W245" s="235"/>
      <c r="Y245" s="228" t="str">
        <f t="shared" si="7"/>
        <v>GoldZhongyuan Gold Smelter of Zhongjin Gold Corporation</v>
      </c>
    </row>
    <row r="246" spans="1:25" s="228" customFormat="1" ht="20.25">
      <c r="A246" s="400" t="s">
        <v>1337</v>
      </c>
      <c r="B246" s="396" t="s">
        <v>2323</v>
      </c>
      <c r="C246" s="397" t="s">
        <v>4290</v>
      </c>
      <c r="D246" s="396" t="s">
        <v>4290</v>
      </c>
      <c r="E246" s="396" t="s">
        <v>2181</v>
      </c>
      <c r="F246" s="396" t="s">
        <v>1337</v>
      </c>
      <c r="G246" s="396" t="s">
        <v>3125</v>
      </c>
      <c r="H246" s="398" t="s">
        <v>5024</v>
      </c>
      <c r="I246" s="399" t="s">
        <v>3331</v>
      </c>
      <c r="J246" s="399" t="s">
        <v>3332</v>
      </c>
      <c r="K246" s="402"/>
      <c r="L246" s="402"/>
      <c r="M246" s="402" t="s">
        <v>5024</v>
      </c>
      <c r="N246" s="402" t="s">
        <v>5024</v>
      </c>
      <c r="O246" s="402" t="s">
        <v>926</v>
      </c>
      <c r="P246" s="402" t="s">
        <v>5024</v>
      </c>
      <c r="Q246" s="403" t="s">
        <v>5026</v>
      </c>
      <c r="R246" s="233"/>
      <c r="S246" s="234">
        <f>IF(C246="",NA(),MATCH($B246&amp;$C246,'Smelter Reference List'!$J:$J,0))</f>
        <v>236</v>
      </c>
      <c r="T246" s="235"/>
      <c r="U246" s="235">
        <f t="shared" si="6"/>
        <v>0</v>
      </c>
      <c r="V246" s="235"/>
      <c r="W246" s="235"/>
      <c r="Y246" s="228" t="str">
        <f t="shared" si="7"/>
        <v>GoldZijin Mining Group Co., Ltd. Gold Refinery</v>
      </c>
    </row>
    <row r="247" spans="1:25" s="228" customFormat="1" ht="25.5">
      <c r="A247" s="400" t="s">
        <v>4275</v>
      </c>
      <c r="B247" s="396" t="s">
        <v>2323</v>
      </c>
      <c r="C247" s="397" t="s">
        <v>4272</v>
      </c>
      <c r="D247" s="396" t="s">
        <v>4272</v>
      </c>
      <c r="E247" s="396" t="s">
        <v>2155</v>
      </c>
      <c r="F247" s="396" t="s">
        <v>4275</v>
      </c>
      <c r="G247" s="396" t="s">
        <v>3125</v>
      </c>
      <c r="H247" s="398" t="s">
        <v>5024</v>
      </c>
      <c r="I247" s="399" t="s">
        <v>4276</v>
      </c>
      <c r="J247" s="399" t="s">
        <v>4276</v>
      </c>
      <c r="K247" s="402"/>
      <c r="L247" s="402"/>
      <c r="M247" s="402" t="s">
        <v>5024</v>
      </c>
      <c r="N247" s="402" t="s">
        <v>5024</v>
      </c>
      <c r="O247" s="402" t="s">
        <v>926</v>
      </c>
      <c r="P247" s="402" t="s">
        <v>5024</v>
      </c>
      <c r="Q247" s="403" t="s">
        <v>5026</v>
      </c>
      <c r="R247" s="233"/>
      <c r="S247" s="234">
        <f>IF(C247="",NA(),MATCH($B247&amp;$C247,'Smelter Reference List'!$J:$J,0))</f>
        <v>139</v>
      </c>
      <c r="T247" s="235"/>
      <c r="U247" s="235">
        <f t="shared" si="6"/>
        <v>0</v>
      </c>
      <c r="V247" s="235"/>
      <c r="W247" s="235"/>
      <c r="Y247" s="228" t="str">
        <f t="shared" si="7"/>
        <v>GoldÖgussa Österreichische Gold- und Silber-Scheideanstalt GmbH</v>
      </c>
    </row>
    <row r="248" spans="1:25" s="228" customFormat="1" ht="20.25">
      <c r="A248" s="400" t="s">
        <v>1408</v>
      </c>
      <c r="B248" s="396" t="s">
        <v>2326</v>
      </c>
      <c r="C248" s="397" t="s">
        <v>3552</v>
      </c>
      <c r="D248" s="396" t="s">
        <v>3552</v>
      </c>
      <c r="E248" s="396" t="s">
        <v>2249</v>
      </c>
      <c r="F248" s="396" t="s">
        <v>1408</v>
      </c>
      <c r="G248" s="396" t="s">
        <v>3125</v>
      </c>
      <c r="H248" s="398" t="s">
        <v>5024</v>
      </c>
      <c r="I248" s="399" t="s">
        <v>4135</v>
      </c>
      <c r="J248" s="399" t="s">
        <v>4136</v>
      </c>
      <c r="K248" s="402"/>
      <c r="L248" s="402"/>
      <c r="M248" s="402" t="s">
        <v>5024</v>
      </c>
      <c r="N248" s="402" t="s">
        <v>5024</v>
      </c>
      <c r="O248" s="402" t="s">
        <v>5027</v>
      </c>
      <c r="P248" s="402" t="s">
        <v>925</v>
      </c>
      <c r="Q248" s="403" t="s">
        <v>5026</v>
      </c>
      <c r="R248" s="233"/>
      <c r="S248" s="234">
        <f>IF(C248="",NA(),MATCH($B248&amp;$C248,'Smelter Reference List'!$J:$J,0))</f>
        <v>469</v>
      </c>
      <c r="T248" s="235"/>
      <c r="U248" s="235">
        <f t="shared" si="6"/>
        <v>0</v>
      </c>
      <c r="V248" s="235"/>
      <c r="W248" s="235"/>
      <c r="Y248" s="228" t="str">
        <f t="shared" si="7"/>
        <v>TungstenA.L.M.T. TUNGSTEN Corp.</v>
      </c>
    </row>
    <row r="249" spans="1:25" s="228" customFormat="1" ht="25.5">
      <c r="A249" s="400" t="s">
        <v>2718</v>
      </c>
      <c r="B249" s="396" t="s">
        <v>2326</v>
      </c>
      <c r="C249" s="397" t="s">
        <v>2717</v>
      </c>
      <c r="D249" s="396" t="s">
        <v>2717</v>
      </c>
      <c r="E249" s="396" t="s">
        <v>2181</v>
      </c>
      <c r="F249" s="396" t="s">
        <v>2718</v>
      </c>
      <c r="G249" s="396" t="s">
        <v>3125</v>
      </c>
      <c r="H249" s="398" t="s">
        <v>5024</v>
      </c>
      <c r="I249" s="399" t="s">
        <v>3475</v>
      </c>
      <c r="J249" s="399" t="s">
        <v>3186</v>
      </c>
      <c r="K249" s="402"/>
      <c r="L249" s="402"/>
      <c r="M249" s="402" t="s">
        <v>5024</v>
      </c>
      <c r="N249" s="402" t="s">
        <v>5024</v>
      </c>
      <c r="O249" s="402" t="s">
        <v>5025</v>
      </c>
      <c r="P249" s="402" t="s">
        <v>925</v>
      </c>
      <c r="Q249" s="403" t="s">
        <v>5026</v>
      </c>
      <c r="R249" s="233"/>
      <c r="S249" s="234">
        <f>IF(C249="",NA(),MATCH($B249&amp;$C249,'Smelter Reference List'!$J:$J,0))</f>
        <v>478</v>
      </c>
      <c r="T249" s="235"/>
      <c r="U249" s="235">
        <f t="shared" si="6"/>
        <v>0</v>
      </c>
      <c r="V249" s="235"/>
      <c r="W249" s="235"/>
      <c r="Y249" s="228" t="str">
        <f t="shared" si="7"/>
        <v>TungstenChenzhou Diamond Tungsten Products Co., Ltd.</v>
      </c>
    </row>
    <row r="250" spans="1:25" s="228" customFormat="1" ht="20.25">
      <c r="A250" s="400" t="s">
        <v>1411</v>
      </c>
      <c r="B250" s="396" t="s">
        <v>2326</v>
      </c>
      <c r="C250" s="397" t="s">
        <v>2659</v>
      </c>
      <c r="D250" s="396" t="s">
        <v>2659</v>
      </c>
      <c r="E250" s="396" t="s">
        <v>2181</v>
      </c>
      <c r="F250" s="396" t="s">
        <v>1411</v>
      </c>
      <c r="G250" s="396" t="s">
        <v>3125</v>
      </c>
      <c r="H250" s="398" t="s">
        <v>5024</v>
      </c>
      <c r="I250" s="399" t="s">
        <v>3471</v>
      </c>
      <c r="J250" s="399" t="s">
        <v>3204</v>
      </c>
      <c r="K250" s="402"/>
      <c r="L250" s="402"/>
      <c r="M250" s="402" t="s">
        <v>5024</v>
      </c>
      <c r="N250" s="402" t="s">
        <v>5024</v>
      </c>
      <c r="O250" s="402" t="s">
        <v>5025</v>
      </c>
      <c r="P250" s="402" t="s">
        <v>925</v>
      </c>
      <c r="Q250" s="403" t="s">
        <v>5026</v>
      </c>
      <c r="R250" s="233"/>
      <c r="S250" s="234">
        <f>IF(C250="",NA(),MATCH($B250&amp;$C250,'Smelter Reference List'!$J:$J,0))</f>
        <v>480</v>
      </c>
      <c r="T250" s="235"/>
      <c r="U250" s="235">
        <f t="shared" si="6"/>
        <v>0</v>
      </c>
      <c r="V250" s="235"/>
      <c r="W250" s="235"/>
      <c r="Y250" s="228" t="str">
        <f t="shared" si="7"/>
        <v>TungstenChongyi Zhangyuan Tungsten Co., Ltd.</v>
      </c>
    </row>
    <row r="251" spans="1:25" s="228" customFormat="1" ht="20.25">
      <c r="A251" s="400" t="s">
        <v>1413</v>
      </c>
      <c r="B251" s="396" t="s">
        <v>2326</v>
      </c>
      <c r="C251" s="397" t="s">
        <v>1464</v>
      </c>
      <c r="D251" s="396" t="s">
        <v>1464</v>
      </c>
      <c r="E251" s="396" t="s">
        <v>2181</v>
      </c>
      <c r="F251" s="396" t="s">
        <v>1413</v>
      </c>
      <c r="G251" s="396" t="s">
        <v>3125</v>
      </c>
      <c r="H251" s="398" t="s">
        <v>5024</v>
      </c>
      <c r="I251" s="399" t="s">
        <v>3559</v>
      </c>
      <c r="J251" s="399" t="s">
        <v>3332</v>
      </c>
      <c r="K251" s="402"/>
      <c r="L251" s="402"/>
      <c r="M251" s="402" t="s">
        <v>5024</v>
      </c>
      <c r="N251" s="402" t="s">
        <v>5024</v>
      </c>
      <c r="O251" s="402" t="s">
        <v>5025</v>
      </c>
      <c r="P251" s="402" t="s">
        <v>925</v>
      </c>
      <c r="Q251" s="403" t="s">
        <v>5026</v>
      </c>
      <c r="R251" s="233"/>
      <c r="S251" s="234">
        <f>IF(C251="",NA(),MATCH($B251&amp;$C251,'Smelter Reference List'!$J:$J,0))</f>
        <v>483</v>
      </c>
      <c r="T251" s="235"/>
      <c r="U251" s="235">
        <f t="shared" si="6"/>
        <v>0</v>
      </c>
      <c r="V251" s="235"/>
      <c r="W251" s="235"/>
      <c r="Y251" s="228" t="str">
        <f t="shared" si="7"/>
        <v>TungstenFujian Jinxin Tungsten Co., Ltd.</v>
      </c>
    </row>
    <row r="252" spans="1:25" s="228" customFormat="1" ht="20.25">
      <c r="A252" s="400" t="s">
        <v>1419</v>
      </c>
      <c r="B252" s="396" t="s">
        <v>2326</v>
      </c>
      <c r="C252" s="397" t="s">
        <v>211</v>
      </c>
      <c r="D252" s="396" t="s">
        <v>211</v>
      </c>
      <c r="E252" s="396" t="s">
        <v>2181</v>
      </c>
      <c r="F252" s="396" t="s">
        <v>1419</v>
      </c>
      <c r="G252" s="396" t="s">
        <v>3125</v>
      </c>
      <c r="H252" s="398" t="s">
        <v>5024</v>
      </c>
      <c r="I252" s="399" t="s">
        <v>3471</v>
      </c>
      <c r="J252" s="399" t="s">
        <v>3204</v>
      </c>
      <c r="K252" s="402"/>
      <c r="L252" s="402"/>
      <c r="M252" s="402" t="s">
        <v>5024</v>
      </c>
      <c r="N252" s="402" t="s">
        <v>5024</v>
      </c>
      <c r="O252" s="402" t="s">
        <v>5025</v>
      </c>
      <c r="P252" s="402" t="s">
        <v>925</v>
      </c>
      <c r="Q252" s="403" t="s">
        <v>5026</v>
      </c>
      <c r="R252" s="233"/>
      <c r="S252" s="234">
        <f>IF(C252="",NA(),MATCH($B252&amp;$C252,'Smelter Reference List'!$J:$J,0))</f>
        <v>485</v>
      </c>
      <c r="T252" s="235"/>
      <c r="U252" s="235">
        <f t="shared" si="6"/>
        <v>0</v>
      </c>
      <c r="V252" s="235"/>
      <c r="W252" s="235"/>
      <c r="Y252" s="228" t="str">
        <f t="shared" si="7"/>
        <v>TungstenGanzhou Huaxing Tungsten Products Co., Ltd.</v>
      </c>
    </row>
    <row r="253" spans="1:25" s="228" customFormat="1" ht="20.25">
      <c r="A253" s="400" t="s">
        <v>722</v>
      </c>
      <c r="B253" s="396" t="s">
        <v>2326</v>
      </c>
      <c r="C253" s="397" t="s">
        <v>721</v>
      </c>
      <c r="D253" s="396" t="s">
        <v>721</v>
      </c>
      <c r="E253" s="396" t="s">
        <v>2181</v>
      </c>
      <c r="F253" s="396" t="s">
        <v>722</v>
      </c>
      <c r="G253" s="396" t="s">
        <v>3125</v>
      </c>
      <c r="H253" s="398" t="s">
        <v>5024</v>
      </c>
      <c r="I253" s="399" t="s">
        <v>3471</v>
      </c>
      <c r="J253" s="399" t="s">
        <v>3204</v>
      </c>
      <c r="K253" s="402"/>
      <c r="L253" s="402"/>
      <c r="M253" s="402" t="s">
        <v>5024</v>
      </c>
      <c r="N253" s="402" t="s">
        <v>5024</v>
      </c>
      <c r="O253" s="402" t="s">
        <v>5025</v>
      </c>
      <c r="P253" s="402" t="s">
        <v>925</v>
      </c>
      <c r="Q253" s="403" t="s">
        <v>5026</v>
      </c>
      <c r="R253" s="233"/>
      <c r="S253" s="234">
        <f>IF(C253="",NA(),MATCH($B253&amp;$C253,'Smelter Reference List'!$J:$J,0))</f>
        <v>488</v>
      </c>
      <c r="T253" s="235"/>
      <c r="U253" s="235">
        <f t="shared" si="6"/>
        <v>0</v>
      </c>
      <c r="V253" s="235"/>
      <c r="W253" s="235"/>
      <c r="Y253" s="228" t="str">
        <f t="shared" si="7"/>
        <v>TungstenGanzhou Seadragon W &amp; Mo Co., Ltd.</v>
      </c>
    </row>
    <row r="254" spans="1:25" s="228" customFormat="1" ht="20.25">
      <c r="A254" s="400" t="s">
        <v>2724</v>
      </c>
      <c r="B254" s="396" t="s">
        <v>2326</v>
      </c>
      <c r="C254" s="397" t="s">
        <v>2723</v>
      </c>
      <c r="D254" s="396" t="s">
        <v>2723</v>
      </c>
      <c r="E254" s="396" t="s">
        <v>2181</v>
      </c>
      <c r="F254" s="396" t="s">
        <v>2724</v>
      </c>
      <c r="G254" s="396" t="s">
        <v>3125</v>
      </c>
      <c r="H254" s="398" t="s">
        <v>5024</v>
      </c>
      <c r="I254" s="399" t="s">
        <v>3471</v>
      </c>
      <c r="J254" s="399" t="s">
        <v>3204</v>
      </c>
      <c r="K254" s="402"/>
      <c r="L254" s="402"/>
      <c r="M254" s="402" t="s">
        <v>5024</v>
      </c>
      <c r="N254" s="402" t="s">
        <v>5024</v>
      </c>
      <c r="O254" s="402" t="s">
        <v>5025</v>
      </c>
      <c r="P254" s="402" t="s">
        <v>925</v>
      </c>
      <c r="Q254" s="403" t="s">
        <v>5024</v>
      </c>
      <c r="R254" s="233"/>
      <c r="S254" s="234">
        <f>IF(C254="",NA(),MATCH($B254&amp;$C254,'Smelter Reference List'!$J:$J,0))</f>
        <v>489</v>
      </c>
      <c r="T254" s="235"/>
      <c r="U254" s="235">
        <f t="shared" si="6"/>
        <v>0</v>
      </c>
      <c r="V254" s="235"/>
      <c r="W254" s="235"/>
      <c r="Y254" s="228" t="str">
        <f t="shared" si="7"/>
        <v>TungstenGanzhou Yatai Tungsten Co., Ltd.</v>
      </c>
    </row>
    <row r="255" spans="1:25" s="228" customFormat="1" ht="20.25">
      <c r="A255" s="400" t="s">
        <v>1414</v>
      </c>
      <c r="B255" s="396" t="s">
        <v>2326</v>
      </c>
      <c r="C255" s="397" t="s">
        <v>1</v>
      </c>
      <c r="D255" s="396" t="s">
        <v>1</v>
      </c>
      <c r="E255" s="396" t="s">
        <v>5016</v>
      </c>
      <c r="F255" s="396" t="s">
        <v>1414</v>
      </c>
      <c r="G255" s="396" t="s">
        <v>3125</v>
      </c>
      <c r="H255" s="398" t="s">
        <v>5024</v>
      </c>
      <c r="I255" s="399" t="s">
        <v>3560</v>
      </c>
      <c r="J255" s="399" t="s">
        <v>3401</v>
      </c>
      <c r="K255" s="402"/>
      <c r="L255" s="402"/>
      <c r="M255" s="402" t="s">
        <v>5024</v>
      </c>
      <c r="N255" s="402" t="s">
        <v>5024</v>
      </c>
      <c r="O255" s="402" t="s">
        <v>5025</v>
      </c>
      <c r="P255" s="402" t="s">
        <v>925</v>
      </c>
      <c r="Q255" s="403" t="s">
        <v>5026</v>
      </c>
      <c r="R255" s="233"/>
      <c r="S255" s="234">
        <f>IF(C255="",NA(),MATCH($B255&amp;$C255,'Smelter Reference List'!$J:$J,0))</f>
        <v>490</v>
      </c>
      <c r="T255" s="235"/>
      <c r="U255" s="235">
        <f t="shared" si="6"/>
        <v>0</v>
      </c>
      <c r="V255" s="235"/>
      <c r="W255" s="235"/>
      <c r="Y255" s="228" t="str">
        <f t="shared" si="7"/>
        <v>TungstenGlobal Tungsten &amp; Powders Corp.</v>
      </c>
    </row>
    <row r="256" spans="1:25" s="228" customFormat="1" ht="20.25">
      <c r="A256" s="400" t="s">
        <v>1410</v>
      </c>
      <c r="B256" s="396" t="s">
        <v>2326</v>
      </c>
      <c r="C256" s="397" t="s">
        <v>2660</v>
      </c>
      <c r="D256" s="396" t="s">
        <v>2660</v>
      </c>
      <c r="E256" s="396" t="s">
        <v>2181</v>
      </c>
      <c r="F256" s="396" t="s">
        <v>1410</v>
      </c>
      <c r="G256" s="396" t="s">
        <v>3125</v>
      </c>
      <c r="H256" s="398" t="s">
        <v>5024</v>
      </c>
      <c r="I256" s="399" t="s">
        <v>3557</v>
      </c>
      <c r="J256" s="399" t="s">
        <v>3335</v>
      </c>
      <c r="K256" s="402"/>
      <c r="L256" s="402"/>
      <c r="M256" s="402" t="s">
        <v>5024</v>
      </c>
      <c r="N256" s="402" t="s">
        <v>5024</v>
      </c>
      <c r="O256" s="402" t="s">
        <v>5025</v>
      </c>
      <c r="P256" s="402" t="s">
        <v>925</v>
      </c>
      <c r="Q256" s="403" t="s">
        <v>5026</v>
      </c>
      <c r="R256" s="233"/>
      <c r="S256" s="234">
        <f>IF(C256="",NA(),MATCH($B256&amp;$C256,'Smelter Reference List'!$J:$J,0))</f>
        <v>492</v>
      </c>
      <c r="T256" s="235"/>
      <c r="U256" s="235">
        <f t="shared" si="6"/>
        <v>0</v>
      </c>
      <c r="V256" s="235"/>
      <c r="W256" s="235"/>
      <c r="Y256" s="228" t="str">
        <f t="shared" si="7"/>
        <v>TungstenGuangdong Xianglu Tungsten Co., Ltd.</v>
      </c>
    </row>
    <row r="257" spans="1:25" s="228" customFormat="1" ht="20.25">
      <c r="A257" s="400" t="s">
        <v>2761</v>
      </c>
      <c r="B257" s="396" t="s">
        <v>2326</v>
      </c>
      <c r="C257" s="397" t="s">
        <v>2749</v>
      </c>
      <c r="D257" s="396" t="s">
        <v>2749</v>
      </c>
      <c r="E257" s="396" t="s">
        <v>2195</v>
      </c>
      <c r="F257" s="396" t="s">
        <v>2761</v>
      </c>
      <c r="G257" s="396" t="s">
        <v>3125</v>
      </c>
      <c r="H257" s="398" t="s">
        <v>5024</v>
      </c>
      <c r="I257" s="399" t="s">
        <v>3420</v>
      </c>
      <c r="J257" s="399" t="s">
        <v>3131</v>
      </c>
      <c r="K257" s="402"/>
      <c r="L257" s="402"/>
      <c r="M257" s="402" t="s">
        <v>5024</v>
      </c>
      <c r="N257" s="402" t="s">
        <v>5024</v>
      </c>
      <c r="O257" s="402" t="s">
        <v>5025</v>
      </c>
      <c r="P257" s="402" t="s">
        <v>925</v>
      </c>
      <c r="Q257" s="403" t="s">
        <v>5026</v>
      </c>
      <c r="R257" s="233"/>
      <c r="S257" s="234">
        <f>IF(C257="",NA(),MATCH($B257&amp;$C257,'Smelter Reference List'!$J:$J,0))</f>
        <v>494</v>
      </c>
      <c r="T257" s="235"/>
      <c r="U257" s="235">
        <f t="shared" si="6"/>
        <v>0</v>
      </c>
      <c r="V257" s="235"/>
      <c r="W257" s="235"/>
      <c r="Y257" s="228" t="str">
        <f t="shared" si="7"/>
        <v>TungstenH.C. Starck Smelting GmbH &amp; Co.KG</v>
      </c>
    </row>
    <row r="258" spans="1:25" s="228" customFormat="1" ht="20.25">
      <c r="A258" s="400" t="s">
        <v>2760</v>
      </c>
      <c r="B258" s="396" t="s">
        <v>2326</v>
      </c>
      <c r="C258" s="397" t="s">
        <v>2759</v>
      </c>
      <c r="D258" s="396" t="s">
        <v>2759</v>
      </c>
      <c r="E258" s="396" t="s">
        <v>2195</v>
      </c>
      <c r="F258" s="396" t="s">
        <v>2760</v>
      </c>
      <c r="G258" s="396" t="s">
        <v>3125</v>
      </c>
      <c r="H258" s="398" t="s">
        <v>5024</v>
      </c>
      <c r="I258" s="399" t="s">
        <v>3418</v>
      </c>
      <c r="J258" s="399" t="s">
        <v>3419</v>
      </c>
      <c r="K258" s="402"/>
      <c r="L258" s="402"/>
      <c r="M258" s="402" t="s">
        <v>5024</v>
      </c>
      <c r="N258" s="402" t="s">
        <v>5024</v>
      </c>
      <c r="O258" s="402" t="s">
        <v>5025</v>
      </c>
      <c r="P258" s="402" t="s">
        <v>925</v>
      </c>
      <c r="Q258" s="403" t="s">
        <v>5026</v>
      </c>
      <c r="R258" s="233"/>
      <c r="S258" s="234">
        <f>IF(C258="",NA(),MATCH($B258&amp;$C258,'Smelter Reference List'!$J:$J,0))</f>
        <v>493</v>
      </c>
      <c r="T258" s="235"/>
      <c r="U258" s="235">
        <f t="shared" si="6"/>
        <v>0</v>
      </c>
      <c r="V258" s="235"/>
      <c r="W258" s="235"/>
      <c r="Y258" s="228" t="str">
        <f t="shared" si="7"/>
        <v>TungstenH.C. Starck GmbH</v>
      </c>
    </row>
    <row r="259" spans="1:25" s="228" customFormat="1" ht="20.25">
      <c r="A259" s="400" t="s">
        <v>1415</v>
      </c>
      <c r="B259" s="396" t="s">
        <v>2326</v>
      </c>
      <c r="C259" s="397" t="s">
        <v>4286</v>
      </c>
      <c r="D259" s="396" t="s">
        <v>4286</v>
      </c>
      <c r="E259" s="396" t="s">
        <v>2181</v>
      </c>
      <c r="F259" s="396" t="s">
        <v>1415</v>
      </c>
      <c r="G259" s="396" t="s">
        <v>3125</v>
      </c>
      <c r="H259" s="398" t="s">
        <v>5024</v>
      </c>
      <c r="I259" s="399" t="s">
        <v>4137</v>
      </c>
      <c r="J259" s="399" t="s">
        <v>3186</v>
      </c>
      <c r="K259" s="402"/>
      <c r="L259" s="402"/>
      <c r="M259" s="402" t="s">
        <v>5024</v>
      </c>
      <c r="N259" s="402" t="s">
        <v>5024</v>
      </c>
      <c r="O259" s="402" t="s">
        <v>5025</v>
      </c>
      <c r="P259" s="402" t="s">
        <v>925</v>
      </c>
      <c r="Q259" s="403" t="s">
        <v>5026</v>
      </c>
      <c r="R259" s="233"/>
      <c r="S259" s="234">
        <f>IF(C259="",NA(),MATCH($B259&amp;$C259,'Smelter Reference List'!$J:$J,0))</f>
        <v>496</v>
      </c>
      <c r="T259" s="235"/>
      <c r="U259" s="235">
        <f t="shared" si="6"/>
        <v>0</v>
      </c>
      <c r="V259" s="235"/>
      <c r="W259" s="235"/>
      <c r="Y259" s="228" t="str">
        <f t="shared" si="7"/>
        <v>TungstenHunan Chenzhou Mining Co., Ltd.</v>
      </c>
    </row>
    <row r="260" spans="1:25" s="228" customFormat="1" ht="20.25">
      <c r="A260" s="400" t="s">
        <v>1416</v>
      </c>
      <c r="B260" s="396" t="s">
        <v>2326</v>
      </c>
      <c r="C260" s="397" t="s">
        <v>2661</v>
      </c>
      <c r="D260" s="396" t="s">
        <v>2661</v>
      </c>
      <c r="E260" s="396" t="s">
        <v>2181</v>
      </c>
      <c r="F260" s="396" t="s">
        <v>1416</v>
      </c>
      <c r="G260" s="396" t="s">
        <v>3125</v>
      </c>
      <c r="H260" s="398" t="s">
        <v>5024</v>
      </c>
      <c r="I260" s="399" t="s">
        <v>3407</v>
      </c>
      <c r="J260" s="399" t="s">
        <v>3186</v>
      </c>
      <c r="K260" s="402"/>
      <c r="L260" s="402"/>
      <c r="M260" s="402" t="s">
        <v>5024</v>
      </c>
      <c r="N260" s="402" t="s">
        <v>5024</v>
      </c>
      <c r="O260" s="402" t="s">
        <v>5025</v>
      </c>
      <c r="P260" s="402" t="s">
        <v>925</v>
      </c>
      <c r="Q260" s="403" t="s">
        <v>5026</v>
      </c>
      <c r="R260" s="233"/>
      <c r="S260" s="234">
        <f>IF(C260="",NA(),MATCH($B260&amp;$C260,'Smelter Reference List'!$J:$J,0))</f>
        <v>500</v>
      </c>
      <c r="T260" s="235"/>
      <c r="U260" s="235">
        <f t="shared" si="6"/>
        <v>0</v>
      </c>
      <c r="V260" s="235"/>
      <c r="W260" s="235"/>
      <c r="Y260" s="228" t="str">
        <f t="shared" si="7"/>
        <v>TungstenHunan Chunchang Nonferrous Metals Co., Ltd.</v>
      </c>
    </row>
    <row r="261" spans="1:25" s="228" customFormat="1" ht="25.5">
      <c r="A261" s="400" t="s">
        <v>3597</v>
      </c>
      <c r="B261" s="396" t="s">
        <v>2326</v>
      </c>
      <c r="C261" s="397" t="s">
        <v>3596</v>
      </c>
      <c r="D261" s="396" t="s">
        <v>3596</v>
      </c>
      <c r="E261" s="396" t="s">
        <v>1717</v>
      </c>
      <c r="F261" s="396" t="s">
        <v>3597</v>
      </c>
      <c r="G261" s="396" t="s">
        <v>3125</v>
      </c>
      <c r="H261" s="398" t="s">
        <v>5024</v>
      </c>
      <c r="I261" s="399" t="s">
        <v>3598</v>
      </c>
      <c r="J261" s="399" t="s">
        <v>3599</v>
      </c>
      <c r="K261" s="402"/>
      <c r="L261" s="402"/>
      <c r="M261" s="402" t="s">
        <v>5024</v>
      </c>
      <c r="N261" s="402" t="s">
        <v>5024</v>
      </c>
      <c r="O261" s="402" t="s">
        <v>5025</v>
      </c>
      <c r="P261" s="402" t="s">
        <v>925</v>
      </c>
      <c r="Q261" s="403" t="s">
        <v>5026</v>
      </c>
      <c r="R261" s="233"/>
      <c r="S261" s="234">
        <f>IF(C261="",NA(),MATCH($B261&amp;$C261,'Smelter Reference List'!$J:$J,0))</f>
        <v>501</v>
      </c>
      <c r="T261" s="235"/>
      <c r="U261" s="235">
        <f t="shared" si="6"/>
        <v>0</v>
      </c>
      <c r="V261" s="235"/>
      <c r="W261" s="235"/>
      <c r="Y261" s="228" t="str">
        <f t="shared" si="7"/>
        <v>TungstenHydrometallurg, JSC</v>
      </c>
    </row>
    <row r="262" spans="1:25" s="228" customFormat="1" ht="20.25">
      <c r="A262" s="400" t="s">
        <v>1417</v>
      </c>
      <c r="B262" s="396" t="s">
        <v>2326</v>
      </c>
      <c r="C262" s="397" t="s">
        <v>2662</v>
      </c>
      <c r="D262" s="396" t="s">
        <v>2662</v>
      </c>
      <c r="E262" s="396" t="s">
        <v>2249</v>
      </c>
      <c r="F262" s="396" t="s">
        <v>1417</v>
      </c>
      <c r="G262" s="396" t="s">
        <v>3125</v>
      </c>
      <c r="H262" s="398" t="s">
        <v>5024</v>
      </c>
      <c r="I262" s="399" t="s">
        <v>4138</v>
      </c>
      <c r="J262" s="399" t="s">
        <v>3174</v>
      </c>
      <c r="K262" s="402"/>
      <c r="L262" s="402"/>
      <c r="M262" s="402" t="s">
        <v>5024</v>
      </c>
      <c r="N262" s="402" t="s">
        <v>5024</v>
      </c>
      <c r="O262" s="402" t="s">
        <v>5025</v>
      </c>
      <c r="P262" s="402" t="s">
        <v>925</v>
      </c>
      <c r="Q262" s="403" t="s">
        <v>5026</v>
      </c>
      <c r="R262" s="233"/>
      <c r="S262" s="234">
        <f>IF(C262="",NA(),MATCH($B262&amp;$C262,'Smelter Reference List'!$J:$J,0))</f>
        <v>502</v>
      </c>
      <c r="T262" s="235"/>
      <c r="U262" s="235">
        <f t="shared" ref="U262:U325" si="8">IF(AND(C262="Smelter not listed",OR(LEN(D262)=0,LEN(E262)=0)),1,0)</f>
        <v>0</v>
      </c>
      <c r="V262" s="235"/>
      <c r="W262" s="235"/>
      <c r="Y262" s="228" t="str">
        <f t="shared" ref="Y262:Y325" si="9">B262&amp;C262</f>
        <v>TungstenJapan New Metals Co., Ltd.</v>
      </c>
    </row>
    <row r="263" spans="1:25" s="228" customFormat="1" ht="25.5">
      <c r="A263" s="400" t="s">
        <v>2763</v>
      </c>
      <c r="B263" s="396" t="s">
        <v>2326</v>
      </c>
      <c r="C263" s="397" t="s">
        <v>2762</v>
      </c>
      <c r="D263" s="396" t="s">
        <v>2762</v>
      </c>
      <c r="E263" s="396" t="s">
        <v>2181</v>
      </c>
      <c r="F263" s="396" t="s">
        <v>2763</v>
      </c>
      <c r="G263" s="396" t="s">
        <v>3125</v>
      </c>
      <c r="H263" s="398" t="s">
        <v>5024</v>
      </c>
      <c r="I263" s="399" t="s">
        <v>3471</v>
      </c>
      <c r="J263" s="399" t="s">
        <v>3204</v>
      </c>
      <c r="K263" s="402"/>
      <c r="L263" s="402"/>
      <c r="M263" s="402" t="s">
        <v>5024</v>
      </c>
      <c r="N263" s="402" t="s">
        <v>5024</v>
      </c>
      <c r="O263" s="402" t="s">
        <v>5025</v>
      </c>
      <c r="P263" s="402" t="s">
        <v>925</v>
      </c>
      <c r="Q263" s="403" t="s">
        <v>5026</v>
      </c>
      <c r="R263" s="233"/>
      <c r="S263" s="234">
        <f>IF(C263="",NA(),MATCH($B263&amp;$C263,'Smelter Reference List'!$J:$J,0))</f>
        <v>503</v>
      </c>
      <c r="T263" s="235"/>
      <c r="U263" s="235">
        <f t="shared" si="8"/>
        <v>0</v>
      </c>
      <c r="V263" s="235"/>
      <c r="W263" s="235"/>
      <c r="Y263" s="228" t="str">
        <f t="shared" si="9"/>
        <v>TungstenJiangwu H.C. Starck Tungsten Products Co., Ltd.</v>
      </c>
    </row>
    <row r="264" spans="1:25" s="228" customFormat="1" ht="25.5">
      <c r="A264" s="400" t="s">
        <v>4369</v>
      </c>
      <c r="B264" s="396" t="s">
        <v>2326</v>
      </c>
      <c r="C264" s="397" t="s">
        <v>4368</v>
      </c>
      <c r="D264" s="396" t="s">
        <v>4368</v>
      </c>
      <c r="E264" s="396" t="s">
        <v>2181</v>
      </c>
      <c r="F264" s="396" t="s">
        <v>4369</v>
      </c>
      <c r="G264" s="396" t="s">
        <v>3125</v>
      </c>
      <c r="H264" s="398" t="s">
        <v>5024</v>
      </c>
      <c r="I264" s="399" t="s">
        <v>4751</v>
      </c>
      <c r="J264" s="399" t="s">
        <v>3204</v>
      </c>
      <c r="K264" s="402"/>
      <c r="L264" s="402"/>
      <c r="M264" s="402" t="s">
        <v>5030</v>
      </c>
      <c r="N264" s="402" t="s">
        <v>5024</v>
      </c>
      <c r="O264" s="402" t="s">
        <v>926</v>
      </c>
      <c r="P264" s="402" t="s">
        <v>5024</v>
      </c>
      <c r="Q264" s="403" t="s">
        <v>5024</v>
      </c>
      <c r="R264" s="233"/>
      <c r="S264" s="234">
        <f>IF(C264="",NA(),MATCH($B264&amp;$C264,'Smelter Reference List'!$J:$J,0))</f>
        <v>504</v>
      </c>
      <c r="T264" s="235"/>
      <c r="U264" s="235">
        <f t="shared" si="8"/>
        <v>0</v>
      </c>
      <c r="V264" s="235"/>
      <c r="W264" s="235"/>
      <c r="Y264" s="228" t="str">
        <f t="shared" si="9"/>
        <v>TungstenJiangxi Dayu Longxintai Tungsten Co., Ltd.</v>
      </c>
    </row>
    <row r="265" spans="1:25" s="228" customFormat="1" ht="20.25">
      <c r="A265" s="400" t="s">
        <v>199</v>
      </c>
      <c r="B265" s="396" t="s">
        <v>2326</v>
      </c>
      <c r="C265" s="397" t="s">
        <v>219</v>
      </c>
      <c r="D265" s="396" t="s">
        <v>219</v>
      </c>
      <c r="E265" s="396" t="s">
        <v>2181</v>
      </c>
      <c r="F265" s="396" t="s">
        <v>199</v>
      </c>
      <c r="G265" s="396" t="s">
        <v>3125</v>
      </c>
      <c r="H265" s="398" t="s">
        <v>5024</v>
      </c>
      <c r="I265" s="399" t="s">
        <v>3576</v>
      </c>
      <c r="J265" s="399" t="s">
        <v>3204</v>
      </c>
      <c r="K265" s="402"/>
      <c r="L265" s="402"/>
      <c r="M265" s="402" t="s">
        <v>5024</v>
      </c>
      <c r="N265" s="402" t="s">
        <v>5024</v>
      </c>
      <c r="O265" s="402" t="s">
        <v>5025</v>
      </c>
      <c r="P265" s="402" t="s">
        <v>925</v>
      </c>
      <c r="Q265" s="403" t="s">
        <v>5026</v>
      </c>
      <c r="R265" s="233"/>
      <c r="S265" s="234">
        <f>IF(C265="",NA(),MATCH($B265&amp;$C265,'Smelter Reference List'!$J:$J,0))</f>
        <v>505</v>
      </c>
      <c r="T265" s="235"/>
      <c r="U265" s="235">
        <f t="shared" si="8"/>
        <v>0</v>
      </c>
      <c r="V265" s="235"/>
      <c r="W265" s="235"/>
      <c r="Y265" s="228" t="str">
        <f t="shared" si="9"/>
        <v>TungstenJiangxi Gan Bei Tungsten Co., Ltd.</v>
      </c>
    </row>
    <row r="266" spans="1:25" s="228" customFormat="1" ht="25.5">
      <c r="A266" s="400" t="s">
        <v>1426</v>
      </c>
      <c r="B266" s="396" t="s">
        <v>2326</v>
      </c>
      <c r="C266" s="397" t="s">
        <v>1465</v>
      </c>
      <c r="D266" s="396" t="s">
        <v>1465</v>
      </c>
      <c r="E266" s="396" t="s">
        <v>2181</v>
      </c>
      <c r="F266" s="396" t="s">
        <v>1426</v>
      </c>
      <c r="G266" s="396" t="s">
        <v>3125</v>
      </c>
      <c r="H266" s="398" t="s">
        <v>5024</v>
      </c>
      <c r="I266" s="399" t="s">
        <v>3572</v>
      </c>
      <c r="J266" s="399" t="s">
        <v>3204</v>
      </c>
      <c r="K266" s="402"/>
      <c r="L266" s="402"/>
      <c r="M266" s="402" t="s">
        <v>5030</v>
      </c>
      <c r="N266" s="402" t="s">
        <v>5024</v>
      </c>
      <c r="O266" s="402" t="s">
        <v>926</v>
      </c>
      <c r="P266" s="402" t="s">
        <v>5024</v>
      </c>
      <c r="Q266" s="403" t="s">
        <v>5024</v>
      </c>
      <c r="R266" s="233"/>
      <c r="S266" s="234">
        <f>IF(C266="",NA(),MATCH($B266&amp;$C266,'Smelter Reference List'!$J:$J,0))</f>
        <v>506</v>
      </c>
      <c r="T266" s="235"/>
      <c r="U266" s="235">
        <f t="shared" si="8"/>
        <v>0</v>
      </c>
      <c r="V266" s="235"/>
      <c r="W266" s="235"/>
      <c r="Y266" s="228" t="str">
        <f t="shared" si="9"/>
        <v>TungstenJiangxi Minmetals Gao'an Non-ferrous Metals Co., Ltd.</v>
      </c>
    </row>
    <row r="267" spans="1:25" s="228" customFormat="1" ht="25.5">
      <c r="A267" s="400" t="s">
        <v>204</v>
      </c>
      <c r="B267" s="396" t="s">
        <v>2326</v>
      </c>
      <c r="C267" s="397" t="s">
        <v>216</v>
      </c>
      <c r="D267" s="396" t="s">
        <v>216</v>
      </c>
      <c r="E267" s="396" t="s">
        <v>2181</v>
      </c>
      <c r="F267" s="396" t="s">
        <v>204</v>
      </c>
      <c r="G267" s="396" t="s">
        <v>3125</v>
      </c>
      <c r="H267" s="398" t="s">
        <v>5024</v>
      </c>
      <c r="I267" s="399" t="s">
        <v>3573</v>
      </c>
      <c r="J267" s="399" t="s">
        <v>3204</v>
      </c>
      <c r="K267" s="402"/>
      <c r="L267" s="402"/>
      <c r="M267" s="402" t="s">
        <v>5024</v>
      </c>
      <c r="N267" s="402" t="s">
        <v>5024</v>
      </c>
      <c r="O267" s="402" t="s">
        <v>5025</v>
      </c>
      <c r="P267" s="402" t="s">
        <v>925</v>
      </c>
      <c r="Q267" s="403" t="s">
        <v>5026</v>
      </c>
      <c r="R267" s="233"/>
      <c r="S267" s="234">
        <f>IF(C267="",NA(),MATCH($B267&amp;$C267,'Smelter Reference List'!$J:$J,0))</f>
        <v>507</v>
      </c>
      <c r="T267" s="235"/>
      <c r="U267" s="235">
        <f t="shared" si="8"/>
        <v>0</v>
      </c>
      <c r="V267" s="235"/>
      <c r="W267" s="235"/>
      <c r="Y267" s="228" t="str">
        <f t="shared" si="9"/>
        <v>TungstenJiangxi Tonggu Non-ferrous Metallurgical &amp; Chemical Co., Ltd.</v>
      </c>
    </row>
    <row r="268" spans="1:25" s="228" customFormat="1" ht="20.25">
      <c r="A268" s="400" t="s">
        <v>203</v>
      </c>
      <c r="B268" s="396" t="s">
        <v>2326</v>
      </c>
      <c r="C268" s="397" t="s">
        <v>215</v>
      </c>
      <c r="D268" s="396" t="s">
        <v>215</v>
      </c>
      <c r="E268" s="396" t="s">
        <v>2181</v>
      </c>
      <c r="F268" s="396" t="s">
        <v>203</v>
      </c>
      <c r="G268" s="396" t="s">
        <v>3125</v>
      </c>
      <c r="H268" s="398" t="s">
        <v>5024</v>
      </c>
      <c r="I268" s="399" t="s">
        <v>3471</v>
      </c>
      <c r="J268" s="399" t="s">
        <v>3204</v>
      </c>
      <c r="K268" s="402"/>
      <c r="L268" s="402"/>
      <c r="M268" s="402" t="s">
        <v>5024</v>
      </c>
      <c r="N268" s="402" t="s">
        <v>5024</v>
      </c>
      <c r="O268" s="402" t="s">
        <v>5025</v>
      </c>
      <c r="P268" s="402" t="s">
        <v>925</v>
      </c>
      <c r="Q268" s="403" t="s">
        <v>5026</v>
      </c>
      <c r="R268" s="233"/>
      <c r="S268" s="234">
        <f>IF(C268="",NA(),MATCH($B268&amp;$C268,'Smelter Reference List'!$J:$J,0))</f>
        <v>510</v>
      </c>
      <c r="T268" s="235"/>
      <c r="U268" s="235">
        <f t="shared" si="8"/>
        <v>0</v>
      </c>
      <c r="V268" s="235"/>
      <c r="W268" s="235"/>
      <c r="Y268" s="228" t="str">
        <f t="shared" si="9"/>
        <v>TungstenJiangxi Xinsheng Tungsten Industry Co., Ltd.</v>
      </c>
    </row>
    <row r="269" spans="1:25" s="228" customFormat="1" ht="25.5">
      <c r="A269" s="400" t="s">
        <v>2726</v>
      </c>
      <c r="B269" s="396" t="s">
        <v>2326</v>
      </c>
      <c r="C269" s="397" t="s">
        <v>2725</v>
      </c>
      <c r="D269" s="396" t="s">
        <v>2725</v>
      </c>
      <c r="E269" s="396" t="s">
        <v>2181</v>
      </c>
      <c r="F269" s="396" t="s">
        <v>2726</v>
      </c>
      <c r="G269" s="396" t="s">
        <v>3125</v>
      </c>
      <c r="H269" s="398" t="s">
        <v>5024</v>
      </c>
      <c r="I269" s="399" t="s">
        <v>3576</v>
      </c>
      <c r="J269" s="399" t="s">
        <v>3204</v>
      </c>
      <c r="K269" s="402"/>
      <c r="L269" s="402"/>
      <c r="M269" s="402" t="s">
        <v>5024</v>
      </c>
      <c r="N269" s="402" t="s">
        <v>5024</v>
      </c>
      <c r="O269" s="402" t="s">
        <v>5025</v>
      </c>
      <c r="P269" s="402" t="s">
        <v>925</v>
      </c>
      <c r="Q269" s="403" t="s">
        <v>5026</v>
      </c>
      <c r="R269" s="233"/>
      <c r="S269" s="234">
        <f>IF(C269="",NA(),MATCH($B269&amp;$C269,'Smelter Reference List'!$J:$J,0))</f>
        <v>511</v>
      </c>
      <c r="T269" s="235"/>
      <c r="U269" s="235">
        <f t="shared" si="8"/>
        <v>0</v>
      </c>
      <c r="V269" s="235"/>
      <c r="W269" s="235"/>
      <c r="Y269" s="228" t="str">
        <f t="shared" si="9"/>
        <v>TungstenJiangxi Xiushui Xianggan Nonferrous Metals Co., Ltd.</v>
      </c>
    </row>
    <row r="270" spans="1:25" s="228" customFormat="1" ht="20.25">
      <c r="A270" s="400" t="s">
        <v>202</v>
      </c>
      <c r="B270" s="396" t="s">
        <v>2326</v>
      </c>
      <c r="C270" s="397" t="s">
        <v>214</v>
      </c>
      <c r="D270" s="396" t="s">
        <v>214</v>
      </c>
      <c r="E270" s="396" t="s">
        <v>2181</v>
      </c>
      <c r="F270" s="396" t="s">
        <v>202</v>
      </c>
      <c r="G270" s="396" t="s">
        <v>3125</v>
      </c>
      <c r="H270" s="398" t="s">
        <v>5024</v>
      </c>
      <c r="I270" s="399" t="s">
        <v>3471</v>
      </c>
      <c r="J270" s="399" t="s">
        <v>3204</v>
      </c>
      <c r="K270" s="402"/>
      <c r="L270" s="402"/>
      <c r="M270" s="402" t="s">
        <v>5024</v>
      </c>
      <c r="N270" s="402" t="s">
        <v>5024</v>
      </c>
      <c r="O270" s="402" t="s">
        <v>5025</v>
      </c>
      <c r="P270" s="402" t="s">
        <v>925</v>
      </c>
      <c r="Q270" s="403" t="s">
        <v>5026</v>
      </c>
      <c r="R270" s="233"/>
      <c r="S270" s="234">
        <f>IF(C270="",NA(),MATCH($B270&amp;$C270,'Smelter Reference List'!$J:$J,0))</f>
        <v>512</v>
      </c>
      <c r="T270" s="235"/>
      <c r="U270" s="235">
        <f t="shared" si="8"/>
        <v>0</v>
      </c>
      <c r="V270" s="235"/>
      <c r="W270" s="235"/>
      <c r="Y270" s="228" t="str">
        <f t="shared" si="9"/>
        <v>TungstenJiangxi Yaosheng Tungsten Co., Ltd.</v>
      </c>
    </row>
    <row r="271" spans="1:25" s="228" customFormat="1" ht="20.25">
      <c r="A271" s="400" t="s">
        <v>1409</v>
      </c>
      <c r="B271" s="396" t="s">
        <v>2326</v>
      </c>
      <c r="C271" s="397" t="s">
        <v>209</v>
      </c>
      <c r="D271" s="396" t="s">
        <v>209</v>
      </c>
      <c r="E271" s="396" t="s">
        <v>5016</v>
      </c>
      <c r="F271" s="396" t="s">
        <v>1409</v>
      </c>
      <c r="G271" s="396" t="s">
        <v>3125</v>
      </c>
      <c r="H271" s="398" t="s">
        <v>5024</v>
      </c>
      <c r="I271" s="399" t="s">
        <v>3555</v>
      </c>
      <c r="J271" s="399" t="s">
        <v>3556</v>
      </c>
      <c r="K271" s="402"/>
      <c r="L271" s="402"/>
      <c r="M271" s="402" t="s">
        <v>5024</v>
      </c>
      <c r="N271" s="402" t="s">
        <v>5024</v>
      </c>
      <c r="O271" s="402" t="s">
        <v>5025</v>
      </c>
      <c r="P271" s="402" t="s">
        <v>925</v>
      </c>
      <c r="Q271" s="403" t="s">
        <v>5026</v>
      </c>
      <c r="R271" s="233"/>
      <c r="S271" s="234">
        <f>IF(C271="",NA(),MATCH($B271&amp;$C271,'Smelter Reference List'!$J:$J,0))</f>
        <v>514</v>
      </c>
      <c r="T271" s="235"/>
      <c r="U271" s="235">
        <f t="shared" si="8"/>
        <v>0</v>
      </c>
      <c r="V271" s="235"/>
      <c r="W271" s="235"/>
      <c r="Y271" s="228" t="str">
        <f t="shared" si="9"/>
        <v>TungstenKennametal Huntsville</v>
      </c>
    </row>
    <row r="272" spans="1:25" s="228" customFormat="1" ht="20.25">
      <c r="A272" s="400" t="s">
        <v>205</v>
      </c>
      <c r="B272" s="396" t="s">
        <v>2326</v>
      </c>
      <c r="C272" s="397" t="s">
        <v>217</v>
      </c>
      <c r="D272" s="396" t="s">
        <v>217</v>
      </c>
      <c r="E272" s="396" t="s">
        <v>2181</v>
      </c>
      <c r="F272" s="396" t="s">
        <v>205</v>
      </c>
      <c r="G272" s="396" t="s">
        <v>3125</v>
      </c>
      <c r="H272" s="398" t="s">
        <v>5024</v>
      </c>
      <c r="I272" s="399" t="s">
        <v>3574</v>
      </c>
      <c r="J272" s="399" t="s">
        <v>3161</v>
      </c>
      <c r="K272" s="402"/>
      <c r="L272" s="402"/>
      <c r="M272" s="402" t="s">
        <v>5024</v>
      </c>
      <c r="N272" s="402" t="s">
        <v>5024</v>
      </c>
      <c r="O272" s="402" t="s">
        <v>5025</v>
      </c>
      <c r="P272" s="402" t="s">
        <v>925</v>
      </c>
      <c r="Q272" s="403" t="s">
        <v>5026</v>
      </c>
      <c r="R272" s="233"/>
      <c r="S272" s="234">
        <f>IF(C272="",NA(),MATCH($B272&amp;$C272,'Smelter Reference List'!$J:$J,0))</f>
        <v>515</v>
      </c>
      <c r="T272" s="235"/>
      <c r="U272" s="235">
        <f t="shared" si="8"/>
        <v>0</v>
      </c>
      <c r="V272" s="235"/>
      <c r="W272" s="235"/>
      <c r="Y272" s="228" t="str">
        <f t="shared" si="9"/>
        <v>TungstenMalipo Haiyu Tungsten Co., Ltd.</v>
      </c>
    </row>
    <row r="273" spans="1:25" s="228" customFormat="1" ht="20.25">
      <c r="A273" s="400" t="s">
        <v>3594</v>
      </c>
      <c r="B273" s="396" t="s">
        <v>2326</v>
      </c>
      <c r="C273" s="397" t="s">
        <v>3593</v>
      </c>
      <c r="D273" s="396" t="s">
        <v>3593</v>
      </c>
      <c r="E273" s="396" t="s">
        <v>5016</v>
      </c>
      <c r="F273" s="396" t="s">
        <v>3594</v>
      </c>
      <c r="G273" s="396" t="s">
        <v>3125</v>
      </c>
      <c r="H273" s="398" t="s">
        <v>5024</v>
      </c>
      <c r="I273" s="399" t="s">
        <v>3595</v>
      </c>
      <c r="J273" s="399" t="s">
        <v>3230</v>
      </c>
      <c r="K273" s="402"/>
      <c r="L273" s="402"/>
      <c r="M273" s="402" t="s">
        <v>5024</v>
      </c>
      <c r="N273" s="402" t="s">
        <v>5024</v>
      </c>
      <c r="O273" s="402" t="s">
        <v>5025</v>
      </c>
      <c r="P273" s="402" t="s">
        <v>925</v>
      </c>
      <c r="Q273" s="403" t="s">
        <v>5026</v>
      </c>
      <c r="R273" s="233"/>
      <c r="S273" s="234">
        <f>IF(C273="",NA(),MATCH($B273&amp;$C273,'Smelter Reference List'!$J:$J,0))</f>
        <v>517</v>
      </c>
      <c r="T273" s="235"/>
      <c r="U273" s="235">
        <f t="shared" si="8"/>
        <v>0</v>
      </c>
      <c r="V273" s="235"/>
      <c r="W273" s="235"/>
      <c r="Y273" s="228" t="str">
        <f t="shared" si="9"/>
        <v>TungstenNiagara Refining LLC</v>
      </c>
    </row>
    <row r="274" spans="1:25" s="228" customFormat="1" ht="25.5">
      <c r="A274" s="400" t="s">
        <v>2764</v>
      </c>
      <c r="B274" s="396" t="s">
        <v>2326</v>
      </c>
      <c r="C274" s="397" t="s">
        <v>2765</v>
      </c>
      <c r="D274" s="396" t="s">
        <v>2765</v>
      </c>
      <c r="E274" s="396" t="s">
        <v>1766</v>
      </c>
      <c r="F274" s="396" t="s">
        <v>2764</v>
      </c>
      <c r="G274" s="396" t="s">
        <v>3125</v>
      </c>
      <c r="H274" s="398" t="s">
        <v>5024</v>
      </c>
      <c r="I274" s="399" t="s">
        <v>3587</v>
      </c>
      <c r="J274" s="399" t="s">
        <v>3588</v>
      </c>
      <c r="K274" s="402" t="s">
        <v>5024</v>
      </c>
      <c r="L274" s="402" t="s">
        <v>5024</v>
      </c>
      <c r="M274" s="402" t="s">
        <v>5024</v>
      </c>
      <c r="N274" s="402" t="s">
        <v>5024</v>
      </c>
      <c r="O274" s="402" t="s">
        <v>5025</v>
      </c>
      <c r="P274" s="402" t="s">
        <v>925</v>
      </c>
      <c r="Q274" s="403" t="s">
        <v>5026</v>
      </c>
      <c r="R274" s="233"/>
      <c r="S274" s="234">
        <f>IF(C274="",NA(),MATCH($B274&amp;$C274,'Smelter Reference List'!$J:$J,0))</f>
        <v>518</v>
      </c>
      <c r="T274" s="235"/>
      <c r="U274" s="235">
        <f t="shared" si="8"/>
        <v>0</v>
      </c>
      <c r="V274" s="235"/>
      <c r="W274" s="235"/>
      <c r="Y274" s="228" t="str">
        <f t="shared" si="9"/>
        <v>TungstenNui Phao H.C. Starck Tungsten Chemicals Manufacturing LLC</v>
      </c>
    </row>
    <row r="275" spans="1:25" s="228" customFormat="1" ht="20.25">
      <c r="A275" s="400" t="s">
        <v>4376</v>
      </c>
      <c r="B275" s="396" t="s">
        <v>2326</v>
      </c>
      <c r="C275" s="397" t="s">
        <v>4752</v>
      </c>
      <c r="D275" s="396" t="s">
        <v>4752</v>
      </c>
      <c r="E275" s="396" t="s">
        <v>1705</v>
      </c>
      <c r="F275" s="396" t="s">
        <v>4376</v>
      </c>
      <c r="G275" s="396" t="s">
        <v>3125</v>
      </c>
      <c r="H275" s="398" t="s">
        <v>5024</v>
      </c>
      <c r="I275" s="399" t="s">
        <v>4377</v>
      </c>
      <c r="J275" s="399" t="s">
        <v>4378</v>
      </c>
      <c r="K275" s="402" t="s">
        <v>5024</v>
      </c>
      <c r="L275" s="402" t="s">
        <v>5024</v>
      </c>
      <c r="M275" s="402" t="s">
        <v>5024</v>
      </c>
      <c r="N275" s="402" t="s">
        <v>5024</v>
      </c>
      <c r="O275" s="402" t="s">
        <v>5029</v>
      </c>
      <c r="P275" s="402" t="s">
        <v>924</v>
      </c>
      <c r="Q275" s="403" t="s">
        <v>5026</v>
      </c>
      <c r="R275" s="233"/>
      <c r="S275" s="234">
        <f>IF(C275="",NA(),MATCH($B275&amp;$C275,'Smelter Reference List'!$J:$J,0))</f>
        <v>519</v>
      </c>
      <c r="T275" s="235"/>
      <c r="U275" s="235">
        <f t="shared" si="8"/>
        <v>0</v>
      </c>
      <c r="V275" s="235"/>
      <c r="W275" s="235"/>
      <c r="Y275" s="228" t="str">
        <f t="shared" si="9"/>
        <v>TungstenPhilippine Chuangxin Industrial Co., Inc.</v>
      </c>
    </row>
    <row r="276" spans="1:25" s="228" customFormat="1" ht="25.5">
      <c r="A276" s="400" t="s">
        <v>4380</v>
      </c>
      <c r="B276" s="396" t="s">
        <v>2326</v>
      </c>
      <c r="C276" s="397" t="s">
        <v>4379</v>
      </c>
      <c r="D276" s="396" t="s">
        <v>4379</v>
      </c>
      <c r="E276" s="396" t="s">
        <v>2181</v>
      </c>
      <c r="F276" s="396" t="s">
        <v>4380</v>
      </c>
      <c r="G276" s="396" t="s">
        <v>3125</v>
      </c>
      <c r="H276" s="398" t="s">
        <v>5024</v>
      </c>
      <c r="I276" s="399" t="s">
        <v>3407</v>
      </c>
      <c r="J276" s="399" t="s">
        <v>3186</v>
      </c>
      <c r="K276" s="402" t="s">
        <v>5024</v>
      </c>
      <c r="L276" s="402" t="s">
        <v>5024</v>
      </c>
      <c r="M276" s="402" t="s">
        <v>5024</v>
      </c>
      <c r="N276" s="402" t="s">
        <v>5024</v>
      </c>
      <c r="O276" s="402" t="s">
        <v>5025</v>
      </c>
      <c r="P276" s="402" t="s">
        <v>925</v>
      </c>
      <c r="Q276" s="403" t="s">
        <v>5026</v>
      </c>
      <c r="R276" s="233"/>
      <c r="S276" s="234">
        <f>IF(C276="",NA(),MATCH($B276&amp;$C276,'Smelter Reference List'!$J:$J,0))</f>
        <v>523</v>
      </c>
      <c r="T276" s="235"/>
      <c r="U276" s="235">
        <f t="shared" si="8"/>
        <v>0</v>
      </c>
      <c r="V276" s="235"/>
      <c r="W276" s="235"/>
      <c r="Y276" s="228" t="str">
        <f t="shared" si="9"/>
        <v>TungstenSouth-East Nonferrous Metal Company Limited of Hengyang City</v>
      </c>
    </row>
    <row r="277" spans="1:25" s="228" customFormat="1" ht="20.25">
      <c r="A277" s="400" t="s">
        <v>1421</v>
      </c>
      <c r="B277" s="396" t="s">
        <v>2326</v>
      </c>
      <c r="C277" s="397" t="s">
        <v>2</v>
      </c>
      <c r="D277" s="396" t="s">
        <v>2</v>
      </c>
      <c r="E277" s="396" t="s">
        <v>1766</v>
      </c>
      <c r="F277" s="396" t="s">
        <v>1421</v>
      </c>
      <c r="G277" s="396" t="s">
        <v>3125</v>
      </c>
      <c r="H277" s="398" t="s">
        <v>5024</v>
      </c>
      <c r="I277" s="399" t="s">
        <v>3564</v>
      </c>
      <c r="J277" s="399" t="s">
        <v>4139</v>
      </c>
      <c r="K277" s="402" t="s">
        <v>5024</v>
      </c>
      <c r="L277" s="402" t="s">
        <v>5024</v>
      </c>
      <c r="M277" s="402" t="s">
        <v>5024</v>
      </c>
      <c r="N277" s="402" t="s">
        <v>5024</v>
      </c>
      <c r="O277" s="402" t="s">
        <v>5025</v>
      </c>
      <c r="P277" s="402" t="s">
        <v>925</v>
      </c>
      <c r="Q277" s="403" t="s">
        <v>5026</v>
      </c>
      <c r="R277" s="233"/>
      <c r="S277" s="234">
        <f>IF(C277="",NA(),MATCH($B277&amp;$C277,'Smelter Reference List'!$J:$J,0))</f>
        <v>524</v>
      </c>
      <c r="T277" s="235"/>
      <c r="U277" s="235">
        <f t="shared" si="8"/>
        <v>0</v>
      </c>
      <c r="V277" s="235"/>
      <c r="W277" s="235"/>
      <c r="Y277" s="228" t="str">
        <f t="shared" si="9"/>
        <v>TungstenTejing (Vietnam) Tungsten Co., Ltd.</v>
      </c>
    </row>
    <row r="278" spans="1:25" s="228" customFormat="1" ht="20.25">
      <c r="A278" s="400" t="s">
        <v>1422</v>
      </c>
      <c r="B278" s="396" t="s">
        <v>2326</v>
      </c>
      <c r="C278" s="397" t="s">
        <v>1785</v>
      </c>
      <c r="D278" s="396" t="s">
        <v>1785</v>
      </c>
      <c r="E278" s="396" t="s">
        <v>2155</v>
      </c>
      <c r="F278" s="396" t="s">
        <v>1422</v>
      </c>
      <c r="G278" s="396" t="s">
        <v>3125</v>
      </c>
      <c r="H278" s="398" t="s">
        <v>5024</v>
      </c>
      <c r="I278" s="399" t="s">
        <v>3566</v>
      </c>
      <c r="J278" s="399" t="s">
        <v>3415</v>
      </c>
      <c r="K278" s="402" t="s">
        <v>5024</v>
      </c>
      <c r="L278" s="402" t="s">
        <v>5024</v>
      </c>
      <c r="M278" s="402" t="s">
        <v>5024</v>
      </c>
      <c r="N278" s="402" t="s">
        <v>5024</v>
      </c>
      <c r="O278" s="402" t="s">
        <v>5027</v>
      </c>
      <c r="P278" s="402" t="s">
        <v>925</v>
      </c>
      <c r="Q278" s="403" t="s">
        <v>5026</v>
      </c>
      <c r="R278" s="233"/>
      <c r="S278" s="234">
        <f>IF(C278="",NA(),MATCH($B278&amp;$C278,'Smelter Reference List'!$J:$J,0))</f>
        <v>528</v>
      </c>
      <c r="T278" s="235"/>
      <c r="U278" s="235">
        <f t="shared" si="8"/>
        <v>0</v>
      </c>
      <c r="V278" s="235"/>
      <c r="W278" s="235"/>
      <c r="Y278" s="228" t="str">
        <f t="shared" si="9"/>
        <v>TungstenWolfram Bergbau und Hütten AG</v>
      </c>
    </row>
    <row r="279" spans="1:25" s="228" customFormat="1" ht="20.25">
      <c r="A279" s="400" t="s">
        <v>206</v>
      </c>
      <c r="B279" s="396" t="s">
        <v>2326</v>
      </c>
      <c r="C279" s="397" t="s">
        <v>218</v>
      </c>
      <c r="D279" s="396" t="s">
        <v>218</v>
      </c>
      <c r="E279" s="396" t="s">
        <v>2181</v>
      </c>
      <c r="F279" s="396" t="s">
        <v>206</v>
      </c>
      <c r="G279" s="396" t="s">
        <v>3125</v>
      </c>
      <c r="H279" s="398" t="s">
        <v>5024</v>
      </c>
      <c r="I279" s="399" t="s">
        <v>3569</v>
      </c>
      <c r="J279" s="399" t="s">
        <v>3332</v>
      </c>
      <c r="K279" s="402" t="s">
        <v>5024</v>
      </c>
      <c r="L279" s="402" t="s">
        <v>5024</v>
      </c>
      <c r="M279" s="402" t="s">
        <v>5024</v>
      </c>
      <c r="N279" s="402" t="s">
        <v>5024</v>
      </c>
      <c r="O279" s="402" t="s">
        <v>5027</v>
      </c>
      <c r="P279" s="402" t="s">
        <v>925</v>
      </c>
      <c r="Q279" s="403" t="s">
        <v>5026</v>
      </c>
      <c r="R279" s="233"/>
      <c r="S279" s="234">
        <f>IF(C279="",NA(),MATCH($B279&amp;$C279,'Smelter Reference List'!$J:$J,0))</f>
        <v>531</v>
      </c>
      <c r="T279" s="235"/>
      <c r="U279" s="235">
        <f t="shared" si="8"/>
        <v>0</v>
      </c>
      <c r="V279" s="235"/>
      <c r="W279" s="235"/>
      <c r="Y279" s="228" t="str">
        <f t="shared" si="9"/>
        <v>TungstenXiamen Tungsten (H.C.) Co., Ltd.</v>
      </c>
    </row>
    <row r="280" spans="1:25" s="228" customFormat="1" ht="20.25">
      <c r="A280" s="400" t="s">
        <v>1423</v>
      </c>
      <c r="B280" s="396" t="s">
        <v>2326</v>
      </c>
      <c r="C280" s="397" t="s">
        <v>2663</v>
      </c>
      <c r="D280" s="396" t="s">
        <v>2663</v>
      </c>
      <c r="E280" s="396" t="s">
        <v>2181</v>
      </c>
      <c r="F280" s="396" t="s">
        <v>1423</v>
      </c>
      <c r="G280" s="396" t="s">
        <v>3125</v>
      </c>
      <c r="H280" s="398" t="s">
        <v>5024</v>
      </c>
      <c r="I280" s="399" t="s">
        <v>3569</v>
      </c>
      <c r="J280" s="399" t="s">
        <v>3332</v>
      </c>
      <c r="K280" s="402" t="s">
        <v>5024</v>
      </c>
      <c r="L280" s="402" t="s">
        <v>5024</v>
      </c>
      <c r="M280" s="402" t="s">
        <v>5024</v>
      </c>
      <c r="N280" s="402" t="s">
        <v>5024</v>
      </c>
      <c r="O280" s="402" t="s">
        <v>5025</v>
      </c>
      <c r="P280" s="402" t="s">
        <v>925</v>
      </c>
      <c r="Q280" s="403" t="s">
        <v>5026</v>
      </c>
      <c r="R280" s="233"/>
      <c r="S280" s="234">
        <f>IF(C280="",NA(),MATCH($B280&amp;$C280,'Smelter Reference List'!$J:$J,0))</f>
        <v>532</v>
      </c>
      <c r="T280" s="235"/>
      <c r="U280" s="235">
        <f t="shared" si="8"/>
        <v>0</v>
      </c>
      <c r="V280" s="235"/>
      <c r="W280" s="235"/>
      <c r="Y280" s="228" t="str">
        <f t="shared" si="9"/>
        <v>TungstenXiamen Tungsten Co., Ltd.</v>
      </c>
    </row>
    <row r="281" spans="1:25" s="228" customFormat="1" ht="25.5">
      <c r="A281" s="400" t="s">
        <v>4386</v>
      </c>
      <c r="B281" s="396" t="s">
        <v>2326</v>
      </c>
      <c r="C281" s="397" t="s">
        <v>4385</v>
      </c>
      <c r="D281" s="396" t="s">
        <v>4385</v>
      </c>
      <c r="E281" s="396" t="s">
        <v>2181</v>
      </c>
      <c r="F281" s="396" t="s">
        <v>4386</v>
      </c>
      <c r="G281" s="396" t="s">
        <v>3125</v>
      </c>
      <c r="H281" s="398" t="s">
        <v>5024</v>
      </c>
      <c r="I281" s="399" t="s">
        <v>3471</v>
      </c>
      <c r="J281" s="399" t="s">
        <v>3204</v>
      </c>
      <c r="K281" s="402" t="s">
        <v>5024</v>
      </c>
      <c r="L281" s="402" t="s">
        <v>5024</v>
      </c>
      <c r="M281" s="402" t="s">
        <v>5024</v>
      </c>
      <c r="N281" s="402" t="s">
        <v>5024</v>
      </c>
      <c r="O281" s="402" t="s">
        <v>5025</v>
      </c>
      <c r="P281" s="402" t="s">
        <v>925</v>
      </c>
      <c r="Q281" s="403" t="s">
        <v>5026</v>
      </c>
      <c r="R281" s="233"/>
      <c r="S281" s="234">
        <f>IF(C281="",NA(),MATCH($B281&amp;$C281,'Smelter Reference List'!$J:$J,0))</f>
        <v>533</v>
      </c>
      <c r="T281" s="235"/>
      <c r="U281" s="235">
        <f t="shared" si="8"/>
        <v>0</v>
      </c>
      <c r="V281" s="235"/>
      <c r="W281" s="235"/>
      <c r="Y281" s="228" t="str">
        <f t="shared" si="9"/>
        <v>TungstenXinfeng Huarui Tungsten &amp; Molybdenum New Material Co., Ltd.</v>
      </c>
    </row>
    <row r="282" spans="1:25" s="228" customFormat="1" ht="20.25">
      <c r="A282" s="400" t="s">
        <v>1425</v>
      </c>
      <c r="B282" s="396" t="s">
        <v>2326</v>
      </c>
      <c r="C282" s="397" t="s">
        <v>1466</v>
      </c>
      <c r="D282" s="396" t="s">
        <v>1466</v>
      </c>
      <c r="E282" s="396" t="s">
        <v>2181</v>
      </c>
      <c r="F282" s="396" t="s">
        <v>1425</v>
      </c>
      <c r="G282" s="396" t="s">
        <v>3125</v>
      </c>
      <c r="H282" s="398" t="s">
        <v>5024</v>
      </c>
      <c r="I282" s="399" t="s">
        <v>3570</v>
      </c>
      <c r="J282" s="399" t="s">
        <v>3335</v>
      </c>
      <c r="K282" s="402" t="s">
        <v>5024</v>
      </c>
      <c r="L282" s="402" t="s">
        <v>5024</v>
      </c>
      <c r="M282" s="402" t="s">
        <v>5024</v>
      </c>
      <c r="N282" s="402" t="s">
        <v>5024</v>
      </c>
      <c r="O282" s="402" t="s">
        <v>5025</v>
      </c>
      <c r="P282" s="402" t="s">
        <v>925</v>
      </c>
      <c r="Q282" s="403" t="s">
        <v>5026</v>
      </c>
      <c r="R282" s="233"/>
      <c r="S282" s="234">
        <f>IF(C282="",NA(),MATCH($B282&amp;$C282,'Smelter Reference List'!$J:$J,0))</f>
        <v>534</v>
      </c>
      <c r="T282" s="235"/>
      <c r="U282" s="235">
        <f t="shared" si="8"/>
        <v>0</v>
      </c>
      <c r="V282" s="235"/>
      <c r="W282" s="235"/>
      <c r="Y282" s="228" t="str">
        <f t="shared" si="9"/>
        <v>TungstenXinhai Rendan Shaoguan Tungsten Co., Ltd.</v>
      </c>
    </row>
    <row r="283" spans="1:25" s="228" customFormat="1" ht="20.25">
      <c r="A283" s="257" t="s">
        <v>2685</v>
      </c>
      <c r="B283" s="396" t="str">
        <f>IF(LEN(A283)=0,"",INDEX('[1]Smelter Reference List'!$A$1:$A$65536,MATCH($A283,'[1]Smelter Reference List'!$E$1:$E$65536,0)))</f>
        <v>Gold</v>
      </c>
      <c r="C283" s="397" t="str">
        <f>IF(LEN(A283)=0,"",INDEX('[1]Smelter Reference List'!$C$1:$C$65536,MATCH($A283,'[1]Smelter Reference List'!$E$1:$E$65536,0)))</f>
        <v>Advanced Chemical Company</v>
      </c>
      <c r="D283" s="396" t="e">
        <f ca="1">IF(ISERROR('[1]Smelter List'!$S5),"",OFFSET('[1]Smelter Reference List'!$C$4,'[1]Smelter List'!$S5-4,0)&amp;"")</f>
        <v>#VALUE!</v>
      </c>
      <c r="E283" s="396" t="e">
        <f ca="1">IF(ISERROR('[1]Smelter List'!$S5),"",OFFSET('[1]Smelter Reference List'!$D$4,'[1]Smelter List'!$S5-4,0)&amp;"")</f>
        <v>#VALUE!</v>
      </c>
      <c r="F283" s="396" t="e">
        <f ca="1">IF(ISERROR('[1]Smelter List'!$S5),"",OFFSET('[1]Smelter Reference List'!$E$4,'[1]Smelter List'!$S5-4,0))</f>
        <v>#VALUE!</v>
      </c>
      <c r="G283" s="396" t="e">
        <f ca="1">IF(C283='[1]Smelter List'!$U$4,"Enter smelter details", IF(ISERROR('[1]Smelter List'!$S5),"",OFFSET('[1]Smelter Reference List'!$F$4,'[1]Smelter List'!$S5-4,0)))</f>
        <v>#VALUE!</v>
      </c>
      <c r="H283" s="398" t="e">
        <f ca="1">IF(ISERROR('[1]Smelter List'!$S5),"",OFFSET('[1]Smelter Reference List'!$G$4,'[1]Smelter List'!$S5-4,0))</f>
        <v>#VALUE!</v>
      </c>
      <c r="I283" s="399" t="e">
        <f ca="1">IF(ISERROR('[1]Smelter List'!$S5),"",OFFSET('[1]Smelter Reference List'!$H$4,'[1]Smelter List'!$S5-4,0))</f>
        <v>#VALUE!</v>
      </c>
      <c r="J283" s="399" t="e">
        <f ca="1">IF(ISERROR('[1]Smelter List'!$S5),"",OFFSET('[1]Smelter Reference List'!$I$4,'[1]Smelter List'!$S5-4,0))</f>
        <v>#VALUE!</v>
      </c>
      <c r="K283" s="401"/>
      <c r="L283" s="401"/>
      <c r="M283" s="401"/>
      <c r="N283" s="401"/>
      <c r="O283" s="401"/>
      <c r="P283" s="401"/>
      <c r="Q283" s="250"/>
      <c r="R283" s="233"/>
      <c r="S283" s="234" t="e">
        <f>IF(#REF!="",NA(),MATCH(#REF!&amp;#REF!,'Smelter Reference List'!$J:$J,0))</f>
        <v>#REF!</v>
      </c>
      <c r="T283" s="235"/>
      <c r="U283" s="235" t="e">
        <f>IF(AND(#REF!="Smelter not listed",OR(LEN(#REF!)=0,LEN(#REF!)=0)),1,0)</f>
        <v>#REF!</v>
      </c>
      <c r="V283" s="235"/>
      <c r="W283" s="235"/>
      <c r="Y283" s="228" t="e">
        <f>#REF!&amp;#REF!</f>
        <v>#REF!</v>
      </c>
    </row>
    <row r="284" spans="1:25" s="228" customFormat="1" ht="20.25">
      <c r="A284" s="257" t="s">
        <v>1234</v>
      </c>
      <c r="B284" s="396" t="str">
        <f>IF(LEN(A284)=0,"",INDEX('[1]Smelter Reference List'!$A$1:$A$65536,MATCH($A284,'[1]Smelter Reference List'!$E$1:$E$65536,0)))</f>
        <v>Gold</v>
      </c>
      <c r="C284" s="397" t="str">
        <f>IF(LEN(A284)=0,"",INDEX('[1]Smelter Reference List'!$C$1:$C$65536,MATCH($A284,'[1]Smelter Reference List'!$E$1:$E$65536,0)))</f>
        <v>Aida Chemical Industries Co., Ltd.</v>
      </c>
      <c r="D284" s="396" t="e">
        <f ca="1">IF(ISERROR('[1]Smelter List'!$S6),"",OFFSET('[1]Smelter Reference List'!$C$4,'[1]Smelter List'!$S6-4,0)&amp;"")</f>
        <v>#VALUE!</v>
      </c>
      <c r="E284" s="396" t="e">
        <f ca="1">IF(ISERROR('[1]Smelter List'!$S6),"",OFFSET('[1]Smelter Reference List'!$D$4,'[1]Smelter List'!$S6-4,0)&amp;"")</f>
        <v>#VALUE!</v>
      </c>
      <c r="F284" s="396" t="e">
        <f ca="1">IF(ISERROR('[1]Smelter List'!$S6),"",OFFSET('[1]Smelter Reference List'!$E$4,'[1]Smelter List'!$S6-4,0))</f>
        <v>#VALUE!</v>
      </c>
      <c r="G284" s="396" t="e">
        <f ca="1">IF(C284='[1]Smelter List'!$U$4,"Enter smelter details", IF(ISERROR('[1]Smelter List'!$S6),"",OFFSET('[1]Smelter Reference List'!$F$4,'[1]Smelter List'!$S6-4,0)))</f>
        <v>#VALUE!</v>
      </c>
      <c r="H284" s="398" t="e">
        <f ca="1">IF(ISERROR('[1]Smelter List'!$S6),"",OFFSET('[1]Smelter Reference List'!$G$4,'[1]Smelter List'!$S6-4,0))</f>
        <v>#VALUE!</v>
      </c>
      <c r="I284" s="399" t="e">
        <f ca="1">IF(ISERROR('[1]Smelter List'!$S6),"",OFFSET('[1]Smelter Reference List'!$H$4,'[1]Smelter List'!$S6-4,0))</f>
        <v>#VALUE!</v>
      </c>
      <c r="J284" s="399" t="e">
        <f ca="1">IF(ISERROR('[1]Smelter List'!$S6),"",OFFSET('[1]Smelter Reference List'!$I$4,'[1]Smelter List'!$S6-4,0))</f>
        <v>#VALUE!</v>
      </c>
      <c r="K284" s="402"/>
      <c r="L284" s="402"/>
      <c r="M284" s="402"/>
      <c r="N284" s="402"/>
      <c r="O284" s="402"/>
      <c r="P284" s="402"/>
      <c r="Q284" s="403"/>
      <c r="R284" s="233"/>
      <c r="S284" s="234" t="e">
        <f>IF(#REF!="",NA(),MATCH(#REF!&amp;#REF!,'Smelter Reference List'!$J:$J,0))</f>
        <v>#REF!</v>
      </c>
      <c r="T284" s="235"/>
      <c r="U284" s="235" t="e">
        <f>IF(AND(#REF!="Smelter not listed",OR(LEN(#REF!)=0,LEN(#REF!)=0)),1,0)</f>
        <v>#REF!</v>
      </c>
      <c r="V284" s="235"/>
      <c r="W284" s="235"/>
      <c r="Y284" s="228" t="e">
        <f>#REF!&amp;#REF!</f>
        <v>#REF!</v>
      </c>
    </row>
    <row r="285" spans="1:25" s="228" customFormat="1" ht="20.25">
      <c r="A285" s="257" t="s">
        <v>1235</v>
      </c>
      <c r="B285" s="396" t="str">
        <f>IF(LEN(A285)=0,"",INDEX('[1]Smelter Reference List'!$A$1:$A$65536,MATCH($A285,'[1]Smelter Reference List'!$E$1:$E$65536,0)))</f>
        <v>Gold</v>
      </c>
      <c r="C285" s="397" t="str">
        <f>IF(LEN(A285)=0,"",INDEX('[1]Smelter Reference List'!$C$1:$C$65536,MATCH($A285,'[1]Smelter Reference List'!$E$1:$E$65536,0)))</f>
        <v>Allgemeine Gold-und Silberscheideanstalt A.G.</v>
      </c>
      <c r="D285" s="396" t="e">
        <f ca="1">IF(ISERROR('[1]Smelter List'!$S7),"",OFFSET('[1]Smelter Reference List'!$C$4,'[1]Smelter List'!$S7-4,0)&amp;"")</f>
        <v>#VALUE!</v>
      </c>
      <c r="E285" s="396" t="e">
        <f ca="1">IF(ISERROR('[1]Smelter List'!$S7),"",OFFSET('[1]Smelter Reference List'!$D$4,'[1]Smelter List'!$S7-4,0)&amp;"")</f>
        <v>#VALUE!</v>
      </c>
      <c r="F285" s="396" t="e">
        <f ca="1">IF(ISERROR('[1]Smelter List'!$S7),"",OFFSET('[1]Smelter Reference List'!$E$4,'[1]Smelter List'!$S7-4,0))</f>
        <v>#VALUE!</v>
      </c>
      <c r="G285" s="396" t="e">
        <f ca="1">IF(C285='[1]Smelter List'!$U$4,"Enter smelter details", IF(ISERROR('[1]Smelter List'!$S7),"",OFFSET('[1]Smelter Reference List'!$F$4,'[1]Smelter List'!$S7-4,0)))</f>
        <v>#VALUE!</v>
      </c>
      <c r="H285" s="398" t="e">
        <f ca="1">IF(ISERROR('[1]Smelter List'!$S7),"",OFFSET('[1]Smelter Reference List'!$G$4,'[1]Smelter List'!$S7-4,0))</f>
        <v>#VALUE!</v>
      </c>
      <c r="I285" s="399" t="e">
        <f ca="1">IF(ISERROR('[1]Smelter List'!$S7),"",OFFSET('[1]Smelter Reference List'!$H$4,'[1]Smelter List'!$S7-4,0))</f>
        <v>#VALUE!</v>
      </c>
      <c r="J285" s="399" t="e">
        <f ca="1">IF(ISERROR('[1]Smelter List'!$S7),"",OFFSET('[1]Smelter Reference List'!$I$4,'[1]Smelter List'!$S7-4,0))</f>
        <v>#VALUE!</v>
      </c>
      <c r="K285" s="402"/>
      <c r="L285" s="402"/>
      <c r="M285" s="402"/>
      <c r="N285" s="402"/>
      <c r="O285" s="402"/>
      <c r="P285" s="402"/>
      <c r="Q285" s="403"/>
      <c r="R285" s="233"/>
      <c r="S285" s="234" t="e">
        <f>IF(#REF!="",NA(),MATCH(#REF!&amp;#REF!,'Smelter Reference List'!$J:$J,0))</f>
        <v>#REF!</v>
      </c>
      <c r="T285" s="235"/>
      <c r="U285" s="235" t="e">
        <f>IF(AND(#REF!="Smelter not listed",OR(LEN(#REF!)=0,LEN(#REF!)=0)),1,0)</f>
        <v>#REF!</v>
      </c>
      <c r="V285" s="235"/>
      <c r="W285" s="235"/>
      <c r="Y285" s="228" t="e">
        <f>#REF!&amp;#REF!</f>
        <v>#REF!</v>
      </c>
    </row>
    <row r="286" spans="1:25" s="228" customFormat="1" ht="25.5">
      <c r="A286" s="257" t="s">
        <v>1236</v>
      </c>
      <c r="B286" s="396" t="str">
        <f>IF(LEN(A286)=0,"",INDEX('[1]Smelter Reference List'!$A$1:$A$65536,MATCH($A286,'[1]Smelter Reference List'!$E$1:$E$65536,0)))</f>
        <v>Gold</v>
      </c>
      <c r="C286" s="397" t="str">
        <f>IF(LEN(A286)=0,"",INDEX('[1]Smelter Reference List'!$C$1:$C$65536,MATCH($A286,'[1]Smelter Reference List'!$E$1:$E$65536,0)))</f>
        <v>Almalyk Mining and Metallurgical Complex (AMMC)</v>
      </c>
      <c r="D286" s="396" t="e">
        <f ca="1">IF(ISERROR('[1]Smelter List'!$S8),"",OFFSET('[1]Smelter Reference List'!$C$4,'[1]Smelter List'!$S8-4,0)&amp;"")</f>
        <v>#VALUE!</v>
      </c>
      <c r="E286" s="396" t="e">
        <f ca="1">IF(ISERROR('[1]Smelter List'!$S8),"",OFFSET('[1]Smelter Reference List'!$D$4,'[1]Smelter List'!$S8-4,0)&amp;"")</f>
        <v>#VALUE!</v>
      </c>
      <c r="F286" s="396" t="e">
        <f ca="1">IF(ISERROR('[1]Smelter List'!$S8),"",OFFSET('[1]Smelter Reference List'!$E$4,'[1]Smelter List'!$S8-4,0))</f>
        <v>#VALUE!</v>
      </c>
      <c r="G286" s="396" t="e">
        <f ca="1">IF(C286='[1]Smelter List'!$U$4,"Enter smelter details", IF(ISERROR('[1]Smelter List'!$S8),"",OFFSET('[1]Smelter Reference List'!$F$4,'[1]Smelter List'!$S8-4,0)))</f>
        <v>#VALUE!</v>
      </c>
      <c r="H286" s="398" t="e">
        <f ca="1">IF(ISERROR('[1]Smelter List'!$S8),"",OFFSET('[1]Smelter Reference List'!$G$4,'[1]Smelter List'!$S8-4,0))</f>
        <v>#VALUE!</v>
      </c>
      <c r="I286" s="399" t="e">
        <f ca="1">IF(ISERROR('[1]Smelter List'!$S8),"",OFFSET('[1]Smelter Reference List'!$H$4,'[1]Smelter List'!$S8-4,0))</f>
        <v>#VALUE!</v>
      </c>
      <c r="J286" s="399" t="e">
        <f ca="1">IF(ISERROR('[1]Smelter List'!$S8),"",OFFSET('[1]Smelter Reference List'!$I$4,'[1]Smelter List'!$S8-4,0))</f>
        <v>#VALUE!</v>
      </c>
      <c r="K286" s="402"/>
      <c r="L286" s="402"/>
      <c r="M286" s="402"/>
      <c r="N286" s="402"/>
      <c r="O286" s="402"/>
      <c r="P286" s="402"/>
      <c r="Q286" s="403"/>
      <c r="R286" s="233"/>
      <c r="S286" s="234" t="e">
        <f>IF(#REF!="",NA(),MATCH(#REF!&amp;#REF!,'Smelter Reference List'!$J:$J,0))</f>
        <v>#REF!</v>
      </c>
      <c r="T286" s="235"/>
      <c r="U286" s="235" t="e">
        <f>IF(AND(#REF!="Smelter not listed",OR(LEN(#REF!)=0,LEN(#REF!)=0)),1,0)</f>
        <v>#REF!</v>
      </c>
      <c r="V286" s="235"/>
      <c r="W286" s="235"/>
      <c r="Y286" s="228" t="e">
        <f>#REF!&amp;#REF!</f>
        <v>#REF!</v>
      </c>
    </row>
    <row r="287" spans="1:25" s="228" customFormat="1" ht="20.25">
      <c r="A287" s="257" t="s">
        <v>1237</v>
      </c>
      <c r="B287" s="396" t="str">
        <f>IF(LEN(A287)=0,"",INDEX('[1]Smelter Reference List'!$A$1:$A$65536,MATCH($A287,'[1]Smelter Reference List'!$E$1:$E$65536,0)))</f>
        <v>Gold</v>
      </c>
      <c r="C287" s="397" t="str">
        <f>IF(LEN(A287)=0,"",INDEX('[1]Smelter Reference List'!$C$1:$C$65536,MATCH($A287,'[1]Smelter Reference List'!$E$1:$E$65536,0)))</f>
        <v>AngloGold Ashanti Córrego do Sítio Mineração</v>
      </c>
      <c r="D287" s="396" t="e">
        <f ca="1">IF(ISERROR('[1]Smelter List'!$S9),"",OFFSET('[1]Smelter Reference List'!$C$4,'[1]Smelter List'!$S9-4,0)&amp;"")</f>
        <v>#VALUE!</v>
      </c>
      <c r="E287" s="396" t="e">
        <f ca="1">IF(ISERROR('[1]Smelter List'!$S9),"",OFFSET('[1]Smelter Reference List'!$D$4,'[1]Smelter List'!$S9-4,0)&amp;"")</f>
        <v>#VALUE!</v>
      </c>
      <c r="F287" s="396" t="e">
        <f ca="1">IF(ISERROR('[1]Smelter List'!$S9),"",OFFSET('[1]Smelter Reference List'!$E$4,'[1]Smelter List'!$S9-4,0))</f>
        <v>#VALUE!</v>
      </c>
      <c r="G287" s="396" t="e">
        <f ca="1">IF(C287='[1]Smelter List'!$U$4,"Enter smelter details", IF(ISERROR('[1]Smelter List'!$S9),"",OFFSET('[1]Smelter Reference List'!$F$4,'[1]Smelter List'!$S9-4,0)))</f>
        <v>#VALUE!</v>
      </c>
      <c r="H287" s="398" t="e">
        <f ca="1">IF(ISERROR('[1]Smelter List'!$S9),"",OFFSET('[1]Smelter Reference List'!$G$4,'[1]Smelter List'!$S9-4,0))</f>
        <v>#VALUE!</v>
      </c>
      <c r="I287" s="399" t="e">
        <f ca="1">IF(ISERROR('[1]Smelter List'!$S9),"",OFFSET('[1]Smelter Reference List'!$H$4,'[1]Smelter List'!$S9-4,0))</f>
        <v>#VALUE!</v>
      </c>
      <c r="J287" s="399" t="e">
        <f ca="1">IF(ISERROR('[1]Smelter List'!$S9),"",OFFSET('[1]Smelter Reference List'!$I$4,'[1]Smelter List'!$S9-4,0))</f>
        <v>#VALUE!</v>
      </c>
      <c r="K287" s="402"/>
      <c r="L287" s="402"/>
      <c r="M287" s="402"/>
      <c r="N287" s="402"/>
      <c r="O287" s="402"/>
      <c r="P287" s="402"/>
      <c r="Q287" s="403"/>
      <c r="R287" s="233"/>
      <c r="S287" s="234" t="e">
        <f>IF(#REF!="",NA(),MATCH(#REF!&amp;#REF!,'Smelter Reference List'!$J:$J,0))</f>
        <v>#REF!</v>
      </c>
      <c r="T287" s="235"/>
      <c r="U287" s="235" t="e">
        <f>IF(AND(#REF!="Smelter not listed",OR(LEN(#REF!)=0,LEN(#REF!)=0)),1,0)</f>
        <v>#REF!</v>
      </c>
      <c r="V287" s="235"/>
      <c r="W287" s="235"/>
      <c r="Y287" s="228" t="e">
        <f>#REF!&amp;#REF!</f>
        <v>#REF!</v>
      </c>
    </row>
    <row r="288" spans="1:25" s="228" customFormat="1" ht="20.25">
      <c r="A288" s="257" t="s">
        <v>1238</v>
      </c>
      <c r="B288" s="396" t="str">
        <f>IF(LEN(A288)=0,"",INDEX('[1]Smelter Reference List'!$A$1:$A$65536,MATCH($A288,'[1]Smelter Reference List'!$E$1:$E$65536,0)))</f>
        <v>Gold</v>
      </c>
      <c r="C288" s="397" t="str">
        <f>IF(LEN(A288)=0,"",INDEX('[1]Smelter Reference List'!$C$1:$C$65536,MATCH($A288,'[1]Smelter Reference List'!$E$1:$E$65536,0)))</f>
        <v>Argor-Heraeus S.A.</v>
      </c>
      <c r="D288" s="396" t="e">
        <f ca="1">IF(ISERROR('[1]Smelter List'!$S10),"",OFFSET('[1]Smelter Reference List'!$C$4,'[1]Smelter List'!$S10-4,0)&amp;"")</f>
        <v>#VALUE!</v>
      </c>
      <c r="E288" s="396" t="e">
        <f ca="1">IF(ISERROR('[1]Smelter List'!$S10),"",OFFSET('[1]Smelter Reference List'!$D$4,'[1]Smelter List'!$S10-4,0)&amp;"")</f>
        <v>#VALUE!</v>
      </c>
      <c r="F288" s="396" t="e">
        <f ca="1">IF(ISERROR('[1]Smelter List'!$S10),"",OFFSET('[1]Smelter Reference List'!$E$4,'[1]Smelter List'!$S10-4,0))</f>
        <v>#VALUE!</v>
      </c>
      <c r="G288" s="396" t="e">
        <f ca="1">IF(C288='[1]Smelter List'!$U$4,"Enter smelter details", IF(ISERROR('[1]Smelter List'!$S10),"",OFFSET('[1]Smelter Reference List'!$F$4,'[1]Smelter List'!$S10-4,0)))</f>
        <v>#VALUE!</v>
      </c>
      <c r="H288" s="398" t="e">
        <f ca="1">IF(ISERROR('[1]Smelter List'!$S10),"",OFFSET('[1]Smelter Reference List'!$G$4,'[1]Smelter List'!$S10-4,0))</f>
        <v>#VALUE!</v>
      </c>
      <c r="I288" s="399" t="e">
        <f ca="1">IF(ISERROR('[1]Smelter List'!$S10),"",OFFSET('[1]Smelter Reference List'!$H$4,'[1]Smelter List'!$S10-4,0))</f>
        <v>#VALUE!</v>
      </c>
      <c r="J288" s="399" t="e">
        <f ca="1">IF(ISERROR('[1]Smelter List'!$S10),"",OFFSET('[1]Smelter Reference List'!$I$4,'[1]Smelter List'!$S10-4,0))</f>
        <v>#VALUE!</v>
      </c>
      <c r="K288" s="402"/>
      <c r="L288" s="402"/>
      <c r="M288" s="402"/>
      <c r="N288" s="402"/>
      <c r="O288" s="402"/>
      <c r="P288" s="402"/>
      <c r="Q288" s="403"/>
      <c r="R288" s="233"/>
      <c r="S288" s="234" t="e">
        <f>IF(#REF!="",NA(),MATCH(#REF!&amp;#REF!,'Smelter Reference List'!$J:$J,0))</f>
        <v>#REF!</v>
      </c>
      <c r="T288" s="235"/>
      <c r="U288" s="235" t="e">
        <f>IF(AND(#REF!="Smelter not listed",OR(LEN(#REF!)=0,LEN(#REF!)=0)),1,0)</f>
        <v>#REF!</v>
      </c>
      <c r="V288" s="235"/>
      <c r="W288" s="235"/>
      <c r="Y288" s="228" t="e">
        <f>#REF!&amp;#REF!</f>
        <v>#REF!</v>
      </c>
    </row>
    <row r="289" spans="1:25" s="228" customFormat="1" ht="20.25">
      <c r="A289" s="257" t="s">
        <v>1239</v>
      </c>
      <c r="B289" s="396" t="str">
        <f>IF(LEN(A289)=0,"",INDEX('[1]Smelter Reference List'!$A$1:$A$65536,MATCH($A289,'[1]Smelter Reference List'!$E$1:$E$65536,0)))</f>
        <v>Gold</v>
      </c>
      <c r="C289" s="397" t="str">
        <f>IF(LEN(A289)=0,"",INDEX('[1]Smelter Reference List'!$C$1:$C$65536,MATCH($A289,'[1]Smelter Reference List'!$E$1:$E$65536,0)))</f>
        <v>Asahi Pretec Corp.</v>
      </c>
      <c r="D289" s="396" t="e">
        <f ca="1">IF(ISERROR('[1]Smelter List'!$S11),"",OFFSET('[1]Smelter Reference List'!$C$4,'[1]Smelter List'!$S11-4,0)&amp;"")</f>
        <v>#VALUE!</v>
      </c>
      <c r="E289" s="396" t="e">
        <f ca="1">IF(ISERROR('[1]Smelter List'!$S11),"",OFFSET('[1]Smelter Reference List'!$D$4,'[1]Smelter List'!$S11-4,0)&amp;"")</f>
        <v>#VALUE!</v>
      </c>
      <c r="F289" s="396" t="e">
        <f ca="1">IF(ISERROR('[1]Smelter List'!$S11),"",OFFSET('[1]Smelter Reference List'!$E$4,'[1]Smelter List'!$S11-4,0))</f>
        <v>#VALUE!</v>
      </c>
      <c r="G289" s="396" t="e">
        <f ca="1">IF(C289='[1]Smelter List'!$U$4,"Enter smelter details", IF(ISERROR('[1]Smelter List'!$S11),"",OFFSET('[1]Smelter Reference List'!$F$4,'[1]Smelter List'!$S11-4,0)))</f>
        <v>#VALUE!</v>
      </c>
      <c r="H289" s="398" t="e">
        <f ca="1">IF(ISERROR('[1]Smelter List'!$S11),"",OFFSET('[1]Smelter Reference List'!$G$4,'[1]Smelter List'!$S11-4,0))</f>
        <v>#VALUE!</v>
      </c>
      <c r="I289" s="399" t="e">
        <f ca="1">IF(ISERROR('[1]Smelter List'!$S11),"",OFFSET('[1]Smelter Reference List'!$H$4,'[1]Smelter List'!$S11-4,0))</f>
        <v>#VALUE!</v>
      </c>
      <c r="J289" s="399" t="e">
        <f ca="1">IF(ISERROR('[1]Smelter List'!$S11),"",OFFSET('[1]Smelter Reference List'!$I$4,'[1]Smelter List'!$S11-4,0))</f>
        <v>#VALUE!</v>
      </c>
      <c r="K289" s="402"/>
      <c r="L289" s="402"/>
      <c r="M289" s="402"/>
      <c r="N289" s="402"/>
      <c r="O289" s="402"/>
      <c r="P289" s="402"/>
      <c r="Q289" s="403"/>
      <c r="R289" s="233"/>
      <c r="S289" s="234" t="e">
        <f>IF(#REF!="",NA(),MATCH(#REF!&amp;#REF!,'Smelter Reference List'!$J:$J,0))</f>
        <v>#REF!</v>
      </c>
      <c r="T289" s="235"/>
      <c r="U289" s="235" t="e">
        <f>IF(AND(#REF!="Smelter not listed",OR(LEN(#REF!)=0,LEN(#REF!)=0)),1,0)</f>
        <v>#REF!</v>
      </c>
      <c r="V289" s="235"/>
      <c r="W289" s="235"/>
      <c r="Y289" s="228" t="e">
        <f>#REF!&amp;#REF!</f>
        <v>#REF!</v>
      </c>
    </row>
    <row r="290" spans="1:25" s="228" customFormat="1" ht="20.25">
      <c r="A290" s="257" t="s">
        <v>1240</v>
      </c>
      <c r="B290" s="396" t="str">
        <f>IF(LEN(A290)=0,"",INDEX('[1]Smelter Reference List'!$A$1:$A$65536,MATCH($A290,'[1]Smelter Reference List'!$E$1:$E$65536,0)))</f>
        <v>Gold</v>
      </c>
      <c r="C290" s="397" t="str">
        <f>IF(LEN(A290)=0,"",INDEX('[1]Smelter Reference List'!$C$1:$C$65536,MATCH($A290,'[1]Smelter Reference List'!$E$1:$E$65536,0)))</f>
        <v>Asaka Riken Co., Ltd.</v>
      </c>
      <c r="D290" s="396" t="e">
        <f ca="1">IF(ISERROR('[1]Smelter List'!$S12),"",OFFSET('[1]Smelter Reference List'!$C$4,'[1]Smelter List'!$S12-4,0)&amp;"")</f>
        <v>#VALUE!</v>
      </c>
      <c r="E290" s="396" t="e">
        <f ca="1">IF(ISERROR('[1]Smelter List'!$S12),"",OFFSET('[1]Smelter Reference List'!$D$4,'[1]Smelter List'!$S12-4,0)&amp;"")</f>
        <v>#VALUE!</v>
      </c>
      <c r="F290" s="396" t="e">
        <f ca="1">IF(ISERROR('[1]Smelter List'!$S12),"",OFFSET('[1]Smelter Reference List'!$E$4,'[1]Smelter List'!$S12-4,0))</f>
        <v>#VALUE!</v>
      </c>
      <c r="G290" s="396" t="e">
        <f ca="1">IF(C290='[1]Smelter List'!$U$4,"Enter smelter details", IF(ISERROR('[1]Smelter List'!$S12),"",OFFSET('[1]Smelter Reference List'!$F$4,'[1]Smelter List'!$S12-4,0)))</f>
        <v>#VALUE!</v>
      </c>
      <c r="H290" s="398" t="e">
        <f ca="1">IF(ISERROR('[1]Smelter List'!$S12),"",OFFSET('[1]Smelter Reference List'!$G$4,'[1]Smelter List'!$S12-4,0))</f>
        <v>#VALUE!</v>
      </c>
      <c r="I290" s="399" t="e">
        <f ca="1">IF(ISERROR('[1]Smelter List'!$S12),"",OFFSET('[1]Smelter Reference List'!$H$4,'[1]Smelter List'!$S12-4,0))</f>
        <v>#VALUE!</v>
      </c>
      <c r="J290" s="399" t="e">
        <f ca="1">IF(ISERROR('[1]Smelter List'!$S12),"",OFFSET('[1]Smelter Reference List'!$I$4,'[1]Smelter List'!$S12-4,0))</f>
        <v>#VALUE!</v>
      </c>
      <c r="K290" s="402"/>
      <c r="L290" s="402"/>
      <c r="M290" s="402"/>
      <c r="N290" s="402"/>
      <c r="O290" s="402"/>
      <c r="P290" s="402"/>
      <c r="Q290" s="403"/>
      <c r="R290" s="233"/>
      <c r="S290" s="234" t="e">
        <f>IF(#REF!="",NA(),MATCH(#REF!&amp;#REF!,'Smelter Reference List'!$J:$J,0))</f>
        <v>#REF!</v>
      </c>
      <c r="T290" s="235"/>
      <c r="U290" s="235" t="e">
        <f>IF(AND(#REF!="Smelter not listed",OR(LEN(#REF!)=0,LEN(#REF!)=0)),1,0)</f>
        <v>#REF!</v>
      </c>
      <c r="V290" s="235"/>
      <c r="W290" s="235"/>
      <c r="Y290" s="228" t="e">
        <f>#REF!&amp;#REF!</f>
        <v>#REF!</v>
      </c>
    </row>
    <row r="291" spans="1:25" s="228" customFormat="1" ht="20.25">
      <c r="A291" s="257" t="s">
        <v>1242</v>
      </c>
      <c r="B291" s="396" t="str">
        <f>IF(LEN(A291)=0,"",INDEX('[1]Smelter Reference List'!$A$1:$A$65536,MATCH($A291,'[1]Smelter Reference List'!$E$1:$E$65536,0)))</f>
        <v>Gold</v>
      </c>
      <c r="C291" s="397" t="str">
        <f>IF(LEN(A291)=0,"",INDEX('[1]Smelter Reference List'!$C$1:$C$65536,MATCH($A291,'[1]Smelter Reference List'!$E$1:$E$65536,0)))</f>
        <v>Aurubis AG</v>
      </c>
      <c r="D291" s="396" t="e">
        <f ca="1">IF(ISERROR('[1]Smelter List'!$S13),"",OFFSET('[1]Smelter Reference List'!$C$4,'[1]Smelter List'!$S13-4,0)&amp;"")</f>
        <v>#VALUE!</v>
      </c>
      <c r="E291" s="396" t="e">
        <f ca="1">IF(ISERROR('[1]Smelter List'!$S13),"",OFFSET('[1]Smelter Reference List'!$D$4,'[1]Smelter List'!$S13-4,0)&amp;"")</f>
        <v>#VALUE!</v>
      </c>
      <c r="F291" s="396" t="e">
        <f ca="1">IF(ISERROR('[1]Smelter List'!$S13),"",OFFSET('[1]Smelter Reference List'!$E$4,'[1]Smelter List'!$S13-4,0))</f>
        <v>#VALUE!</v>
      </c>
      <c r="G291" s="396" t="e">
        <f ca="1">IF(C291='[1]Smelter List'!$U$4,"Enter smelter details", IF(ISERROR('[1]Smelter List'!$S13),"",OFFSET('[1]Smelter Reference List'!$F$4,'[1]Smelter List'!$S13-4,0)))</f>
        <v>#VALUE!</v>
      </c>
      <c r="H291" s="398" t="e">
        <f ca="1">IF(ISERROR('[1]Smelter List'!$S13),"",OFFSET('[1]Smelter Reference List'!$G$4,'[1]Smelter List'!$S13-4,0))</f>
        <v>#VALUE!</v>
      </c>
      <c r="I291" s="399" t="e">
        <f ca="1">IF(ISERROR('[1]Smelter List'!$S13),"",OFFSET('[1]Smelter Reference List'!$H$4,'[1]Smelter List'!$S13-4,0))</f>
        <v>#VALUE!</v>
      </c>
      <c r="J291" s="399" t="e">
        <f ca="1">IF(ISERROR('[1]Smelter List'!$S13),"",OFFSET('[1]Smelter Reference List'!$I$4,'[1]Smelter List'!$S13-4,0))</f>
        <v>#VALUE!</v>
      </c>
      <c r="K291" s="402"/>
      <c r="L291" s="402"/>
      <c r="M291" s="402"/>
      <c r="N291" s="402"/>
      <c r="O291" s="402"/>
      <c r="P291" s="402"/>
      <c r="Q291" s="403"/>
      <c r="R291" s="233"/>
      <c r="S291" s="234" t="e">
        <f>IF(#REF!="",NA(),MATCH(#REF!&amp;#REF!,'Smelter Reference List'!$J:$J,0))</f>
        <v>#REF!</v>
      </c>
      <c r="T291" s="235"/>
      <c r="U291" s="235" t="e">
        <f>IF(AND(#REF!="Smelter not listed",OR(LEN(#REF!)=0,LEN(#REF!)=0)),1,0)</f>
        <v>#REF!</v>
      </c>
      <c r="V291" s="235"/>
      <c r="W291" s="235"/>
      <c r="Y291" s="228" t="e">
        <f>#REF!&amp;#REF!</f>
        <v>#REF!</v>
      </c>
    </row>
    <row r="292" spans="1:25" s="228" customFormat="1" ht="25.5">
      <c r="A292" s="257" t="s">
        <v>1243</v>
      </c>
      <c r="B292" s="396" t="str">
        <f>IF(LEN(A292)=0,"",INDEX('[1]Smelter Reference List'!$A$1:$A$65536,MATCH($A292,'[1]Smelter Reference List'!$E$1:$E$65536,0)))</f>
        <v>Gold</v>
      </c>
      <c r="C292" s="397" t="str">
        <f>IF(LEN(A292)=0,"",INDEX('[1]Smelter Reference List'!$C$1:$C$65536,MATCH($A292,'[1]Smelter Reference List'!$E$1:$E$65536,0)))</f>
        <v>Bangko Sentral ng Pilipinas (Central Bank of the Philippines)</v>
      </c>
      <c r="D292" s="396" t="e">
        <f ca="1">IF(ISERROR('[1]Smelter List'!$S14),"",OFFSET('[1]Smelter Reference List'!$C$4,'[1]Smelter List'!$S14-4,0)&amp;"")</f>
        <v>#VALUE!</v>
      </c>
      <c r="E292" s="396" t="e">
        <f ca="1">IF(ISERROR('[1]Smelter List'!$S14),"",OFFSET('[1]Smelter Reference List'!$D$4,'[1]Smelter List'!$S14-4,0)&amp;"")</f>
        <v>#VALUE!</v>
      </c>
      <c r="F292" s="396" t="e">
        <f ca="1">IF(ISERROR('[1]Smelter List'!$S14),"",OFFSET('[1]Smelter Reference List'!$E$4,'[1]Smelter List'!$S14-4,0))</f>
        <v>#VALUE!</v>
      </c>
      <c r="G292" s="396" t="e">
        <f ca="1">IF(C292='[1]Smelter List'!$U$4,"Enter smelter details", IF(ISERROR('[1]Smelter List'!$S14),"",OFFSET('[1]Smelter Reference List'!$F$4,'[1]Smelter List'!$S14-4,0)))</f>
        <v>#VALUE!</v>
      </c>
      <c r="H292" s="398" t="e">
        <f ca="1">IF(ISERROR('[1]Smelter List'!$S14),"",OFFSET('[1]Smelter Reference List'!$G$4,'[1]Smelter List'!$S14-4,0))</f>
        <v>#VALUE!</v>
      </c>
      <c r="I292" s="399" t="e">
        <f ca="1">IF(ISERROR('[1]Smelter List'!$S14),"",OFFSET('[1]Smelter Reference List'!$H$4,'[1]Smelter List'!$S14-4,0))</f>
        <v>#VALUE!</v>
      </c>
      <c r="J292" s="399" t="e">
        <f ca="1">IF(ISERROR('[1]Smelter List'!$S14),"",OFFSET('[1]Smelter Reference List'!$I$4,'[1]Smelter List'!$S14-4,0))</f>
        <v>#VALUE!</v>
      </c>
      <c r="K292" s="402"/>
      <c r="L292" s="402"/>
      <c r="M292" s="402"/>
      <c r="N292" s="402"/>
      <c r="O292" s="402"/>
      <c r="P292" s="402"/>
      <c r="Q292" s="403"/>
      <c r="R292" s="233"/>
      <c r="S292" s="234" t="e">
        <f>IF(#REF!="",NA(),MATCH(#REF!&amp;#REF!,'Smelter Reference List'!$J:$J,0))</f>
        <v>#REF!</v>
      </c>
      <c r="T292" s="235"/>
      <c r="U292" s="235" t="e">
        <f>IF(AND(#REF!="Smelter not listed",OR(LEN(#REF!)=0,LEN(#REF!)=0)),1,0)</f>
        <v>#REF!</v>
      </c>
      <c r="V292" s="235"/>
      <c r="W292" s="235"/>
      <c r="Y292" s="228" t="e">
        <f>#REF!&amp;#REF!</f>
        <v>#REF!</v>
      </c>
    </row>
    <row r="293" spans="1:25" s="228" customFormat="1" ht="20.25">
      <c r="A293" s="257" t="s">
        <v>1244</v>
      </c>
      <c r="B293" s="396" t="str">
        <f>IF(LEN(A293)=0,"",INDEX('[1]Smelter Reference List'!$A$1:$A$65536,MATCH($A293,'[1]Smelter Reference List'!$E$1:$E$65536,0)))</f>
        <v>Gold</v>
      </c>
      <c r="C293" s="397" t="str">
        <f>IF(LEN(A293)=0,"",INDEX('[1]Smelter Reference List'!$C$1:$C$65536,MATCH($A293,'[1]Smelter Reference List'!$E$1:$E$65536,0)))</f>
        <v>Boliden AB</v>
      </c>
      <c r="D293" s="396" t="e">
        <f ca="1">IF(ISERROR('[1]Smelter List'!$S15),"",OFFSET('[1]Smelter Reference List'!$C$4,'[1]Smelter List'!$S15-4,0)&amp;"")</f>
        <v>#VALUE!</v>
      </c>
      <c r="E293" s="396" t="e">
        <f ca="1">IF(ISERROR('[1]Smelter List'!$S15),"",OFFSET('[1]Smelter Reference List'!$D$4,'[1]Smelter List'!$S15-4,0)&amp;"")</f>
        <v>#VALUE!</v>
      </c>
      <c r="F293" s="396" t="e">
        <f ca="1">IF(ISERROR('[1]Smelter List'!$S15),"",OFFSET('[1]Smelter Reference List'!$E$4,'[1]Smelter List'!$S15-4,0))</f>
        <v>#VALUE!</v>
      </c>
      <c r="G293" s="396" t="e">
        <f ca="1">IF(C293='[1]Smelter List'!$U$4,"Enter smelter details", IF(ISERROR('[1]Smelter List'!$S15),"",OFFSET('[1]Smelter Reference List'!$F$4,'[1]Smelter List'!$S15-4,0)))</f>
        <v>#VALUE!</v>
      </c>
      <c r="H293" s="398" t="e">
        <f ca="1">IF(ISERROR('[1]Smelter List'!$S15),"",OFFSET('[1]Smelter Reference List'!$G$4,'[1]Smelter List'!$S15-4,0))</f>
        <v>#VALUE!</v>
      </c>
      <c r="I293" s="399" t="e">
        <f ca="1">IF(ISERROR('[1]Smelter List'!$S15),"",OFFSET('[1]Smelter Reference List'!$H$4,'[1]Smelter List'!$S15-4,0))</f>
        <v>#VALUE!</v>
      </c>
      <c r="J293" s="399" t="e">
        <f ca="1">IF(ISERROR('[1]Smelter List'!$S15),"",OFFSET('[1]Smelter Reference List'!$I$4,'[1]Smelter List'!$S15-4,0))</f>
        <v>#VALUE!</v>
      </c>
      <c r="K293" s="402"/>
      <c r="L293" s="402"/>
      <c r="M293" s="402"/>
      <c r="N293" s="402"/>
      <c r="O293" s="402"/>
      <c r="P293" s="402"/>
      <c r="Q293" s="403"/>
      <c r="R293" s="233"/>
      <c r="S293" s="234" t="e">
        <f>IF(#REF!="",NA(),MATCH(#REF!&amp;#REF!,'Smelter Reference List'!$J:$J,0))</f>
        <v>#REF!</v>
      </c>
      <c r="T293" s="235"/>
      <c r="U293" s="235" t="e">
        <f>IF(AND(#REF!="Smelter not listed",OR(LEN(#REF!)=0,LEN(#REF!)=0)),1,0)</f>
        <v>#REF!</v>
      </c>
      <c r="V293" s="235"/>
      <c r="W293" s="235"/>
      <c r="Y293" s="228" t="e">
        <f>#REF!&amp;#REF!</f>
        <v>#REF!</v>
      </c>
    </row>
    <row r="294" spans="1:25" s="228" customFormat="1" ht="20.25">
      <c r="A294" s="257" t="s">
        <v>1246</v>
      </c>
      <c r="B294" s="396" t="str">
        <f>IF(LEN(A294)=0,"",INDEX('[1]Smelter Reference List'!$A$1:$A$65536,MATCH($A294,'[1]Smelter Reference List'!$E$1:$E$65536,0)))</f>
        <v>Gold</v>
      </c>
      <c r="C294" s="397" t="str">
        <f>IF(LEN(A294)=0,"",INDEX('[1]Smelter Reference List'!$C$1:$C$65536,MATCH($A294,'[1]Smelter Reference List'!$E$1:$E$65536,0)))</f>
        <v>C. Hafner GmbH + Co. KG</v>
      </c>
      <c r="D294" s="396" t="e">
        <f ca="1">IF(ISERROR('[1]Smelter List'!$S16),"",OFFSET('[1]Smelter Reference List'!$C$4,'[1]Smelter List'!$S16-4,0)&amp;"")</f>
        <v>#VALUE!</v>
      </c>
      <c r="E294" s="396" t="e">
        <f ca="1">IF(ISERROR('[1]Smelter List'!$S16),"",OFFSET('[1]Smelter Reference List'!$D$4,'[1]Smelter List'!$S16-4,0)&amp;"")</f>
        <v>#VALUE!</v>
      </c>
      <c r="F294" s="396" t="e">
        <f ca="1">IF(ISERROR('[1]Smelter List'!$S16),"",OFFSET('[1]Smelter Reference List'!$E$4,'[1]Smelter List'!$S16-4,0))</f>
        <v>#VALUE!</v>
      </c>
      <c r="G294" s="396" t="e">
        <f ca="1">IF(C294='[1]Smelter List'!$U$4,"Enter smelter details", IF(ISERROR('[1]Smelter List'!$S16),"",OFFSET('[1]Smelter Reference List'!$F$4,'[1]Smelter List'!$S16-4,0)))</f>
        <v>#VALUE!</v>
      </c>
      <c r="H294" s="398" t="e">
        <f ca="1">IF(ISERROR('[1]Smelter List'!$S16),"",OFFSET('[1]Smelter Reference List'!$G$4,'[1]Smelter List'!$S16-4,0))</f>
        <v>#VALUE!</v>
      </c>
      <c r="I294" s="399" t="e">
        <f ca="1">IF(ISERROR('[1]Smelter List'!$S16),"",OFFSET('[1]Smelter Reference List'!$H$4,'[1]Smelter List'!$S16-4,0))</f>
        <v>#VALUE!</v>
      </c>
      <c r="J294" s="399" t="e">
        <f ca="1">IF(ISERROR('[1]Smelter List'!$S16),"",OFFSET('[1]Smelter Reference List'!$I$4,'[1]Smelter List'!$S16-4,0))</f>
        <v>#VALUE!</v>
      </c>
      <c r="K294" s="402"/>
      <c r="L294" s="402"/>
      <c r="M294" s="402"/>
      <c r="N294" s="402"/>
      <c r="O294" s="402"/>
      <c r="P294" s="402"/>
      <c r="Q294" s="403"/>
      <c r="R294" s="233"/>
      <c r="S294" s="234" t="e">
        <f>IF(#REF!="",NA(),MATCH(#REF!&amp;#REF!,'Smelter Reference List'!$J:$J,0))</f>
        <v>#REF!</v>
      </c>
      <c r="T294" s="235"/>
      <c r="U294" s="235" t="e">
        <f>IF(AND(#REF!="Smelter not listed",OR(LEN(#REF!)=0,LEN(#REF!)=0)),1,0)</f>
        <v>#REF!</v>
      </c>
      <c r="V294" s="235"/>
      <c r="W294" s="235"/>
      <c r="Y294" s="228" t="e">
        <f>#REF!&amp;#REF!</f>
        <v>#REF!</v>
      </c>
    </row>
    <row r="295" spans="1:25" s="228" customFormat="1" ht="20.25">
      <c r="A295" s="257" t="s">
        <v>1248</v>
      </c>
      <c r="B295" s="396" t="str">
        <f>IF(LEN(A295)=0,"",INDEX('[1]Smelter Reference List'!$A$1:$A$65536,MATCH($A295,'[1]Smelter Reference List'!$E$1:$E$65536,0)))</f>
        <v>Gold</v>
      </c>
      <c r="C295" s="397" t="str">
        <f>IF(LEN(A295)=0,"",INDEX('[1]Smelter Reference List'!$C$1:$C$65536,MATCH($A295,'[1]Smelter Reference List'!$E$1:$E$65536,0)))</f>
        <v>CCR Refinery - Glencore Canada Corporation</v>
      </c>
      <c r="D295" s="396" t="e">
        <f ca="1">IF(ISERROR('[1]Smelter List'!$S17),"",OFFSET('[1]Smelter Reference List'!$C$4,'[1]Smelter List'!$S17-4,0)&amp;"")</f>
        <v>#VALUE!</v>
      </c>
      <c r="E295" s="396" t="e">
        <f ca="1">IF(ISERROR('[1]Smelter List'!$S17),"",OFFSET('[1]Smelter Reference List'!$D$4,'[1]Smelter List'!$S17-4,0)&amp;"")</f>
        <v>#VALUE!</v>
      </c>
      <c r="F295" s="396" t="e">
        <f ca="1">IF(ISERROR('[1]Smelter List'!$S17),"",OFFSET('[1]Smelter Reference List'!$E$4,'[1]Smelter List'!$S17-4,0))</f>
        <v>#VALUE!</v>
      </c>
      <c r="G295" s="396" t="e">
        <f ca="1">IF(C295='[1]Smelter List'!$U$4,"Enter smelter details", IF(ISERROR('[1]Smelter List'!$S17),"",OFFSET('[1]Smelter Reference List'!$F$4,'[1]Smelter List'!$S17-4,0)))</f>
        <v>#VALUE!</v>
      </c>
      <c r="H295" s="398" t="e">
        <f ca="1">IF(ISERROR('[1]Smelter List'!$S17),"",OFFSET('[1]Smelter Reference List'!$G$4,'[1]Smelter List'!$S17-4,0))</f>
        <v>#VALUE!</v>
      </c>
      <c r="I295" s="399" t="e">
        <f ca="1">IF(ISERROR('[1]Smelter List'!$S17),"",OFFSET('[1]Smelter Reference List'!$H$4,'[1]Smelter List'!$S17-4,0))</f>
        <v>#VALUE!</v>
      </c>
      <c r="J295" s="399" t="e">
        <f ca="1">IF(ISERROR('[1]Smelter List'!$S17),"",OFFSET('[1]Smelter Reference List'!$I$4,'[1]Smelter List'!$S17-4,0))</f>
        <v>#VALUE!</v>
      </c>
      <c r="K295" s="402"/>
      <c r="L295" s="402"/>
      <c r="M295" s="402"/>
      <c r="N295" s="402"/>
      <c r="O295" s="402"/>
      <c r="P295" s="402"/>
      <c r="Q295" s="403"/>
      <c r="R295" s="233"/>
      <c r="S295" s="234" t="e">
        <f>IF(#REF!="",NA(),MATCH(#REF!&amp;#REF!,'Smelter Reference List'!$J:$J,0))</f>
        <v>#REF!</v>
      </c>
      <c r="T295" s="235"/>
      <c r="U295" s="235" t="e">
        <f>IF(AND(#REF!="Smelter not listed",OR(LEN(#REF!)=0,LEN(#REF!)=0)),1,0)</f>
        <v>#REF!</v>
      </c>
      <c r="V295" s="235"/>
      <c r="W295" s="235"/>
      <c r="Y295" s="228" t="e">
        <f>#REF!&amp;#REF!</f>
        <v>#REF!</v>
      </c>
    </row>
    <row r="296" spans="1:25" s="228" customFormat="1" ht="20.25">
      <c r="A296" s="257" t="s">
        <v>1250</v>
      </c>
      <c r="B296" s="396" t="str">
        <f>IF(LEN(A296)=0,"",INDEX('[1]Smelter Reference List'!$A$1:$A$65536,MATCH($A296,'[1]Smelter Reference List'!$E$1:$E$65536,0)))</f>
        <v>Gold</v>
      </c>
      <c r="C296" s="397" t="str">
        <f>IF(LEN(A296)=0,"",INDEX('[1]Smelter Reference List'!$C$1:$C$65536,MATCH($A296,'[1]Smelter Reference List'!$E$1:$E$65536,0)))</f>
        <v>Chimet S.p.A.</v>
      </c>
      <c r="D296" s="396" t="e">
        <f ca="1">IF(ISERROR('[1]Smelter List'!$S18),"",OFFSET('[1]Smelter Reference List'!$C$4,'[1]Smelter List'!$S18-4,0)&amp;"")</f>
        <v>#VALUE!</v>
      </c>
      <c r="E296" s="396" t="e">
        <f ca="1">IF(ISERROR('[1]Smelter List'!$S18),"",OFFSET('[1]Smelter Reference List'!$D$4,'[1]Smelter List'!$S18-4,0)&amp;"")</f>
        <v>#VALUE!</v>
      </c>
      <c r="F296" s="396" t="e">
        <f ca="1">IF(ISERROR('[1]Smelter List'!$S18),"",OFFSET('[1]Smelter Reference List'!$E$4,'[1]Smelter List'!$S18-4,0))</f>
        <v>#VALUE!</v>
      </c>
      <c r="G296" s="396" t="e">
        <f ca="1">IF(C296='[1]Smelter List'!$U$4,"Enter smelter details", IF(ISERROR('[1]Smelter List'!$S18),"",OFFSET('[1]Smelter Reference List'!$F$4,'[1]Smelter List'!$S18-4,0)))</f>
        <v>#VALUE!</v>
      </c>
      <c r="H296" s="398" t="e">
        <f ca="1">IF(ISERROR('[1]Smelter List'!$S18),"",OFFSET('[1]Smelter Reference List'!$G$4,'[1]Smelter List'!$S18-4,0))</f>
        <v>#VALUE!</v>
      </c>
      <c r="I296" s="399" t="e">
        <f ca="1">IF(ISERROR('[1]Smelter List'!$S18),"",OFFSET('[1]Smelter Reference List'!$H$4,'[1]Smelter List'!$S18-4,0))</f>
        <v>#VALUE!</v>
      </c>
      <c r="J296" s="399" t="e">
        <f ca="1">IF(ISERROR('[1]Smelter List'!$S18),"",OFFSET('[1]Smelter Reference List'!$I$4,'[1]Smelter List'!$S18-4,0))</f>
        <v>#VALUE!</v>
      </c>
      <c r="K296" s="402"/>
      <c r="L296" s="402"/>
      <c r="M296" s="402"/>
      <c r="N296" s="402"/>
      <c r="O296" s="402"/>
      <c r="P296" s="402"/>
      <c r="Q296" s="403"/>
      <c r="R296" s="233"/>
      <c r="S296" s="234" t="e">
        <f>IF(#REF!="",NA(),MATCH(#REF!&amp;#REF!,'Smelter Reference List'!$J:$J,0))</f>
        <v>#REF!</v>
      </c>
      <c r="T296" s="235"/>
      <c r="U296" s="235" t="e">
        <f>IF(AND(#REF!="Smelter not listed",OR(LEN(#REF!)=0,LEN(#REF!)=0)),1,0)</f>
        <v>#REF!</v>
      </c>
      <c r="V296" s="235"/>
      <c r="W296" s="235"/>
      <c r="Y296" s="228" t="e">
        <f>#REF!&amp;#REF!</f>
        <v>#REF!</v>
      </c>
    </row>
    <row r="297" spans="1:25" s="228" customFormat="1" ht="20.25">
      <c r="A297" s="257" t="s">
        <v>1257</v>
      </c>
      <c r="B297" s="396" t="str">
        <f>IF(LEN(A297)=0,"",INDEX('[1]Smelter Reference List'!$A$1:$A$65536,MATCH($A297,'[1]Smelter Reference List'!$E$1:$E$65536,0)))</f>
        <v>Gold</v>
      </c>
      <c r="C297" s="397" t="str">
        <f>IF(LEN(A297)=0,"",INDEX('[1]Smelter Reference List'!$C$1:$C$65536,MATCH($A297,'[1]Smelter Reference List'!$E$1:$E$65536,0)))</f>
        <v>DODUCO GmbH</v>
      </c>
      <c r="D297" s="396" t="e">
        <f ca="1">IF(ISERROR('[1]Smelter List'!$S19),"",OFFSET('[1]Smelter Reference List'!$C$4,'[1]Smelter List'!$S19-4,0)&amp;"")</f>
        <v>#VALUE!</v>
      </c>
      <c r="E297" s="396" t="e">
        <f ca="1">IF(ISERROR('[1]Smelter List'!$S19),"",OFFSET('[1]Smelter Reference List'!$D$4,'[1]Smelter List'!$S19-4,0)&amp;"")</f>
        <v>#VALUE!</v>
      </c>
      <c r="F297" s="396" t="e">
        <f ca="1">IF(ISERROR('[1]Smelter List'!$S19),"",OFFSET('[1]Smelter Reference List'!$E$4,'[1]Smelter List'!$S19-4,0))</f>
        <v>#VALUE!</v>
      </c>
      <c r="G297" s="396" t="e">
        <f ca="1">IF(C297='[1]Smelter List'!$U$4,"Enter smelter details", IF(ISERROR('[1]Smelter List'!$S19),"",OFFSET('[1]Smelter Reference List'!$F$4,'[1]Smelter List'!$S19-4,0)))</f>
        <v>#VALUE!</v>
      </c>
      <c r="H297" s="398" t="e">
        <f ca="1">IF(ISERROR('[1]Smelter List'!$S19),"",OFFSET('[1]Smelter Reference List'!$G$4,'[1]Smelter List'!$S19-4,0))</f>
        <v>#VALUE!</v>
      </c>
      <c r="I297" s="399" t="e">
        <f ca="1">IF(ISERROR('[1]Smelter List'!$S19),"",OFFSET('[1]Smelter Reference List'!$H$4,'[1]Smelter List'!$S19-4,0))</f>
        <v>#VALUE!</v>
      </c>
      <c r="J297" s="399" t="e">
        <f ca="1">IF(ISERROR('[1]Smelter List'!$S19),"",OFFSET('[1]Smelter Reference List'!$I$4,'[1]Smelter List'!$S19-4,0))</f>
        <v>#VALUE!</v>
      </c>
      <c r="K297" s="402"/>
      <c r="L297" s="402"/>
      <c r="M297" s="402"/>
      <c r="N297" s="402"/>
      <c r="O297" s="402"/>
      <c r="P297" s="402"/>
      <c r="Q297" s="403"/>
      <c r="R297" s="233"/>
      <c r="S297" s="234" t="e">
        <f>IF(#REF!="",NA(),MATCH(#REF!&amp;#REF!,'Smelter Reference List'!$J:$J,0))</f>
        <v>#REF!</v>
      </c>
      <c r="T297" s="235"/>
      <c r="U297" s="235" t="e">
        <f>IF(AND(#REF!="Smelter not listed",OR(LEN(#REF!)=0,LEN(#REF!)=0)),1,0)</f>
        <v>#REF!</v>
      </c>
      <c r="V297" s="235"/>
      <c r="W297" s="235"/>
      <c r="Y297" s="228" t="e">
        <f>#REF!&amp;#REF!</f>
        <v>#REF!</v>
      </c>
    </row>
    <row r="298" spans="1:25" s="228" customFormat="1" ht="20.25">
      <c r="A298" s="257" t="s">
        <v>1258</v>
      </c>
      <c r="B298" s="396" t="str">
        <f>IF(LEN(A298)=0,"",INDEX('[1]Smelter Reference List'!$A$1:$A$65536,MATCH($A298,'[1]Smelter Reference List'!$E$1:$E$65536,0)))</f>
        <v>Gold</v>
      </c>
      <c r="C298" s="397" t="str">
        <f>IF(LEN(A298)=0,"",INDEX('[1]Smelter Reference List'!$C$1:$C$65536,MATCH($A298,'[1]Smelter Reference List'!$E$1:$E$65536,0)))</f>
        <v>Dowa</v>
      </c>
      <c r="D298" s="396" t="e">
        <f ca="1">IF(ISERROR('[1]Smelter List'!$S20),"",OFFSET('[1]Smelter Reference List'!$C$4,'[1]Smelter List'!$S20-4,0)&amp;"")</f>
        <v>#VALUE!</v>
      </c>
      <c r="E298" s="396" t="e">
        <f ca="1">IF(ISERROR('[1]Smelter List'!$S20),"",OFFSET('[1]Smelter Reference List'!$D$4,'[1]Smelter List'!$S20-4,0)&amp;"")</f>
        <v>#VALUE!</v>
      </c>
      <c r="F298" s="396" t="e">
        <f ca="1">IF(ISERROR('[1]Smelter List'!$S20),"",OFFSET('[1]Smelter Reference List'!$E$4,'[1]Smelter List'!$S20-4,0))</f>
        <v>#VALUE!</v>
      </c>
      <c r="G298" s="396" t="e">
        <f ca="1">IF(C298='[1]Smelter List'!$U$4,"Enter smelter details", IF(ISERROR('[1]Smelter List'!$S20),"",OFFSET('[1]Smelter Reference List'!$F$4,'[1]Smelter List'!$S20-4,0)))</f>
        <v>#VALUE!</v>
      </c>
      <c r="H298" s="398" t="e">
        <f ca="1">IF(ISERROR('[1]Smelter List'!$S20),"",OFFSET('[1]Smelter Reference List'!$G$4,'[1]Smelter List'!$S20-4,0))</f>
        <v>#VALUE!</v>
      </c>
      <c r="I298" s="399" t="e">
        <f ca="1">IF(ISERROR('[1]Smelter List'!$S20),"",OFFSET('[1]Smelter Reference List'!$H$4,'[1]Smelter List'!$S20-4,0))</f>
        <v>#VALUE!</v>
      </c>
      <c r="J298" s="399" t="e">
        <f ca="1">IF(ISERROR('[1]Smelter List'!$S20),"",OFFSET('[1]Smelter Reference List'!$I$4,'[1]Smelter List'!$S20-4,0))</f>
        <v>#VALUE!</v>
      </c>
      <c r="K298" s="402"/>
      <c r="L298" s="402"/>
      <c r="M298" s="402"/>
      <c r="N298" s="402"/>
      <c r="O298" s="402"/>
      <c r="P298" s="402"/>
      <c r="Q298" s="403"/>
      <c r="R298" s="233"/>
      <c r="S298" s="234" t="e">
        <f>IF(#REF!="",NA(),MATCH(#REF!&amp;#REF!,'Smelter Reference List'!$J:$J,0))</f>
        <v>#REF!</v>
      </c>
      <c r="T298" s="235"/>
      <c r="U298" s="235" t="e">
        <f>IF(AND(#REF!="Smelter not listed",OR(LEN(#REF!)=0,LEN(#REF!)=0)),1,0)</f>
        <v>#REF!</v>
      </c>
      <c r="V298" s="235"/>
      <c r="W298" s="235"/>
      <c r="Y298" s="228" t="e">
        <f>#REF!&amp;#REF!</f>
        <v>#REF!</v>
      </c>
    </row>
    <row r="299" spans="1:25" s="228" customFormat="1" ht="20.25">
      <c r="A299" s="257" t="s">
        <v>727</v>
      </c>
      <c r="B299" s="396" t="str">
        <f>IF(LEN(A299)=0,"",INDEX('[1]Smelter Reference List'!$A$1:$A$65536,MATCH($A299,'[1]Smelter Reference List'!$E$1:$E$65536,0)))</f>
        <v>Gold</v>
      </c>
      <c r="C299" s="397" t="str">
        <f>IF(LEN(A299)=0,"",INDEX('[1]Smelter Reference List'!$C$1:$C$65536,MATCH($A299,'[1]Smelter Reference List'!$E$1:$E$65536,0)))</f>
        <v>Eco-System Recycling Co., Ltd.</v>
      </c>
      <c r="D299" s="396" t="e">
        <f ca="1">IF(ISERROR('[1]Smelter List'!$S21),"",OFFSET('[1]Smelter Reference List'!$C$4,'[1]Smelter List'!$S21-4,0)&amp;"")</f>
        <v>#VALUE!</v>
      </c>
      <c r="E299" s="396" t="e">
        <f ca="1">IF(ISERROR('[1]Smelter List'!$S21),"",OFFSET('[1]Smelter Reference List'!$D$4,'[1]Smelter List'!$S21-4,0)&amp;"")</f>
        <v>#VALUE!</v>
      </c>
      <c r="F299" s="396" t="e">
        <f ca="1">IF(ISERROR('[1]Smelter List'!$S21),"",OFFSET('[1]Smelter Reference List'!$E$4,'[1]Smelter List'!$S21-4,0))</f>
        <v>#VALUE!</v>
      </c>
      <c r="G299" s="396" t="e">
        <f ca="1">IF(C299='[1]Smelter List'!$U$4,"Enter smelter details", IF(ISERROR('[1]Smelter List'!$S21),"",OFFSET('[1]Smelter Reference List'!$F$4,'[1]Smelter List'!$S21-4,0)))</f>
        <v>#VALUE!</v>
      </c>
      <c r="H299" s="398" t="e">
        <f ca="1">IF(ISERROR('[1]Smelter List'!$S21),"",OFFSET('[1]Smelter Reference List'!$G$4,'[1]Smelter List'!$S21-4,0))</f>
        <v>#VALUE!</v>
      </c>
      <c r="I299" s="399" t="e">
        <f ca="1">IF(ISERROR('[1]Smelter List'!$S21),"",OFFSET('[1]Smelter Reference List'!$H$4,'[1]Smelter List'!$S21-4,0))</f>
        <v>#VALUE!</v>
      </c>
      <c r="J299" s="399" t="e">
        <f ca="1">IF(ISERROR('[1]Smelter List'!$S21),"",OFFSET('[1]Smelter Reference List'!$I$4,'[1]Smelter List'!$S21-4,0))</f>
        <v>#VALUE!</v>
      </c>
      <c r="K299" s="402"/>
      <c r="L299" s="402"/>
      <c r="M299" s="402"/>
      <c r="N299" s="402"/>
      <c r="O299" s="402"/>
      <c r="P299" s="402"/>
      <c r="Q299" s="403"/>
      <c r="R299" s="233"/>
      <c r="S299" s="234" t="e">
        <f>IF(#REF!="",NA(),MATCH(#REF!&amp;#REF!,'Smelter Reference List'!$J:$J,0))</f>
        <v>#REF!</v>
      </c>
      <c r="T299" s="235"/>
      <c r="U299" s="235" t="e">
        <f>IF(AND(#REF!="Smelter not listed",OR(LEN(#REF!)=0,LEN(#REF!)=0)),1,0)</f>
        <v>#REF!</v>
      </c>
      <c r="V299" s="235"/>
      <c r="W299" s="235"/>
      <c r="Y299" s="228" t="e">
        <f>#REF!&amp;#REF!</f>
        <v>#REF!</v>
      </c>
    </row>
    <row r="300" spans="1:25" s="228" customFormat="1" ht="20.25">
      <c r="A300" s="257" t="s">
        <v>1259</v>
      </c>
      <c r="B300" s="396" t="str">
        <f>IF(LEN(A300)=0,"",INDEX('[1]Smelter Reference List'!$A$1:$A$65536,MATCH($A300,'[1]Smelter Reference List'!$E$1:$E$65536,0)))</f>
        <v>Gold</v>
      </c>
      <c r="C300" s="397" t="str">
        <f>IF(LEN(A300)=0,"",INDEX('[1]Smelter Reference List'!$C$1:$C$65536,MATCH($A300,'[1]Smelter Reference List'!$E$1:$E$65536,0)))</f>
        <v>OJSC Novosibirsk Refinery</v>
      </c>
      <c r="D300" s="396" t="e">
        <f ca="1">IF(ISERROR('[1]Smelter List'!$S22),"",OFFSET('[1]Smelter Reference List'!$C$4,'[1]Smelter List'!$S22-4,0)&amp;"")</f>
        <v>#VALUE!</v>
      </c>
      <c r="E300" s="396" t="e">
        <f ca="1">IF(ISERROR('[1]Smelter List'!$S22),"",OFFSET('[1]Smelter Reference List'!$D$4,'[1]Smelter List'!$S22-4,0)&amp;"")</f>
        <v>#VALUE!</v>
      </c>
      <c r="F300" s="396" t="e">
        <f ca="1">IF(ISERROR('[1]Smelter List'!$S22),"",OFFSET('[1]Smelter Reference List'!$E$4,'[1]Smelter List'!$S22-4,0))</f>
        <v>#VALUE!</v>
      </c>
      <c r="G300" s="396" t="e">
        <f ca="1">IF(C300='[1]Smelter List'!$U$4,"Enter smelter details", IF(ISERROR('[1]Smelter List'!$S22),"",OFFSET('[1]Smelter Reference List'!$F$4,'[1]Smelter List'!$S22-4,0)))</f>
        <v>#VALUE!</v>
      </c>
      <c r="H300" s="398" t="e">
        <f ca="1">IF(ISERROR('[1]Smelter List'!$S22),"",OFFSET('[1]Smelter Reference List'!$G$4,'[1]Smelter List'!$S22-4,0))</f>
        <v>#VALUE!</v>
      </c>
      <c r="I300" s="399" t="e">
        <f ca="1">IF(ISERROR('[1]Smelter List'!$S22),"",OFFSET('[1]Smelter Reference List'!$H$4,'[1]Smelter List'!$S22-4,0))</f>
        <v>#VALUE!</v>
      </c>
      <c r="J300" s="399" t="e">
        <f ca="1">IF(ISERROR('[1]Smelter List'!$S22),"",OFFSET('[1]Smelter Reference List'!$I$4,'[1]Smelter List'!$S22-4,0))</f>
        <v>#VALUE!</v>
      </c>
      <c r="K300" s="402"/>
      <c r="L300" s="402"/>
      <c r="M300" s="402"/>
      <c r="N300" s="402"/>
      <c r="O300" s="402"/>
      <c r="P300" s="402"/>
      <c r="Q300" s="403"/>
      <c r="R300" s="233"/>
      <c r="S300" s="234" t="e">
        <f>IF(#REF!="",NA(),MATCH(#REF!&amp;#REF!,'Smelter Reference List'!$J:$J,0))</f>
        <v>#REF!</v>
      </c>
      <c r="T300" s="235"/>
      <c r="U300" s="235" t="e">
        <f>IF(AND(#REF!="Smelter not listed",OR(LEN(#REF!)=0,LEN(#REF!)=0)),1,0)</f>
        <v>#REF!</v>
      </c>
      <c r="V300" s="235"/>
      <c r="W300" s="235"/>
      <c r="Y300" s="228" t="e">
        <f>#REF!&amp;#REF!</f>
        <v>#REF!</v>
      </c>
    </row>
    <row r="301" spans="1:25" s="228" customFormat="1" ht="20.25">
      <c r="A301" s="257" t="s">
        <v>1263</v>
      </c>
      <c r="B301" s="396" t="str">
        <f>IF(LEN(A301)=0,"",INDEX('[1]Smelter Reference List'!$A$1:$A$65536,MATCH($A301,'[1]Smelter Reference List'!$E$1:$E$65536,0)))</f>
        <v>Gold</v>
      </c>
      <c r="C301" s="397" t="str">
        <f>IF(LEN(A301)=0,"",INDEX('[1]Smelter Reference List'!$C$1:$C$65536,MATCH($A301,'[1]Smelter Reference List'!$E$1:$E$65536,0)))</f>
        <v>Heimerle + Meule GmbH</v>
      </c>
      <c r="D301" s="396" t="e">
        <f ca="1">IF(ISERROR('[1]Smelter List'!$S23),"",OFFSET('[1]Smelter Reference List'!$C$4,'[1]Smelter List'!$S23-4,0)&amp;"")</f>
        <v>#VALUE!</v>
      </c>
      <c r="E301" s="396" t="e">
        <f ca="1">IF(ISERROR('[1]Smelter List'!$S23),"",OFFSET('[1]Smelter Reference List'!$D$4,'[1]Smelter List'!$S23-4,0)&amp;"")</f>
        <v>#VALUE!</v>
      </c>
      <c r="F301" s="396" t="e">
        <f ca="1">IF(ISERROR('[1]Smelter List'!$S23),"",OFFSET('[1]Smelter Reference List'!$E$4,'[1]Smelter List'!$S23-4,0))</f>
        <v>#VALUE!</v>
      </c>
      <c r="G301" s="396" t="e">
        <f ca="1">IF(C301='[1]Smelter List'!$U$4,"Enter smelter details", IF(ISERROR('[1]Smelter List'!$S23),"",OFFSET('[1]Smelter Reference List'!$F$4,'[1]Smelter List'!$S23-4,0)))</f>
        <v>#VALUE!</v>
      </c>
      <c r="H301" s="398" t="e">
        <f ca="1">IF(ISERROR('[1]Smelter List'!$S23),"",OFFSET('[1]Smelter Reference List'!$G$4,'[1]Smelter List'!$S23-4,0))</f>
        <v>#VALUE!</v>
      </c>
      <c r="I301" s="399" t="e">
        <f ca="1">IF(ISERROR('[1]Smelter List'!$S23),"",OFFSET('[1]Smelter Reference List'!$H$4,'[1]Smelter List'!$S23-4,0))</f>
        <v>#VALUE!</v>
      </c>
      <c r="J301" s="399" t="e">
        <f ca="1">IF(ISERROR('[1]Smelter List'!$S23),"",OFFSET('[1]Smelter Reference List'!$I$4,'[1]Smelter List'!$S23-4,0))</f>
        <v>#VALUE!</v>
      </c>
      <c r="K301" s="402"/>
      <c r="L301" s="402"/>
      <c r="M301" s="402"/>
      <c r="N301" s="402"/>
      <c r="O301" s="402"/>
      <c r="P301" s="402"/>
      <c r="Q301" s="403"/>
      <c r="R301" s="233"/>
      <c r="S301" s="234" t="e">
        <f>IF(#REF!="",NA(),MATCH(#REF!&amp;#REF!,'Smelter Reference List'!$J:$J,0))</f>
        <v>#REF!</v>
      </c>
      <c r="T301" s="235"/>
      <c r="U301" s="235" t="e">
        <f>IF(AND(#REF!="Smelter not listed",OR(LEN(#REF!)=0,LEN(#REF!)=0)),1,0)</f>
        <v>#REF!</v>
      </c>
      <c r="V301" s="235"/>
      <c r="W301" s="235"/>
      <c r="Y301" s="228" t="e">
        <f>#REF!&amp;#REF!</f>
        <v>#REF!</v>
      </c>
    </row>
    <row r="302" spans="1:25" s="228" customFormat="1" ht="20.25">
      <c r="A302" s="257" t="s">
        <v>1264</v>
      </c>
      <c r="B302" s="396" t="str">
        <f>IF(LEN(A302)=0,"",INDEX('[1]Smelter Reference List'!$A$1:$A$65536,MATCH($A302,'[1]Smelter Reference List'!$E$1:$E$65536,0)))</f>
        <v>Gold</v>
      </c>
      <c r="C302" s="397" t="str">
        <f>IF(LEN(A302)=0,"",INDEX('[1]Smelter Reference List'!$C$1:$C$65536,MATCH($A302,'[1]Smelter Reference List'!$E$1:$E$65536,0)))</f>
        <v>Heraeus Ltd. Hong Kong</v>
      </c>
      <c r="D302" s="396" t="e">
        <f ca="1">IF(ISERROR('[1]Smelter List'!$S24),"",OFFSET('[1]Smelter Reference List'!$C$4,'[1]Smelter List'!$S24-4,0)&amp;"")</f>
        <v>#VALUE!</v>
      </c>
      <c r="E302" s="396" t="e">
        <f ca="1">IF(ISERROR('[1]Smelter List'!$S24),"",OFFSET('[1]Smelter Reference List'!$D$4,'[1]Smelter List'!$S24-4,0)&amp;"")</f>
        <v>#VALUE!</v>
      </c>
      <c r="F302" s="396" t="e">
        <f ca="1">IF(ISERROR('[1]Smelter List'!$S24),"",OFFSET('[1]Smelter Reference List'!$E$4,'[1]Smelter List'!$S24-4,0))</f>
        <v>#VALUE!</v>
      </c>
      <c r="G302" s="396" t="e">
        <f ca="1">IF(C302='[1]Smelter List'!$U$4,"Enter smelter details", IF(ISERROR('[1]Smelter List'!$S24),"",OFFSET('[1]Smelter Reference List'!$F$4,'[1]Smelter List'!$S24-4,0)))</f>
        <v>#VALUE!</v>
      </c>
      <c r="H302" s="398" t="e">
        <f ca="1">IF(ISERROR('[1]Smelter List'!$S24),"",OFFSET('[1]Smelter Reference List'!$G$4,'[1]Smelter List'!$S24-4,0))</f>
        <v>#VALUE!</v>
      </c>
      <c r="I302" s="399" t="e">
        <f ca="1">IF(ISERROR('[1]Smelter List'!$S24),"",OFFSET('[1]Smelter Reference List'!$H$4,'[1]Smelter List'!$S24-4,0))</f>
        <v>#VALUE!</v>
      </c>
      <c r="J302" s="399" t="e">
        <f ca="1">IF(ISERROR('[1]Smelter List'!$S24),"",OFFSET('[1]Smelter Reference List'!$I$4,'[1]Smelter List'!$S24-4,0))</f>
        <v>#VALUE!</v>
      </c>
      <c r="K302" s="402"/>
      <c r="L302" s="402"/>
      <c r="M302" s="402"/>
      <c r="N302" s="402"/>
      <c r="O302" s="402"/>
      <c r="P302" s="402"/>
      <c r="Q302" s="403"/>
      <c r="R302" s="233"/>
      <c r="S302" s="234" t="e">
        <f>IF(#REF!="",NA(),MATCH(#REF!&amp;#REF!,'Smelter Reference List'!$J:$J,0))</f>
        <v>#REF!</v>
      </c>
      <c r="T302" s="235"/>
      <c r="U302" s="235" t="e">
        <f>IF(AND(#REF!="Smelter not listed",OR(LEN(#REF!)=0,LEN(#REF!)=0)),1,0)</f>
        <v>#REF!</v>
      </c>
      <c r="V302" s="235"/>
      <c r="W302" s="235"/>
      <c r="Y302" s="228" t="e">
        <f>#REF!&amp;#REF!</f>
        <v>#REF!</v>
      </c>
    </row>
    <row r="303" spans="1:25" s="228" customFormat="1" ht="20.25">
      <c r="A303" s="257" t="s">
        <v>1265</v>
      </c>
      <c r="B303" s="396" t="str">
        <f>IF(LEN(A303)=0,"",INDEX('[1]Smelter Reference List'!$A$1:$A$65536,MATCH($A303,'[1]Smelter Reference List'!$E$1:$E$65536,0)))</f>
        <v>Gold</v>
      </c>
      <c r="C303" s="397" t="str">
        <f>IF(LEN(A303)=0,"",INDEX('[1]Smelter Reference List'!$C$1:$C$65536,MATCH($A303,'[1]Smelter Reference List'!$E$1:$E$65536,0)))</f>
        <v>Heraeus Precious Metals GmbH &amp; Co. KG</v>
      </c>
      <c r="D303" s="396" t="e">
        <f ca="1">IF(ISERROR('[1]Smelter List'!$S25),"",OFFSET('[1]Smelter Reference List'!$C$4,'[1]Smelter List'!$S25-4,0)&amp;"")</f>
        <v>#VALUE!</v>
      </c>
      <c r="E303" s="396" t="e">
        <f ca="1">IF(ISERROR('[1]Smelter List'!$S25),"",OFFSET('[1]Smelter Reference List'!$D$4,'[1]Smelter List'!$S25-4,0)&amp;"")</f>
        <v>#VALUE!</v>
      </c>
      <c r="F303" s="396" t="e">
        <f ca="1">IF(ISERROR('[1]Smelter List'!$S25),"",OFFSET('[1]Smelter Reference List'!$E$4,'[1]Smelter List'!$S25-4,0))</f>
        <v>#VALUE!</v>
      </c>
      <c r="G303" s="396" t="e">
        <f ca="1">IF(C303='[1]Smelter List'!$U$4,"Enter smelter details", IF(ISERROR('[1]Smelter List'!$S25),"",OFFSET('[1]Smelter Reference List'!$F$4,'[1]Smelter List'!$S25-4,0)))</f>
        <v>#VALUE!</v>
      </c>
      <c r="H303" s="398" t="e">
        <f ca="1">IF(ISERROR('[1]Smelter List'!$S25),"",OFFSET('[1]Smelter Reference List'!$G$4,'[1]Smelter List'!$S25-4,0))</f>
        <v>#VALUE!</v>
      </c>
      <c r="I303" s="399" t="e">
        <f ca="1">IF(ISERROR('[1]Smelter List'!$S25),"",OFFSET('[1]Smelter Reference List'!$H$4,'[1]Smelter List'!$S25-4,0))</f>
        <v>#VALUE!</v>
      </c>
      <c r="J303" s="399" t="e">
        <f ca="1">IF(ISERROR('[1]Smelter List'!$S25),"",OFFSET('[1]Smelter Reference List'!$I$4,'[1]Smelter List'!$S25-4,0))</f>
        <v>#VALUE!</v>
      </c>
      <c r="K303" s="402"/>
      <c r="L303" s="402"/>
      <c r="M303" s="402"/>
      <c r="N303" s="402"/>
      <c r="O303" s="402"/>
      <c r="P303" s="402"/>
      <c r="Q303" s="403"/>
      <c r="R303" s="233"/>
      <c r="S303" s="234" t="e">
        <f>IF(#REF!="",NA(),MATCH(#REF!&amp;#REF!,'Smelter Reference List'!$J:$J,0))</f>
        <v>#REF!</v>
      </c>
      <c r="T303" s="235"/>
      <c r="U303" s="235" t="e">
        <f>IF(AND(#REF!="Smelter not listed",OR(LEN(#REF!)=0,LEN(#REF!)=0)),1,0)</f>
        <v>#REF!</v>
      </c>
      <c r="V303" s="235"/>
      <c r="W303" s="235"/>
      <c r="Y303" s="228" t="e">
        <f>#REF!&amp;#REF!</f>
        <v>#REF!</v>
      </c>
    </row>
    <row r="304" spans="1:25" s="228" customFormat="1" ht="25.5">
      <c r="A304" s="257" t="s">
        <v>1268</v>
      </c>
      <c r="B304" s="396" t="str">
        <f>IF(LEN(A304)=0,"",INDEX('[1]Smelter Reference List'!$A$1:$A$65536,MATCH($A304,'[1]Smelter Reference List'!$E$1:$E$65536,0)))</f>
        <v>Gold</v>
      </c>
      <c r="C304" s="397" t="str">
        <f>IF(LEN(A304)=0,"",INDEX('[1]Smelter Reference List'!$C$1:$C$65536,MATCH($A304,'[1]Smelter Reference List'!$E$1:$E$65536,0)))</f>
        <v>Inner Mongolia Qiankun Gold and Silver Refinery Share Co., Ltd.</v>
      </c>
      <c r="D304" s="396" t="e">
        <f ca="1">IF(ISERROR('[1]Smelter List'!$S26),"",OFFSET('[1]Smelter Reference List'!$C$4,'[1]Smelter List'!$S26-4,0)&amp;"")</f>
        <v>#VALUE!</v>
      </c>
      <c r="E304" s="396" t="e">
        <f ca="1">IF(ISERROR('[1]Smelter List'!$S26),"",OFFSET('[1]Smelter Reference List'!$D$4,'[1]Smelter List'!$S26-4,0)&amp;"")</f>
        <v>#VALUE!</v>
      </c>
      <c r="F304" s="396" t="e">
        <f ca="1">IF(ISERROR('[1]Smelter List'!$S26),"",OFFSET('[1]Smelter Reference List'!$E$4,'[1]Smelter List'!$S26-4,0))</f>
        <v>#VALUE!</v>
      </c>
      <c r="G304" s="396" t="e">
        <f ca="1">IF(C304='[1]Smelter List'!$U$4,"Enter smelter details", IF(ISERROR('[1]Smelter List'!$S26),"",OFFSET('[1]Smelter Reference List'!$F$4,'[1]Smelter List'!$S26-4,0)))</f>
        <v>#VALUE!</v>
      </c>
      <c r="H304" s="398" t="e">
        <f ca="1">IF(ISERROR('[1]Smelter List'!$S26),"",OFFSET('[1]Smelter Reference List'!$G$4,'[1]Smelter List'!$S26-4,0))</f>
        <v>#VALUE!</v>
      </c>
      <c r="I304" s="399" t="e">
        <f ca="1">IF(ISERROR('[1]Smelter List'!$S26),"",OFFSET('[1]Smelter Reference List'!$H$4,'[1]Smelter List'!$S26-4,0))</f>
        <v>#VALUE!</v>
      </c>
      <c r="J304" s="399" t="e">
        <f ca="1">IF(ISERROR('[1]Smelter List'!$S26),"",OFFSET('[1]Smelter Reference List'!$I$4,'[1]Smelter List'!$S26-4,0))</f>
        <v>#VALUE!</v>
      </c>
      <c r="K304" s="402"/>
      <c r="L304" s="402"/>
      <c r="M304" s="402"/>
      <c r="N304" s="402"/>
      <c r="O304" s="402"/>
      <c r="P304" s="402"/>
      <c r="Q304" s="403"/>
      <c r="R304" s="233"/>
      <c r="S304" s="234" t="e">
        <f>IF(#REF!="",NA(),MATCH(#REF!&amp;#REF!,'Smelter Reference List'!$J:$J,0))</f>
        <v>#REF!</v>
      </c>
      <c r="T304" s="235"/>
      <c r="U304" s="235" t="e">
        <f>IF(AND(#REF!="Smelter not listed",OR(LEN(#REF!)=0,LEN(#REF!)=0)),1,0)</f>
        <v>#REF!</v>
      </c>
      <c r="V304" s="235"/>
      <c r="W304" s="235"/>
      <c r="Y304" s="228" t="e">
        <f>#REF!&amp;#REF!</f>
        <v>#REF!</v>
      </c>
    </row>
    <row r="305" spans="1:25" s="228" customFormat="1" ht="20.25">
      <c r="A305" s="257" t="s">
        <v>1269</v>
      </c>
      <c r="B305" s="396" t="str">
        <f>IF(LEN(A305)=0,"",INDEX('[1]Smelter Reference List'!$A$1:$A$65536,MATCH($A305,'[1]Smelter Reference List'!$E$1:$E$65536,0)))</f>
        <v>Gold</v>
      </c>
      <c r="C305" s="397" t="str">
        <f>IF(LEN(A305)=0,"",INDEX('[1]Smelter Reference List'!$C$1:$C$65536,MATCH($A305,'[1]Smelter Reference List'!$E$1:$E$65536,0)))</f>
        <v>Ishifuku Metal Industry Co., Ltd.</v>
      </c>
      <c r="D305" s="396" t="e">
        <f ca="1">IF(ISERROR('[1]Smelter List'!$S27),"",OFFSET('[1]Smelter Reference List'!$C$4,'[1]Smelter List'!$S27-4,0)&amp;"")</f>
        <v>#VALUE!</v>
      </c>
      <c r="E305" s="396" t="e">
        <f ca="1">IF(ISERROR('[1]Smelter List'!$S27),"",OFFSET('[1]Smelter Reference List'!$D$4,'[1]Smelter List'!$S27-4,0)&amp;"")</f>
        <v>#VALUE!</v>
      </c>
      <c r="F305" s="396" t="e">
        <f ca="1">IF(ISERROR('[1]Smelter List'!$S27),"",OFFSET('[1]Smelter Reference List'!$E$4,'[1]Smelter List'!$S27-4,0))</f>
        <v>#VALUE!</v>
      </c>
      <c r="G305" s="396" t="e">
        <f ca="1">IF(C305='[1]Smelter List'!$U$4,"Enter smelter details", IF(ISERROR('[1]Smelter List'!$S27),"",OFFSET('[1]Smelter Reference List'!$F$4,'[1]Smelter List'!$S27-4,0)))</f>
        <v>#VALUE!</v>
      </c>
      <c r="H305" s="398" t="e">
        <f ca="1">IF(ISERROR('[1]Smelter List'!$S27),"",OFFSET('[1]Smelter Reference List'!$G$4,'[1]Smelter List'!$S27-4,0))</f>
        <v>#VALUE!</v>
      </c>
      <c r="I305" s="399" t="e">
        <f ca="1">IF(ISERROR('[1]Smelter List'!$S27),"",OFFSET('[1]Smelter Reference List'!$H$4,'[1]Smelter List'!$S27-4,0))</f>
        <v>#VALUE!</v>
      </c>
      <c r="J305" s="399" t="e">
        <f ca="1">IF(ISERROR('[1]Smelter List'!$S27),"",OFFSET('[1]Smelter Reference List'!$I$4,'[1]Smelter List'!$S27-4,0))</f>
        <v>#VALUE!</v>
      </c>
      <c r="K305" s="402"/>
      <c r="L305" s="402"/>
      <c r="M305" s="402"/>
      <c r="N305" s="402"/>
      <c r="O305" s="402"/>
      <c r="P305" s="402"/>
      <c r="Q305" s="403"/>
      <c r="R305" s="233"/>
      <c r="S305" s="234" t="e">
        <f>IF(#REF!="",NA(),MATCH(#REF!&amp;#REF!,'Smelter Reference List'!$J:$J,0))</f>
        <v>#REF!</v>
      </c>
      <c r="T305" s="235"/>
      <c r="U305" s="235" t="e">
        <f>IF(AND(#REF!="Smelter not listed",OR(LEN(#REF!)=0,LEN(#REF!)=0)),1,0)</f>
        <v>#REF!</v>
      </c>
      <c r="V305" s="235"/>
      <c r="W305" s="235"/>
      <c r="Y305" s="228" t="e">
        <f>#REF!&amp;#REF!</f>
        <v>#REF!</v>
      </c>
    </row>
    <row r="306" spans="1:25" s="228" customFormat="1" ht="20.25">
      <c r="A306" s="257" t="s">
        <v>1270</v>
      </c>
      <c r="B306" s="396" t="str">
        <f>IF(LEN(A306)=0,"",INDEX('[1]Smelter Reference List'!$A$1:$A$65536,MATCH($A306,'[1]Smelter Reference List'!$E$1:$E$65536,0)))</f>
        <v>Gold</v>
      </c>
      <c r="C306" s="397" t="str">
        <f>IF(LEN(A306)=0,"",INDEX('[1]Smelter Reference List'!$C$1:$C$65536,MATCH($A306,'[1]Smelter Reference List'!$E$1:$E$65536,0)))</f>
        <v>Istanbul Gold Refinery</v>
      </c>
      <c r="D306" s="396" t="e">
        <f ca="1">IF(ISERROR('[1]Smelter List'!$S28),"",OFFSET('[1]Smelter Reference List'!$C$4,'[1]Smelter List'!$S28-4,0)&amp;"")</f>
        <v>#VALUE!</v>
      </c>
      <c r="E306" s="396" t="e">
        <f ca="1">IF(ISERROR('[1]Smelter List'!$S28),"",OFFSET('[1]Smelter Reference List'!$D$4,'[1]Smelter List'!$S28-4,0)&amp;"")</f>
        <v>#VALUE!</v>
      </c>
      <c r="F306" s="396" t="e">
        <f ca="1">IF(ISERROR('[1]Smelter List'!$S28),"",OFFSET('[1]Smelter Reference List'!$E$4,'[1]Smelter List'!$S28-4,0))</f>
        <v>#VALUE!</v>
      </c>
      <c r="G306" s="396" t="e">
        <f ca="1">IF(C306='[1]Smelter List'!$U$4,"Enter smelter details", IF(ISERROR('[1]Smelter List'!$S28),"",OFFSET('[1]Smelter Reference List'!$F$4,'[1]Smelter List'!$S28-4,0)))</f>
        <v>#VALUE!</v>
      </c>
      <c r="H306" s="398" t="e">
        <f ca="1">IF(ISERROR('[1]Smelter List'!$S28),"",OFFSET('[1]Smelter Reference List'!$G$4,'[1]Smelter List'!$S28-4,0))</f>
        <v>#VALUE!</v>
      </c>
      <c r="I306" s="399" t="e">
        <f ca="1">IF(ISERROR('[1]Smelter List'!$S28),"",OFFSET('[1]Smelter Reference List'!$H$4,'[1]Smelter List'!$S28-4,0))</f>
        <v>#VALUE!</v>
      </c>
      <c r="J306" s="399" t="e">
        <f ca="1">IF(ISERROR('[1]Smelter List'!$S28),"",OFFSET('[1]Smelter Reference List'!$I$4,'[1]Smelter List'!$S28-4,0))</f>
        <v>#VALUE!</v>
      </c>
      <c r="K306" s="402"/>
      <c r="L306" s="402"/>
      <c r="M306" s="402"/>
      <c r="N306" s="402"/>
      <c r="O306" s="402"/>
      <c r="P306" s="402"/>
      <c r="Q306" s="403"/>
      <c r="R306" s="233"/>
      <c r="S306" s="234" t="e">
        <f>IF(#REF!="",NA(),MATCH(#REF!&amp;#REF!,'Smelter Reference List'!$J:$J,0))</f>
        <v>#REF!</v>
      </c>
      <c r="T306" s="235"/>
      <c r="U306" s="235" t="e">
        <f>IF(AND(#REF!="Smelter not listed",OR(LEN(#REF!)=0,LEN(#REF!)=0)),1,0)</f>
        <v>#REF!</v>
      </c>
      <c r="V306" s="235"/>
      <c r="W306" s="235"/>
      <c r="Y306" s="228" t="e">
        <f>#REF!&amp;#REF!</f>
        <v>#REF!</v>
      </c>
    </row>
    <row r="307" spans="1:25" s="228" customFormat="1" ht="20.25">
      <c r="A307" s="257" t="s">
        <v>1271</v>
      </c>
      <c r="B307" s="396" t="str">
        <f>IF(LEN(A307)=0,"",INDEX('[1]Smelter Reference List'!$A$1:$A$65536,MATCH($A307,'[1]Smelter Reference List'!$E$1:$E$65536,0)))</f>
        <v>Gold</v>
      </c>
      <c r="C307" s="397" t="str">
        <f>IF(LEN(A307)=0,"",INDEX('[1]Smelter Reference List'!$C$1:$C$65536,MATCH($A307,'[1]Smelter Reference List'!$E$1:$E$65536,0)))</f>
        <v>Japan Mint</v>
      </c>
      <c r="D307" s="396" t="e">
        <f ca="1">IF(ISERROR('[1]Smelter List'!$S29),"",OFFSET('[1]Smelter Reference List'!$C$4,'[1]Smelter List'!$S29-4,0)&amp;"")</f>
        <v>#VALUE!</v>
      </c>
      <c r="E307" s="396" t="e">
        <f ca="1">IF(ISERROR('[1]Smelter List'!$S29),"",OFFSET('[1]Smelter Reference List'!$D$4,'[1]Smelter List'!$S29-4,0)&amp;"")</f>
        <v>#VALUE!</v>
      </c>
      <c r="F307" s="396" t="e">
        <f ca="1">IF(ISERROR('[1]Smelter List'!$S29),"",OFFSET('[1]Smelter Reference List'!$E$4,'[1]Smelter List'!$S29-4,0))</f>
        <v>#VALUE!</v>
      </c>
      <c r="G307" s="396" t="e">
        <f ca="1">IF(C307='[1]Smelter List'!$U$4,"Enter smelter details", IF(ISERROR('[1]Smelter List'!$S29),"",OFFSET('[1]Smelter Reference List'!$F$4,'[1]Smelter List'!$S29-4,0)))</f>
        <v>#VALUE!</v>
      </c>
      <c r="H307" s="398" t="e">
        <f ca="1">IF(ISERROR('[1]Smelter List'!$S29),"",OFFSET('[1]Smelter Reference List'!$G$4,'[1]Smelter List'!$S29-4,0))</f>
        <v>#VALUE!</v>
      </c>
      <c r="I307" s="399" t="e">
        <f ca="1">IF(ISERROR('[1]Smelter List'!$S29),"",OFFSET('[1]Smelter Reference List'!$H$4,'[1]Smelter List'!$S29-4,0))</f>
        <v>#VALUE!</v>
      </c>
      <c r="J307" s="399" t="e">
        <f ca="1">IF(ISERROR('[1]Smelter List'!$S29),"",OFFSET('[1]Smelter Reference List'!$I$4,'[1]Smelter List'!$S29-4,0))</f>
        <v>#VALUE!</v>
      </c>
      <c r="K307" s="402"/>
      <c r="L307" s="402"/>
      <c r="M307" s="402"/>
      <c r="N307" s="402"/>
      <c r="O307" s="402"/>
      <c r="P307" s="402"/>
      <c r="Q307" s="403"/>
      <c r="R307" s="233"/>
      <c r="S307" s="234" t="e">
        <f>IF(#REF!="",NA(),MATCH(#REF!&amp;#REF!,'Smelter Reference List'!$J:$J,0))</f>
        <v>#REF!</v>
      </c>
      <c r="T307" s="235"/>
      <c r="U307" s="235" t="e">
        <f>IF(AND(#REF!="Smelter not listed",OR(LEN(#REF!)=0,LEN(#REF!)=0)),1,0)</f>
        <v>#REF!</v>
      </c>
      <c r="V307" s="235"/>
      <c r="W307" s="235"/>
      <c r="Y307" s="228" t="e">
        <f>#REF!&amp;#REF!</f>
        <v>#REF!</v>
      </c>
    </row>
    <row r="308" spans="1:25" s="228" customFormat="1" ht="20.25">
      <c r="A308" s="257" t="s">
        <v>1272</v>
      </c>
      <c r="B308" s="396" t="str">
        <f>IF(LEN(A308)=0,"",INDEX('[1]Smelter Reference List'!$A$1:$A$65536,MATCH($A308,'[1]Smelter Reference List'!$E$1:$E$65536,0)))</f>
        <v>Gold</v>
      </c>
      <c r="C308" s="397" t="str">
        <f>IF(LEN(A308)=0,"",INDEX('[1]Smelter Reference List'!$C$1:$C$65536,MATCH($A308,'[1]Smelter Reference List'!$E$1:$E$65536,0)))</f>
        <v>Jiangxi Copper Co., Ltd.</v>
      </c>
      <c r="D308" s="396" t="e">
        <f ca="1">IF(ISERROR('[1]Smelter List'!$S30),"",OFFSET('[1]Smelter Reference List'!$C$4,'[1]Smelter List'!$S30-4,0)&amp;"")</f>
        <v>#VALUE!</v>
      </c>
      <c r="E308" s="396" t="e">
        <f ca="1">IF(ISERROR('[1]Smelter List'!$S30),"",OFFSET('[1]Smelter Reference List'!$D$4,'[1]Smelter List'!$S30-4,0)&amp;"")</f>
        <v>#VALUE!</v>
      </c>
      <c r="F308" s="396" t="e">
        <f ca="1">IF(ISERROR('[1]Smelter List'!$S30),"",OFFSET('[1]Smelter Reference List'!$E$4,'[1]Smelter List'!$S30-4,0))</f>
        <v>#VALUE!</v>
      </c>
      <c r="G308" s="396" t="e">
        <f ca="1">IF(C308='[1]Smelter List'!$U$4,"Enter smelter details", IF(ISERROR('[1]Smelter List'!$S30),"",OFFSET('[1]Smelter Reference List'!$F$4,'[1]Smelter List'!$S30-4,0)))</f>
        <v>#VALUE!</v>
      </c>
      <c r="H308" s="398" t="e">
        <f ca="1">IF(ISERROR('[1]Smelter List'!$S30),"",OFFSET('[1]Smelter Reference List'!$G$4,'[1]Smelter List'!$S30-4,0))</f>
        <v>#VALUE!</v>
      </c>
      <c r="I308" s="399" t="e">
        <f ca="1">IF(ISERROR('[1]Smelter List'!$S30),"",OFFSET('[1]Smelter Reference List'!$H$4,'[1]Smelter List'!$S30-4,0))</f>
        <v>#VALUE!</v>
      </c>
      <c r="J308" s="399" t="e">
        <f ca="1">IF(ISERROR('[1]Smelter List'!$S30),"",OFFSET('[1]Smelter Reference List'!$I$4,'[1]Smelter List'!$S30-4,0))</f>
        <v>#VALUE!</v>
      </c>
      <c r="K308" s="402"/>
      <c r="L308" s="402"/>
      <c r="M308" s="402"/>
      <c r="N308" s="402"/>
      <c r="O308" s="402"/>
      <c r="P308" s="402"/>
      <c r="Q308" s="403"/>
      <c r="R308" s="233"/>
      <c r="S308" s="234" t="e">
        <f>IF(#REF!="",NA(),MATCH(#REF!&amp;#REF!,'Smelter Reference List'!$J:$J,0))</f>
        <v>#REF!</v>
      </c>
      <c r="T308" s="235"/>
      <c r="U308" s="235" t="e">
        <f>IF(AND(#REF!="Smelter not listed",OR(LEN(#REF!)=0,LEN(#REF!)=0)),1,0)</f>
        <v>#REF!</v>
      </c>
      <c r="V308" s="235"/>
      <c r="W308" s="235"/>
      <c r="Y308" s="228" t="e">
        <f>#REF!&amp;#REF!</f>
        <v>#REF!</v>
      </c>
    </row>
    <row r="309" spans="1:25" s="228" customFormat="1" ht="20.25">
      <c r="A309" s="257" t="s">
        <v>1273</v>
      </c>
      <c r="B309" s="396" t="str">
        <f>IF(LEN(A309)=0,"",INDEX('[1]Smelter Reference List'!$A$1:$A$65536,MATCH($A309,'[1]Smelter Reference List'!$E$1:$E$65536,0)))</f>
        <v>Gold</v>
      </c>
      <c r="C309" s="397" t="str">
        <f>IF(LEN(A309)=0,"",INDEX('[1]Smelter Reference List'!$C$1:$C$65536,MATCH($A309,'[1]Smelter Reference List'!$E$1:$E$65536,0)))</f>
        <v>Asahi Refining USA Inc.</v>
      </c>
      <c r="D309" s="396" t="e">
        <f ca="1">IF(ISERROR('[1]Smelter List'!$S31),"",OFFSET('[1]Smelter Reference List'!$C$4,'[1]Smelter List'!$S31-4,0)&amp;"")</f>
        <v>#VALUE!</v>
      </c>
      <c r="E309" s="396" t="e">
        <f ca="1">IF(ISERROR('[1]Smelter List'!$S31),"",OFFSET('[1]Smelter Reference List'!$D$4,'[1]Smelter List'!$S31-4,0)&amp;"")</f>
        <v>#VALUE!</v>
      </c>
      <c r="F309" s="396" t="e">
        <f ca="1">IF(ISERROR('[1]Smelter List'!$S31),"",OFFSET('[1]Smelter Reference List'!$E$4,'[1]Smelter List'!$S31-4,0))</f>
        <v>#VALUE!</v>
      </c>
      <c r="G309" s="396" t="e">
        <f ca="1">IF(C309='[1]Smelter List'!$U$4,"Enter smelter details", IF(ISERROR('[1]Smelter List'!$S31),"",OFFSET('[1]Smelter Reference List'!$F$4,'[1]Smelter List'!$S31-4,0)))</f>
        <v>#VALUE!</v>
      </c>
      <c r="H309" s="398" t="e">
        <f ca="1">IF(ISERROR('[1]Smelter List'!$S31),"",OFFSET('[1]Smelter Reference List'!$G$4,'[1]Smelter List'!$S31-4,0))</f>
        <v>#VALUE!</v>
      </c>
      <c r="I309" s="399" t="e">
        <f ca="1">IF(ISERROR('[1]Smelter List'!$S31),"",OFFSET('[1]Smelter Reference List'!$H$4,'[1]Smelter List'!$S31-4,0))</f>
        <v>#VALUE!</v>
      </c>
      <c r="J309" s="399" t="e">
        <f ca="1">IF(ISERROR('[1]Smelter List'!$S31),"",OFFSET('[1]Smelter Reference List'!$I$4,'[1]Smelter List'!$S31-4,0))</f>
        <v>#VALUE!</v>
      </c>
      <c r="K309" s="402"/>
      <c r="L309" s="402"/>
      <c r="M309" s="402"/>
      <c r="N309" s="402"/>
      <c r="O309" s="402"/>
      <c r="P309" s="402"/>
      <c r="Q309" s="403"/>
      <c r="R309" s="233"/>
      <c r="S309" s="234" t="e">
        <f>IF(#REF!="",NA(),MATCH(#REF!&amp;#REF!,'Smelter Reference List'!$J:$J,0))</f>
        <v>#REF!</v>
      </c>
      <c r="T309" s="235"/>
      <c r="U309" s="235" t="e">
        <f>IF(AND(#REF!="Smelter not listed",OR(LEN(#REF!)=0,LEN(#REF!)=0)),1,0)</f>
        <v>#REF!</v>
      </c>
      <c r="V309" s="235"/>
      <c r="W309" s="235"/>
      <c r="Y309" s="228" t="e">
        <f>#REF!&amp;#REF!</f>
        <v>#REF!</v>
      </c>
    </row>
    <row r="310" spans="1:25" s="228" customFormat="1" ht="20.25">
      <c r="A310" s="257" t="s">
        <v>1274</v>
      </c>
      <c r="B310" s="396" t="str">
        <f>IF(LEN(A310)=0,"",INDEX('[1]Smelter Reference List'!$A$1:$A$65536,MATCH($A310,'[1]Smelter Reference List'!$E$1:$E$65536,0)))</f>
        <v>Gold</v>
      </c>
      <c r="C310" s="397" t="str">
        <f>IF(LEN(A310)=0,"",INDEX('[1]Smelter Reference List'!$C$1:$C$65536,MATCH($A310,'[1]Smelter Reference List'!$E$1:$E$65536,0)))</f>
        <v>Asahi Refining Canada Ltd.</v>
      </c>
      <c r="D310" s="396" t="e">
        <f ca="1">IF(ISERROR('[1]Smelter List'!$S32),"",OFFSET('[1]Smelter Reference List'!$C$4,'[1]Smelter List'!$S32-4,0)&amp;"")</f>
        <v>#VALUE!</v>
      </c>
      <c r="E310" s="396" t="e">
        <f ca="1">IF(ISERROR('[1]Smelter List'!$S32),"",OFFSET('[1]Smelter Reference List'!$D$4,'[1]Smelter List'!$S32-4,0)&amp;"")</f>
        <v>#VALUE!</v>
      </c>
      <c r="F310" s="396" t="e">
        <f ca="1">IF(ISERROR('[1]Smelter List'!$S32),"",OFFSET('[1]Smelter Reference List'!$E$4,'[1]Smelter List'!$S32-4,0))</f>
        <v>#VALUE!</v>
      </c>
      <c r="G310" s="396" t="e">
        <f ca="1">IF(C310='[1]Smelter List'!$U$4,"Enter smelter details", IF(ISERROR('[1]Smelter List'!$S32),"",OFFSET('[1]Smelter Reference List'!$F$4,'[1]Smelter List'!$S32-4,0)))</f>
        <v>#VALUE!</v>
      </c>
      <c r="H310" s="398" t="e">
        <f ca="1">IF(ISERROR('[1]Smelter List'!$S32),"",OFFSET('[1]Smelter Reference List'!$G$4,'[1]Smelter List'!$S32-4,0))</f>
        <v>#VALUE!</v>
      </c>
      <c r="I310" s="399" t="e">
        <f ca="1">IF(ISERROR('[1]Smelter List'!$S32),"",OFFSET('[1]Smelter Reference List'!$H$4,'[1]Smelter List'!$S32-4,0))</f>
        <v>#VALUE!</v>
      </c>
      <c r="J310" s="399" t="e">
        <f ca="1">IF(ISERROR('[1]Smelter List'!$S32),"",OFFSET('[1]Smelter Reference List'!$I$4,'[1]Smelter List'!$S32-4,0))</f>
        <v>#VALUE!</v>
      </c>
      <c r="K310" s="402"/>
      <c r="L310" s="402"/>
      <c r="M310" s="402"/>
      <c r="N310" s="402"/>
      <c r="O310" s="402"/>
      <c r="P310" s="402"/>
      <c r="Q310" s="403"/>
      <c r="R310" s="233"/>
      <c r="S310" s="234" t="e">
        <f>IF(#REF!="",NA(),MATCH(#REF!&amp;#REF!,'Smelter Reference List'!$J:$J,0))</f>
        <v>#REF!</v>
      </c>
      <c r="T310" s="235"/>
      <c r="U310" s="235" t="e">
        <f>IF(AND(#REF!="Smelter not listed",OR(LEN(#REF!)=0,LEN(#REF!)=0)),1,0)</f>
        <v>#REF!</v>
      </c>
      <c r="V310" s="235"/>
      <c r="W310" s="235"/>
      <c r="Y310" s="228" t="e">
        <f>#REF!&amp;#REF!</f>
        <v>#REF!</v>
      </c>
    </row>
    <row r="311" spans="1:25" s="228" customFormat="1" ht="25.5">
      <c r="A311" s="257" t="s">
        <v>1275</v>
      </c>
      <c r="B311" s="396" t="str">
        <f>IF(LEN(A311)=0,"",INDEX('[1]Smelter Reference List'!$A$1:$A$65536,MATCH($A311,'[1]Smelter Reference List'!$E$1:$E$65536,0)))</f>
        <v>Gold</v>
      </c>
      <c r="C311" s="397" t="str">
        <f>IF(LEN(A311)=0,"",INDEX('[1]Smelter Reference List'!$C$1:$C$65536,MATCH($A311,'[1]Smelter Reference List'!$E$1:$E$65536,0)))</f>
        <v>JSC Ekaterinburg Non-Ferrous Metal Processing Plant</v>
      </c>
      <c r="D311" s="396" t="e">
        <f ca="1">IF(ISERROR('[1]Smelter List'!$S33),"",OFFSET('[1]Smelter Reference List'!$C$4,'[1]Smelter List'!$S33-4,0)&amp;"")</f>
        <v>#VALUE!</v>
      </c>
      <c r="E311" s="396" t="e">
        <f ca="1">IF(ISERROR('[1]Smelter List'!$S33),"",OFFSET('[1]Smelter Reference List'!$D$4,'[1]Smelter List'!$S33-4,0)&amp;"")</f>
        <v>#VALUE!</v>
      </c>
      <c r="F311" s="396" t="e">
        <f ca="1">IF(ISERROR('[1]Smelter List'!$S33),"",OFFSET('[1]Smelter Reference List'!$E$4,'[1]Smelter List'!$S33-4,0))</f>
        <v>#VALUE!</v>
      </c>
      <c r="G311" s="396" t="e">
        <f ca="1">IF(C311='[1]Smelter List'!$U$4,"Enter smelter details", IF(ISERROR('[1]Smelter List'!$S33),"",OFFSET('[1]Smelter Reference List'!$F$4,'[1]Smelter List'!$S33-4,0)))</f>
        <v>#VALUE!</v>
      </c>
      <c r="H311" s="398" t="e">
        <f ca="1">IF(ISERROR('[1]Smelter List'!$S33),"",OFFSET('[1]Smelter Reference List'!$G$4,'[1]Smelter List'!$S33-4,0))</f>
        <v>#VALUE!</v>
      </c>
      <c r="I311" s="399" t="e">
        <f ca="1">IF(ISERROR('[1]Smelter List'!$S33),"",OFFSET('[1]Smelter Reference List'!$H$4,'[1]Smelter List'!$S33-4,0))</f>
        <v>#VALUE!</v>
      </c>
      <c r="J311" s="399" t="e">
        <f ca="1">IF(ISERROR('[1]Smelter List'!$S33),"",OFFSET('[1]Smelter Reference List'!$I$4,'[1]Smelter List'!$S33-4,0))</f>
        <v>#VALUE!</v>
      </c>
      <c r="K311" s="402"/>
      <c r="L311" s="402"/>
      <c r="M311" s="402"/>
      <c r="N311" s="402"/>
      <c r="O311" s="402"/>
      <c r="P311" s="402"/>
      <c r="Q311" s="403"/>
      <c r="R311" s="233"/>
      <c r="S311" s="234" t="e">
        <f>IF(#REF!="",NA(),MATCH(#REF!&amp;#REF!,'Smelter Reference List'!$J:$J,0))</f>
        <v>#REF!</v>
      </c>
      <c r="T311" s="235"/>
      <c r="U311" s="235" t="e">
        <f>IF(AND(#REF!="Smelter not listed",OR(LEN(#REF!)=0,LEN(#REF!)=0)),1,0)</f>
        <v>#REF!</v>
      </c>
      <c r="V311" s="235"/>
      <c r="W311" s="235"/>
      <c r="Y311" s="228" t="e">
        <f>#REF!&amp;#REF!</f>
        <v>#REF!</v>
      </c>
    </row>
    <row r="312" spans="1:25" s="228" customFormat="1" ht="20.25">
      <c r="A312" s="257" t="s">
        <v>1276</v>
      </c>
      <c r="B312" s="396" t="str">
        <f>IF(LEN(A312)=0,"",INDEX('[1]Smelter Reference List'!$A$1:$A$65536,MATCH($A312,'[1]Smelter Reference List'!$E$1:$E$65536,0)))</f>
        <v>Gold</v>
      </c>
      <c r="C312" s="397" t="str">
        <f>IF(LEN(A312)=0,"",INDEX('[1]Smelter Reference List'!$C$1:$C$65536,MATCH($A312,'[1]Smelter Reference List'!$E$1:$E$65536,0)))</f>
        <v>JSC Uralelectromed</v>
      </c>
      <c r="D312" s="396" t="e">
        <f ca="1">IF(ISERROR('[1]Smelter List'!$S34),"",OFFSET('[1]Smelter Reference List'!$C$4,'[1]Smelter List'!$S34-4,0)&amp;"")</f>
        <v>#VALUE!</v>
      </c>
      <c r="E312" s="396" t="e">
        <f ca="1">IF(ISERROR('[1]Smelter List'!$S34),"",OFFSET('[1]Smelter Reference List'!$D$4,'[1]Smelter List'!$S34-4,0)&amp;"")</f>
        <v>#VALUE!</v>
      </c>
      <c r="F312" s="396" t="e">
        <f ca="1">IF(ISERROR('[1]Smelter List'!$S34),"",OFFSET('[1]Smelter Reference List'!$E$4,'[1]Smelter List'!$S34-4,0))</f>
        <v>#VALUE!</v>
      </c>
      <c r="G312" s="396" t="e">
        <f ca="1">IF(C312='[1]Smelter List'!$U$4,"Enter smelter details", IF(ISERROR('[1]Smelter List'!$S34),"",OFFSET('[1]Smelter Reference List'!$F$4,'[1]Smelter List'!$S34-4,0)))</f>
        <v>#VALUE!</v>
      </c>
      <c r="H312" s="398" t="e">
        <f ca="1">IF(ISERROR('[1]Smelter List'!$S34),"",OFFSET('[1]Smelter Reference List'!$G$4,'[1]Smelter List'!$S34-4,0))</f>
        <v>#VALUE!</v>
      </c>
      <c r="I312" s="399" t="e">
        <f ca="1">IF(ISERROR('[1]Smelter List'!$S34),"",OFFSET('[1]Smelter Reference List'!$H$4,'[1]Smelter List'!$S34-4,0))</f>
        <v>#VALUE!</v>
      </c>
      <c r="J312" s="399" t="e">
        <f ca="1">IF(ISERROR('[1]Smelter List'!$S34),"",OFFSET('[1]Smelter Reference List'!$I$4,'[1]Smelter List'!$S34-4,0))</f>
        <v>#VALUE!</v>
      </c>
      <c r="K312" s="402"/>
      <c r="L312" s="402"/>
      <c r="M312" s="402"/>
      <c r="N312" s="402"/>
      <c r="O312" s="402"/>
      <c r="P312" s="402"/>
      <c r="Q312" s="403"/>
      <c r="R312" s="233"/>
      <c r="S312" s="234" t="e">
        <f>IF(#REF!="",NA(),MATCH(#REF!&amp;#REF!,'Smelter Reference List'!$J:$J,0))</f>
        <v>#REF!</v>
      </c>
      <c r="T312" s="235"/>
      <c r="U312" s="235" t="e">
        <f>IF(AND(#REF!="Smelter not listed",OR(LEN(#REF!)=0,LEN(#REF!)=0)),1,0)</f>
        <v>#REF!</v>
      </c>
      <c r="V312" s="235"/>
      <c r="W312" s="235"/>
      <c r="Y312" s="228" t="e">
        <f>#REF!&amp;#REF!</f>
        <v>#REF!</v>
      </c>
    </row>
    <row r="313" spans="1:25" s="228" customFormat="1" ht="20.25">
      <c r="A313" s="257" t="s">
        <v>1277</v>
      </c>
      <c r="B313" s="396" t="str">
        <f>IF(LEN(A313)=0,"",INDEX('[1]Smelter Reference List'!$A$1:$A$65536,MATCH($A313,'[1]Smelter Reference List'!$E$1:$E$65536,0)))</f>
        <v>Gold</v>
      </c>
      <c r="C313" s="397" t="str">
        <f>IF(LEN(A313)=0,"",INDEX('[1]Smelter Reference List'!$C$1:$C$65536,MATCH($A313,'[1]Smelter Reference List'!$E$1:$E$65536,0)))</f>
        <v>JX Nippon Mining &amp; Metals Co., Ltd.</v>
      </c>
      <c r="D313" s="396" t="e">
        <f ca="1">IF(ISERROR('[1]Smelter List'!$S35),"",OFFSET('[1]Smelter Reference List'!$C$4,'[1]Smelter List'!$S35-4,0)&amp;"")</f>
        <v>#VALUE!</v>
      </c>
      <c r="E313" s="396" t="e">
        <f ca="1">IF(ISERROR('[1]Smelter List'!$S35),"",OFFSET('[1]Smelter Reference List'!$D$4,'[1]Smelter List'!$S35-4,0)&amp;"")</f>
        <v>#VALUE!</v>
      </c>
      <c r="F313" s="396" t="e">
        <f ca="1">IF(ISERROR('[1]Smelter List'!$S35),"",OFFSET('[1]Smelter Reference List'!$E$4,'[1]Smelter List'!$S35-4,0))</f>
        <v>#VALUE!</v>
      </c>
      <c r="G313" s="396" t="e">
        <f ca="1">IF(C313='[1]Smelter List'!$U$4,"Enter smelter details", IF(ISERROR('[1]Smelter List'!$S35),"",OFFSET('[1]Smelter Reference List'!$F$4,'[1]Smelter List'!$S35-4,0)))</f>
        <v>#VALUE!</v>
      </c>
      <c r="H313" s="398" t="e">
        <f ca="1">IF(ISERROR('[1]Smelter List'!$S35),"",OFFSET('[1]Smelter Reference List'!$G$4,'[1]Smelter List'!$S35-4,0))</f>
        <v>#VALUE!</v>
      </c>
      <c r="I313" s="399" t="e">
        <f ca="1">IF(ISERROR('[1]Smelter List'!$S35),"",OFFSET('[1]Smelter Reference List'!$H$4,'[1]Smelter List'!$S35-4,0))</f>
        <v>#VALUE!</v>
      </c>
      <c r="J313" s="399" t="e">
        <f ca="1">IF(ISERROR('[1]Smelter List'!$S35),"",OFFSET('[1]Smelter Reference List'!$I$4,'[1]Smelter List'!$S35-4,0))</f>
        <v>#VALUE!</v>
      </c>
      <c r="K313" s="402"/>
      <c r="L313" s="402"/>
      <c r="M313" s="402"/>
      <c r="N313" s="402"/>
      <c r="O313" s="402"/>
      <c r="P313" s="402"/>
      <c r="Q313" s="403"/>
      <c r="R313" s="233"/>
      <c r="S313" s="234" t="e">
        <f>IF(#REF!="",NA(),MATCH(#REF!&amp;#REF!,'Smelter Reference List'!$J:$J,0))</f>
        <v>#REF!</v>
      </c>
      <c r="T313" s="235"/>
      <c r="U313" s="235" t="e">
        <f>IF(AND(#REF!="Smelter not listed",OR(LEN(#REF!)=0,LEN(#REF!)=0)),1,0)</f>
        <v>#REF!</v>
      </c>
      <c r="V313" s="235"/>
      <c r="W313" s="235"/>
      <c r="Y313" s="228" t="e">
        <f>#REF!&amp;#REF!</f>
        <v>#REF!</v>
      </c>
    </row>
    <row r="314" spans="1:25" s="228" customFormat="1" ht="20.25">
      <c r="A314" s="257" t="s">
        <v>1278</v>
      </c>
      <c r="B314" s="396" t="str">
        <f>IF(LEN(A314)=0,"",INDEX('[1]Smelter Reference List'!$A$1:$A$65536,MATCH($A314,'[1]Smelter Reference List'!$E$1:$E$65536,0)))</f>
        <v>Gold</v>
      </c>
      <c r="C314" s="397" t="str">
        <f>IF(LEN(A314)=0,"",INDEX('[1]Smelter Reference List'!$C$1:$C$65536,MATCH($A314,'[1]Smelter Reference List'!$E$1:$E$65536,0)))</f>
        <v>Kazzinc</v>
      </c>
      <c r="D314" s="396" t="e">
        <f ca="1">IF(ISERROR('[1]Smelter List'!$S36),"",OFFSET('[1]Smelter Reference List'!$C$4,'[1]Smelter List'!$S36-4,0)&amp;"")</f>
        <v>#VALUE!</v>
      </c>
      <c r="E314" s="396" t="e">
        <f ca="1">IF(ISERROR('[1]Smelter List'!$S36),"",OFFSET('[1]Smelter Reference List'!$D$4,'[1]Smelter List'!$S36-4,0)&amp;"")</f>
        <v>#VALUE!</v>
      </c>
      <c r="F314" s="396" t="e">
        <f ca="1">IF(ISERROR('[1]Smelter List'!$S36),"",OFFSET('[1]Smelter Reference List'!$E$4,'[1]Smelter List'!$S36-4,0))</f>
        <v>#VALUE!</v>
      </c>
      <c r="G314" s="396" t="e">
        <f ca="1">IF(C314='[1]Smelter List'!$U$4,"Enter smelter details", IF(ISERROR('[1]Smelter List'!$S36),"",OFFSET('[1]Smelter Reference List'!$F$4,'[1]Smelter List'!$S36-4,0)))</f>
        <v>#VALUE!</v>
      </c>
      <c r="H314" s="398" t="e">
        <f ca="1">IF(ISERROR('[1]Smelter List'!$S36),"",OFFSET('[1]Smelter Reference List'!$G$4,'[1]Smelter List'!$S36-4,0))</f>
        <v>#VALUE!</v>
      </c>
      <c r="I314" s="399" t="e">
        <f ca="1">IF(ISERROR('[1]Smelter List'!$S36),"",OFFSET('[1]Smelter Reference List'!$H$4,'[1]Smelter List'!$S36-4,0))</f>
        <v>#VALUE!</v>
      </c>
      <c r="J314" s="399" t="e">
        <f ca="1">IF(ISERROR('[1]Smelter List'!$S36),"",OFFSET('[1]Smelter Reference List'!$I$4,'[1]Smelter List'!$S36-4,0))</f>
        <v>#VALUE!</v>
      </c>
      <c r="K314" s="402"/>
      <c r="L314" s="402"/>
      <c r="M314" s="402"/>
      <c r="N314" s="402"/>
      <c r="O314" s="402"/>
      <c r="P314" s="402"/>
      <c r="Q314" s="403"/>
      <c r="R314" s="233"/>
      <c r="S314" s="234" t="e">
        <f>IF(#REF!="",NA(),MATCH(#REF!&amp;#REF!,'Smelter Reference List'!$J:$J,0))</f>
        <v>#REF!</v>
      </c>
      <c r="T314" s="235"/>
      <c r="U314" s="235" t="e">
        <f>IF(AND(#REF!="Smelter not listed",OR(LEN(#REF!)=0,LEN(#REF!)=0)),1,0)</f>
        <v>#REF!</v>
      </c>
      <c r="V314" s="235"/>
      <c r="W314" s="235"/>
      <c r="Y314" s="228" t="e">
        <f>#REF!&amp;#REF!</f>
        <v>#REF!</v>
      </c>
    </row>
    <row r="315" spans="1:25" s="228" customFormat="1" ht="20.25">
      <c r="A315" s="257" t="s">
        <v>1280</v>
      </c>
      <c r="B315" s="396" t="str">
        <f>IF(LEN(A315)=0,"",INDEX('[1]Smelter Reference List'!$A$1:$A$65536,MATCH($A315,'[1]Smelter Reference List'!$E$1:$E$65536,0)))</f>
        <v>Gold</v>
      </c>
      <c r="C315" s="397" t="str">
        <f>IF(LEN(A315)=0,"",INDEX('[1]Smelter Reference List'!$C$1:$C$65536,MATCH($A315,'[1]Smelter Reference List'!$E$1:$E$65536,0)))</f>
        <v>Kennecott Utah Copper LLC</v>
      </c>
      <c r="D315" s="396" t="e">
        <f ca="1">IF(ISERROR('[1]Smelter List'!$S37),"",OFFSET('[1]Smelter Reference List'!$C$4,'[1]Smelter List'!$S37-4,0)&amp;"")</f>
        <v>#VALUE!</v>
      </c>
      <c r="E315" s="396" t="e">
        <f ca="1">IF(ISERROR('[1]Smelter List'!$S37),"",OFFSET('[1]Smelter Reference List'!$D$4,'[1]Smelter List'!$S37-4,0)&amp;"")</f>
        <v>#VALUE!</v>
      </c>
      <c r="F315" s="396" t="e">
        <f ca="1">IF(ISERROR('[1]Smelter List'!$S37),"",OFFSET('[1]Smelter Reference List'!$E$4,'[1]Smelter List'!$S37-4,0))</f>
        <v>#VALUE!</v>
      </c>
      <c r="G315" s="396" t="e">
        <f ca="1">IF(C315='[1]Smelter List'!$U$4,"Enter smelter details", IF(ISERROR('[1]Smelter List'!$S37),"",OFFSET('[1]Smelter Reference List'!$F$4,'[1]Smelter List'!$S37-4,0)))</f>
        <v>#VALUE!</v>
      </c>
      <c r="H315" s="398" t="e">
        <f ca="1">IF(ISERROR('[1]Smelter List'!$S37),"",OFFSET('[1]Smelter Reference List'!$G$4,'[1]Smelter List'!$S37-4,0))</f>
        <v>#VALUE!</v>
      </c>
      <c r="I315" s="399" t="e">
        <f ca="1">IF(ISERROR('[1]Smelter List'!$S37),"",OFFSET('[1]Smelter Reference List'!$H$4,'[1]Smelter List'!$S37-4,0))</f>
        <v>#VALUE!</v>
      </c>
      <c r="J315" s="399" t="e">
        <f ca="1">IF(ISERROR('[1]Smelter List'!$S37),"",OFFSET('[1]Smelter Reference List'!$I$4,'[1]Smelter List'!$S37-4,0))</f>
        <v>#VALUE!</v>
      </c>
      <c r="K315" s="402"/>
      <c r="L315" s="402"/>
      <c r="M315" s="402"/>
      <c r="N315" s="402"/>
      <c r="O315" s="402"/>
      <c r="P315" s="402"/>
      <c r="Q315" s="403"/>
      <c r="R315" s="233"/>
      <c r="S315" s="234" t="e">
        <f>IF(#REF!="",NA(),MATCH(#REF!&amp;#REF!,'Smelter Reference List'!$J:$J,0))</f>
        <v>#REF!</v>
      </c>
      <c r="T315" s="235"/>
      <c r="U315" s="235" t="e">
        <f>IF(AND(#REF!="Smelter not listed",OR(LEN(#REF!)=0,LEN(#REF!)=0)),1,0)</f>
        <v>#REF!</v>
      </c>
      <c r="V315" s="235"/>
      <c r="W315" s="235"/>
      <c r="Y315" s="228" t="e">
        <f>#REF!&amp;#REF!</f>
        <v>#REF!</v>
      </c>
    </row>
    <row r="316" spans="1:25" s="228" customFormat="1" ht="20.25">
      <c r="A316" s="257" t="s">
        <v>1281</v>
      </c>
      <c r="B316" s="396" t="str">
        <f>IF(LEN(A316)=0,"",INDEX('[1]Smelter Reference List'!$A$1:$A$65536,MATCH($A316,'[1]Smelter Reference List'!$E$1:$E$65536,0)))</f>
        <v>Gold</v>
      </c>
      <c r="C316" s="397" t="str">
        <f>IF(LEN(A316)=0,"",INDEX('[1]Smelter Reference List'!$C$1:$C$65536,MATCH($A316,'[1]Smelter Reference List'!$E$1:$E$65536,0)))</f>
        <v>Kojima Chemicals Co., Ltd.</v>
      </c>
      <c r="D316" s="396" t="e">
        <f ca="1">IF(ISERROR('[1]Smelter List'!$S38),"",OFFSET('[1]Smelter Reference List'!$C$4,'[1]Smelter List'!$S38-4,0)&amp;"")</f>
        <v>#VALUE!</v>
      </c>
      <c r="E316" s="396" t="e">
        <f ca="1">IF(ISERROR('[1]Smelter List'!$S38),"",OFFSET('[1]Smelter Reference List'!$D$4,'[1]Smelter List'!$S38-4,0)&amp;"")</f>
        <v>#VALUE!</v>
      </c>
      <c r="F316" s="396" t="e">
        <f ca="1">IF(ISERROR('[1]Smelter List'!$S38),"",OFFSET('[1]Smelter Reference List'!$E$4,'[1]Smelter List'!$S38-4,0))</f>
        <v>#VALUE!</v>
      </c>
      <c r="G316" s="396" t="e">
        <f ca="1">IF(C316='[1]Smelter List'!$U$4,"Enter smelter details", IF(ISERROR('[1]Smelter List'!$S38),"",OFFSET('[1]Smelter Reference List'!$F$4,'[1]Smelter List'!$S38-4,0)))</f>
        <v>#VALUE!</v>
      </c>
      <c r="H316" s="398" t="e">
        <f ca="1">IF(ISERROR('[1]Smelter List'!$S38),"",OFFSET('[1]Smelter Reference List'!$G$4,'[1]Smelter List'!$S38-4,0))</f>
        <v>#VALUE!</v>
      </c>
      <c r="I316" s="399" t="e">
        <f ca="1">IF(ISERROR('[1]Smelter List'!$S38),"",OFFSET('[1]Smelter Reference List'!$H$4,'[1]Smelter List'!$S38-4,0))</f>
        <v>#VALUE!</v>
      </c>
      <c r="J316" s="399" t="e">
        <f ca="1">IF(ISERROR('[1]Smelter List'!$S38),"",OFFSET('[1]Smelter Reference List'!$I$4,'[1]Smelter List'!$S38-4,0))</f>
        <v>#VALUE!</v>
      </c>
      <c r="K316" s="402"/>
      <c r="L316" s="402"/>
      <c r="M316" s="402"/>
      <c r="N316" s="402"/>
      <c r="O316" s="402"/>
      <c r="P316" s="402"/>
      <c r="Q316" s="403"/>
      <c r="R316" s="233"/>
      <c r="S316" s="234" t="e">
        <f>IF(#REF!="",NA(),MATCH(#REF!&amp;#REF!,'Smelter Reference List'!$J:$J,0))</f>
        <v>#REF!</v>
      </c>
      <c r="T316" s="235"/>
      <c r="U316" s="235" t="e">
        <f>IF(AND(#REF!="Smelter not listed",OR(LEN(#REF!)=0,LEN(#REF!)=0)),1,0)</f>
        <v>#REF!</v>
      </c>
      <c r="V316" s="235"/>
      <c r="W316" s="235"/>
      <c r="Y316" s="228" t="e">
        <f>#REF!&amp;#REF!</f>
        <v>#REF!</v>
      </c>
    </row>
    <row r="317" spans="1:25" s="228" customFormat="1" ht="20.25">
      <c r="A317" s="257" t="s">
        <v>1286</v>
      </c>
      <c r="B317" s="396" t="str">
        <f>IF(LEN(A317)=0,"",INDEX('[1]Smelter Reference List'!$A$1:$A$65536,MATCH($A317,'[1]Smelter Reference List'!$E$1:$E$65536,0)))</f>
        <v>Gold</v>
      </c>
      <c r="C317" s="397" t="str">
        <f>IF(LEN(A317)=0,"",INDEX('[1]Smelter Reference List'!$C$1:$C$65536,MATCH($A317,'[1]Smelter Reference List'!$E$1:$E$65536,0)))</f>
        <v>LS-NIKKO Copper Inc.</v>
      </c>
      <c r="D317" s="396" t="e">
        <f ca="1">IF(ISERROR('[1]Smelter List'!$S39),"",OFFSET('[1]Smelter Reference List'!$C$4,'[1]Smelter List'!$S39-4,0)&amp;"")</f>
        <v>#VALUE!</v>
      </c>
      <c r="E317" s="396" t="e">
        <f ca="1">IF(ISERROR('[1]Smelter List'!$S39),"",OFFSET('[1]Smelter Reference List'!$D$4,'[1]Smelter List'!$S39-4,0)&amp;"")</f>
        <v>#VALUE!</v>
      </c>
      <c r="F317" s="396" t="e">
        <f ca="1">IF(ISERROR('[1]Smelter List'!$S39),"",OFFSET('[1]Smelter Reference List'!$E$4,'[1]Smelter List'!$S39-4,0))</f>
        <v>#VALUE!</v>
      </c>
      <c r="G317" s="396" t="e">
        <f ca="1">IF(C317='[1]Smelter List'!$U$4,"Enter smelter details", IF(ISERROR('[1]Smelter List'!$S39),"",OFFSET('[1]Smelter Reference List'!$F$4,'[1]Smelter List'!$S39-4,0)))</f>
        <v>#VALUE!</v>
      </c>
      <c r="H317" s="398" t="e">
        <f ca="1">IF(ISERROR('[1]Smelter List'!$S39),"",OFFSET('[1]Smelter Reference List'!$G$4,'[1]Smelter List'!$S39-4,0))</f>
        <v>#VALUE!</v>
      </c>
      <c r="I317" s="399" t="e">
        <f ca="1">IF(ISERROR('[1]Smelter List'!$S39),"",OFFSET('[1]Smelter Reference List'!$H$4,'[1]Smelter List'!$S39-4,0))</f>
        <v>#VALUE!</v>
      </c>
      <c r="J317" s="399" t="e">
        <f ca="1">IF(ISERROR('[1]Smelter List'!$S39),"",OFFSET('[1]Smelter Reference List'!$I$4,'[1]Smelter List'!$S39-4,0))</f>
        <v>#VALUE!</v>
      </c>
      <c r="K317" s="402"/>
      <c r="L317" s="402"/>
      <c r="M317" s="402"/>
      <c r="N317" s="402"/>
      <c r="O317" s="402"/>
      <c r="P317" s="402"/>
      <c r="Q317" s="403"/>
      <c r="R317" s="233"/>
      <c r="S317" s="234" t="e">
        <f>IF(#REF!="",NA(),MATCH(#REF!&amp;#REF!,'Smelter Reference List'!$J:$J,0))</f>
        <v>#REF!</v>
      </c>
      <c r="T317" s="235"/>
      <c r="U317" s="235" t="e">
        <f>IF(AND(#REF!="Smelter not listed",OR(LEN(#REF!)=0,LEN(#REF!)=0)),1,0)</f>
        <v>#REF!</v>
      </c>
      <c r="V317" s="235"/>
      <c r="W317" s="235"/>
      <c r="Y317" s="228" t="e">
        <f>#REF!&amp;#REF!</f>
        <v>#REF!</v>
      </c>
    </row>
    <row r="318" spans="1:25" s="228" customFormat="1" ht="20.25">
      <c r="A318" s="257" t="s">
        <v>1289</v>
      </c>
      <c r="B318" s="396" t="str">
        <f>IF(LEN(A318)=0,"",INDEX('[1]Smelter Reference List'!$A$1:$A$65536,MATCH($A318,'[1]Smelter Reference List'!$E$1:$E$65536,0)))</f>
        <v>Gold</v>
      </c>
      <c r="C318" s="397" t="str">
        <f>IF(LEN(A318)=0,"",INDEX('[1]Smelter Reference List'!$C$1:$C$65536,MATCH($A318,'[1]Smelter Reference List'!$E$1:$E$65536,0)))</f>
        <v>Materion</v>
      </c>
      <c r="D318" s="396" t="e">
        <f ca="1">IF(ISERROR('[1]Smelter List'!$S40),"",OFFSET('[1]Smelter Reference List'!$C$4,'[1]Smelter List'!$S40-4,0)&amp;"")</f>
        <v>#VALUE!</v>
      </c>
      <c r="E318" s="396" t="e">
        <f ca="1">IF(ISERROR('[1]Smelter List'!$S40),"",OFFSET('[1]Smelter Reference List'!$D$4,'[1]Smelter List'!$S40-4,0)&amp;"")</f>
        <v>#VALUE!</v>
      </c>
      <c r="F318" s="396" t="e">
        <f ca="1">IF(ISERROR('[1]Smelter List'!$S40),"",OFFSET('[1]Smelter Reference List'!$E$4,'[1]Smelter List'!$S40-4,0))</f>
        <v>#VALUE!</v>
      </c>
      <c r="G318" s="396" t="e">
        <f ca="1">IF(C318='[1]Smelter List'!$U$4,"Enter smelter details", IF(ISERROR('[1]Smelter List'!$S40),"",OFFSET('[1]Smelter Reference List'!$F$4,'[1]Smelter List'!$S40-4,0)))</f>
        <v>#VALUE!</v>
      </c>
      <c r="H318" s="398" t="e">
        <f ca="1">IF(ISERROR('[1]Smelter List'!$S40),"",OFFSET('[1]Smelter Reference List'!$G$4,'[1]Smelter List'!$S40-4,0))</f>
        <v>#VALUE!</v>
      </c>
      <c r="I318" s="399" t="e">
        <f ca="1">IF(ISERROR('[1]Smelter List'!$S40),"",OFFSET('[1]Smelter Reference List'!$H$4,'[1]Smelter List'!$S40-4,0))</f>
        <v>#VALUE!</v>
      </c>
      <c r="J318" s="399" t="e">
        <f ca="1">IF(ISERROR('[1]Smelter List'!$S40),"",OFFSET('[1]Smelter Reference List'!$I$4,'[1]Smelter List'!$S40-4,0))</f>
        <v>#VALUE!</v>
      </c>
      <c r="K318" s="402"/>
      <c r="L318" s="402"/>
      <c r="M318" s="402"/>
      <c r="N318" s="402"/>
      <c r="O318" s="402"/>
      <c r="P318" s="402"/>
      <c r="Q318" s="403"/>
      <c r="R318" s="233"/>
      <c r="S318" s="234" t="e">
        <f>IF(#REF!="",NA(),MATCH(#REF!&amp;#REF!,'Smelter Reference List'!$J:$J,0))</f>
        <v>#REF!</v>
      </c>
      <c r="T318" s="235"/>
      <c r="U318" s="235" t="e">
        <f>IF(AND(#REF!="Smelter not listed",OR(LEN(#REF!)=0,LEN(#REF!)=0)),1,0)</f>
        <v>#REF!</v>
      </c>
      <c r="V318" s="235"/>
      <c r="W318" s="235"/>
      <c r="Y318" s="228" t="e">
        <f>#REF!&amp;#REF!</f>
        <v>#REF!</v>
      </c>
    </row>
    <row r="319" spans="1:25" s="228" customFormat="1" ht="20.25">
      <c r="A319" s="257" t="s">
        <v>1290</v>
      </c>
      <c r="B319" s="396" t="str">
        <f>IF(LEN(A319)=0,"",INDEX('[1]Smelter Reference List'!$A$1:$A$65536,MATCH($A319,'[1]Smelter Reference List'!$E$1:$E$65536,0)))</f>
        <v>Gold</v>
      </c>
      <c r="C319" s="397" t="str">
        <f>IF(LEN(A319)=0,"",INDEX('[1]Smelter Reference List'!$C$1:$C$65536,MATCH($A319,'[1]Smelter Reference List'!$E$1:$E$65536,0)))</f>
        <v>Matsuda Sangyo Co., Ltd.</v>
      </c>
      <c r="D319" s="396" t="e">
        <f ca="1">IF(ISERROR('[1]Smelter List'!$S41),"",OFFSET('[1]Smelter Reference List'!$C$4,'[1]Smelter List'!$S41-4,0)&amp;"")</f>
        <v>#VALUE!</v>
      </c>
      <c r="E319" s="396" t="e">
        <f ca="1">IF(ISERROR('[1]Smelter List'!$S41),"",OFFSET('[1]Smelter Reference List'!$D$4,'[1]Smelter List'!$S41-4,0)&amp;"")</f>
        <v>#VALUE!</v>
      </c>
      <c r="F319" s="396" t="e">
        <f ca="1">IF(ISERROR('[1]Smelter List'!$S41),"",OFFSET('[1]Smelter Reference List'!$E$4,'[1]Smelter List'!$S41-4,0))</f>
        <v>#VALUE!</v>
      </c>
      <c r="G319" s="396" t="e">
        <f ca="1">IF(C319='[1]Smelter List'!$U$4,"Enter smelter details", IF(ISERROR('[1]Smelter List'!$S41),"",OFFSET('[1]Smelter Reference List'!$F$4,'[1]Smelter List'!$S41-4,0)))</f>
        <v>#VALUE!</v>
      </c>
      <c r="H319" s="398" t="e">
        <f ca="1">IF(ISERROR('[1]Smelter List'!$S41),"",OFFSET('[1]Smelter Reference List'!$G$4,'[1]Smelter List'!$S41-4,0))</f>
        <v>#VALUE!</v>
      </c>
      <c r="I319" s="399" t="e">
        <f ca="1">IF(ISERROR('[1]Smelter List'!$S41),"",OFFSET('[1]Smelter Reference List'!$H$4,'[1]Smelter List'!$S41-4,0))</f>
        <v>#VALUE!</v>
      </c>
      <c r="J319" s="399" t="e">
        <f ca="1">IF(ISERROR('[1]Smelter List'!$S41),"",OFFSET('[1]Smelter Reference List'!$I$4,'[1]Smelter List'!$S41-4,0))</f>
        <v>#VALUE!</v>
      </c>
      <c r="K319" s="402"/>
      <c r="L319" s="402"/>
      <c r="M319" s="402"/>
      <c r="N319" s="402"/>
      <c r="O319" s="402"/>
      <c r="P319" s="402"/>
      <c r="Q319" s="403"/>
      <c r="R319" s="233"/>
      <c r="S319" s="234" t="e">
        <f>IF(#REF!="",NA(),MATCH(#REF!&amp;#REF!,'Smelter Reference List'!$J:$J,0))</f>
        <v>#REF!</v>
      </c>
      <c r="T319" s="235"/>
      <c r="U319" s="235" t="e">
        <f>IF(AND(#REF!="Smelter not listed",OR(LEN(#REF!)=0,LEN(#REF!)=0)),1,0)</f>
        <v>#REF!</v>
      </c>
      <c r="V319" s="235"/>
      <c r="W319" s="235"/>
      <c r="Y319" s="228" t="e">
        <f>#REF!&amp;#REF!</f>
        <v>#REF!</v>
      </c>
    </row>
    <row r="320" spans="1:25" s="228" customFormat="1" ht="20.25">
      <c r="A320" s="257" t="s">
        <v>1291</v>
      </c>
      <c r="B320" s="396" t="str">
        <f>IF(LEN(A320)=0,"",INDEX('[1]Smelter Reference List'!$A$1:$A$65536,MATCH($A320,'[1]Smelter Reference List'!$E$1:$E$65536,0)))</f>
        <v>Gold</v>
      </c>
      <c r="C320" s="397" t="str">
        <f>IF(LEN(A320)=0,"",INDEX('[1]Smelter Reference List'!$C$1:$C$65536,MATCH($A320,'[1]Smelter Reference List'!$E$1:$E$65536,0)))</f>
        <v>Metalor Technologies (Hong Kong) Ltd.</v>
      </c>
      <c r="D320" s="396" t="e">
        <f ca="1">IF(ISERROR('[1]Smelter List'!$S42),"",OFFSET('[1]Smelter Reference List'!$C$4,'[1]Smelter List'!$S42-4,0)&amp;"")</f>
        <v>#VALUE!</v>
      </c>
      <c r="E320" s="396" t="e">
        <f ca="1">IF(ISERROR('[1]Smelter List'!$S42),"",OFFSET('[1]Smelter Reference List'!$D$4,'[1]Smelter List'!$S42-4,0)&amp;"")</f>
        <v>#VALUE!</v>
      </c>
      <c r="F320" s="396" t="e">
        <f ca="1">IF(ISERROR('[1]Smelter List'!$S42),"",OFFSET('[1]Smelter Reference List'!$E$4,'[1]Smelter List'!$S42-4,0))</f>
        <v>#VALUE!</v>
      </c>
      <c r="G320" s="396" t="e">
        <f ca="1">IF(C320='[1]Smelter List'!$U$4,"Enter smelter details", IF(ISERROR('[1]Smelter List'!$S42),"",OFFSET('[1]Smelter Reference List'!$F$4,'[1]Smelter List'!$S42-4,0)))</f>
        <v>#VALUE!</v>
      </c>
      <c r="H320" s="398" t="e">
        <f ca="1">IF(ISERROR('[1]Smelter List'!$S42),"",OFFSET('[1]Smelter Reference List'!$G$4,'[1]Smelter List'!$S42-4,0))</f>
        <v>#VALUE!</v>
      </c>
      <c r="I320" s="399" t="e">
        <f ca="1">IF(ISERROR('[1]Smelter List'!$S42),"",OFFSET('[1]Smelter Reference List'!$H$4,'[1]Smelter List'!$S42-4,0))</f>
        <v>#VALUE!</v>
      </c>
      <c r="J320" s="399" t="e">
        <f ca="1">IF(ISERROR('[1]Smelter List'!$S42),"",OFFSET('[1]Smelter Reference List'!$I$4,'[1]Smelter List'!$S42-4,0))</f>
        <v>#VALUE!</v>
      </c>
      <c r="K320" s="402"/>
      <c r="L320" s="402"/>
      <c r="M320" s="402"/>
      <c r="N320" s="402"/>
      <c r="O320" s="402"/>
      <c r="P320" s="402"/>
      <c r="Q320" s="403"/>
      <c r="R320" s="233"/>
      <c r="S320" s="234" t="e">
        <f>IF(#REF!="",NA(),MATCH(#REF!&amp;#REF!,'Smelter Reference List'!$J:$J,0))</f>
        <v>#REF!</v>
      </c>
      <c r="T320" s="235"/>
      <c r="U320" s="235" t="e">
        <f>IF(AND(#REF!="Smelter not listed",OR(LEN(#REF!)=0,LEN(#REF!)=0)),1,0)</f>
        <v>#REF!</v>
      </c>
      <c r="V320" s="235"/>
      <c r="W320" s="235"/>
      <c r="Y320" s="228" t="e">
        <f>#REF!&amp;#REF!</f>
        <v>#REF!</v>
      </c>
    </row>
    <row r="321" spans="1:25" s="228" customFormat="1" ht="20.25">
      <c r="A321" s="257" t="s">
        <v>1292</v>
      </c>
      <c r="B321" s="396" t="str">
        <f>IF(LEN(A321)=0,"",INDEX('[1]Smelter Reference List'!$A$1:$A$65536,MATCH($A321,'[1]Smelter Reference List'!$E$1:$E$65536,0)))</f>
        <v>Gold</v>
      </c>
      <c r="C321" s="397" t="str">
        <f>IF(LEN(A321)=0,"",INDEX('[1]Smelter Reference List'!$C$1:$C$65536,MATCH($A321,'[1]Smelter Reference List'!$E$1:$E$65536,0)))</f>
        <v>Metalor Technologies (Singapore) Pte., Ltd.</v>
      </c>
      <c r="D321" s="396" t="e">
        <f ca="1">IF(ISERROR('[1]Smelter List'!$S43),"",OFFSET('[1]Smelter Reference List'!$C$4,'[1]Smelter List'!$S43-4,0)&amp;"")</f>
        <v>#VALUE!</v>
      </c>
      <c r="E321" s="396" t="e">
        <f ca="1">IF(ISERROR('[1]Smelter List'!$S43),"",OFFSET('[1]Smelter Reference List'!$D$4,'[1]Smelter List'!$S43-4,0)&amp;"")</f>
        <v>#VALUE!</v>
      </c>
      <c r="F321" s="396" t="e">
        <f ca="1">IF(ISERROR('[1]Smelter List'!$S43),"",OFFSET('[1]Smelter Reference List'!$E$4,'[1]Smelter List'!$S43-4,0))</f>
        <v>#VALUE!</v>
      </c>
      <c r="G321" s="396" t="e">
        <f ca="1">IF(C321='[1]Smelter List'!$U$4,"Enter smelter details", IF(ISERROR('[1]Smelter List'!$S43),"",OFFSET('[1]Smelter Reference List'!$F$4,'[1]Smelter List'!$S43-4,0)))</f>
        <v>#VALUE!</v>
      </c>
      <c r="H321" s="398" t="e">
        <f ca="1">IF(ISERROR('[1]Smelter List'!$S43),"",OFFSET('[1]Smelter Reference List'!$G$4,'[1]Smelter List'!$S43-4,0))</f>
        <v>#VALUE!</v>
      </c>
      <c r="I321" s="399" t="e">
        <f ca="1">IF(ISERROR('[1]Smelter List'!$S43),"",OFFSET('[1]Smelter Reference List'!$H$4,'[1]Smelter List'!$S43-4,0))</f>
        <v>#VALUE!</v>
      </c>
      <c r="J321" s="399" t="e">
        <f ca="1">IF(ISERROR('[1]Smelter List'!$S43),"",OFFSET('[1]Smelter Reference List'!$I$4,'[1]Smelter List'!$S43-4,0))</f>
        <v>#VALUE!</v>
      </c>
      <c r="K321" s="402"/>
      <c r="L321" s="402"/>
      <c r="M321" s="402"/>
      <c r="N321" s="402"/>
      <c r="O321" s="402"/>
      <c r="P321" s="402"/>
      <c r="Q321" s="403"/>
      <c r="R321" s="233"/>
      <c r="S321" s="234" t="e">
        <f>IF(#REF!="",NA(),MATCH(#REF!&amp;#REF!,'Smelter Reference List'!$J:$J,0))</f>
        <v>#REF!</v>
      </c>
      <c r="T321" s="235"/>
      <c r="U321" s="235" t="e">
        <f>IF(AND(#REF!="Smelter not listed",OR(LEN(#REF!)=0,LEN(#REF!)=0)),1,0)</f>
        <v>#REF!</v>
      </c>
      <c r="V321" s="235"/>
      <c r="W321" s="235"/>
      <c r="Y321" s="228" t="e">
        <f>#REF!&amp;#REF!</f>
        <v>#REF!</v>
      </c>
    </row>
    <row r="322" spans="1:25" s="228" customFormat="1" ht="20.25">
      <c r="A322" s="257" t="s">
        <v>1293</v>
      </c>
      <c r="B322" s="396" t="str">
        <f>IF(LEN(A322)=0,"",INDEX('[1]Smelter Reference List'!$A$1:$A$65536,MATCH($A322,'[1]Smelter Reference List'!$E$1:$E$65536,0)))</f>
        <v>Gold</v>
      </c>
      <c r="C322" s="397" t="str">
        <f>IF(LEN(A322)=0,"",INDEX('[1]Smelter Reference List'!$C$1:$C$65536,MATCH($A322,'[1]Smelter Reference List'!$E$1:$E$65536,0)))</f>
        <v>Metalor Technologies S.A.</v>
      </c>
      <c r="D322" s="396" t="e">
        <f ca="1">IF(ISERROR('[1]Smelter List'!$S44),"",OFFSET('[1]Smelter Reference List'!$C$4,'[1]Smelter List'!$S44-4,0)&amp;"")</f>
        <v>#VALUE!</v>
      </c>
      <c r="E322" s="396" t="e">
        <f ca="1">IF(ISERROR('[1]Smelter List'!$S44),"",OFFSET('[1]Smelter Reference List'!$D$4,'[1]Smelter List'!$S44-4,0)&amp;"")</f>
        <v>#VALUE!</v>
      </c>
      <c r="F322" s="396" t="e">
        <f ca="1">IF(ISERROR('[1]Smelter List'!$S44),"",OFFSET('[1]Smelter Reference List'!$E$4,'[1]Smelter List'!$S44-4,0))</f>
        <v>#VALUE!</v>
      </c>
      <c r="G322" s="396" t="e">
        <f ca="1">IF(C322='[1]Smelter List'!$U$4,"Enter smelter details", IF(ISERROR('[1]Smelter List'!$S44),"",OFFSET('[1]Smelter Reference List'!$F$4,'[1]Smelter List'!$S44-4,0)))</f>
        <v>#VALUE!</v>
      </c>
      <c r="H322" s="398" t="e">
        <f ca="1">IF(ISERROR('[1]Smelter List'!$S44),"",OFFSET('[1]Smelter Reference List'!$G$4,'[1]Smelter List'!$S44-4,0))</f>
        <v>#VALUE!</v>
      </c>
      <c r="I322" s="399" t="e">
        <f ca="1">IF(ISERROR('[1]Smelter List'!$S44),"",OFFSET('[1]Smelter Reference List'!$H$4,'[1]Smelter List'!$S44-4,0))</f>
        <v>#VALUE!</v>
      </c>
      <c r="J322" s="399" t="e">
        <f ca="1">IF(ISERROR('[1]Smelter List'!$S44),"",OFFSET('[1]Smelter Reference List'!$I$4,'[1]Smelter List'!$S44-4,0))</f>
        <v>#VALUE!</v>
      </c>
      <c r="K322" s="402"/>
      <c r="L322" s="402"/>
      <c r="M322" s="402"/>
      <c r="N322" s="402"/>
      <c r="O322" s="402"/>
      <c r="P322" s="402"/>
      <c r="Q322" s="403"/>
      <c r="R322" s="233"/>
      <c r="S322" s="234" t="e">
        <f>IF(#REF!="",NA(),MATCH(#REF!&amp;#REF!,'Smelter Reference List'!$J:$J,0))</f>
        <v>#REF!</v>
      </c>
      <c r="T322" s="235"/>
      <c r="U322" s="235" t="e">
        <f>IF(AND(#REF!="Smelter not listed",OR(LEN(#REF!)=0,LEN(#REF!)=0)),1,0)</f>
        <v>#REF!</v>
      </c>
      <c r="V322" s="235"/>
      <c r="W322" s="235"/>
      <c r="Y322" s="228" t="e">
        <f>#REF!&amp;#REF!</f>
        <v>#REF!</v>
      </c>
    </row>
    <row r="323" spans="1:25" s="228" customFormat="1" ht="20.25">
      <c r="A323" s="257" t="s">
        <v>1294</v>
      </c>
      <c r="B323" s="396" t="str">
        <f>IF(LEN(A323)=0,"",INDEX('[1]Smelter Reference List'!$A$1:$A$65536,MATCH($A323,'[1]Smelter Reference List'!$E$1:$E$65536,0)))</f>
        <v>Gold</v>
      </c>
      <c r="C323" s="397" t="str">
        <f>IF(LEN(A323)=0,"",INDEX('[1]Smelter Reference List'!$C$1:$C$65536,MATCH($A323,'[1]Smelter Reference List'!$E$1:$E$65536,0)))</f>
        <v>Metalor USA Refining Corporation</v>
      </c>
      <c r="D323" s="396" t="e">
        <f ca="1">IF(ISERROR('[1]Smelter List'!$S45),"",OFFSET('[1]Smelter Reference List'!$C$4,'[1]Smelter List'!$S45-4,0)&amp;"")</f>
        <v>#VALUE!</v>
      </c>
      <c r="E323" s="396" t="e">
        <f ca="1">IF(ISERROR('[1]Smelter List'!$S45),"",OFFSET('[1]Smelter Reference List'!$D$4,'[1]Smelter List'!$S45-4,0)&amp;"")</f>
        <v>#VALUE!</v>
      </c>
      <c r="F323" s="396" t="e">
        <f ca="1">IF(ISERROR('[1]Smelter List'!$S45),"",OFFSET('[1]Smelter Reference List'!$E$4,'[1]Smelter List'!$S45-4,0))</f>
        <v>#VALUE!</v>
      </c>
      <c r="G323" s="396" t="e">
        <f ca="1">IF(C323='[1]Smelter List'!$U$4,"Enter smelter details", IF(ISERROR('[1]Smelter List'!$S45),"",OFFSET('[1]Smelter Reference List'!$F$4,'[1]Smelter List'!$S45-4,0)))</f>
        <v>#VALUE!</v>
      </c>
      <c r="H323" s="398" t="e">
        <f ca="1">IF(ISERROR('[1]Smelter List'!$S45),"",OFFSET('[1]Smelter Reference List'!$G$4,'[1]Smelter List'!$S45-4,0))</f>
        <v>#VALUE!</v>
      </c>
      <c r="I323" s="399" t="e">
        <f ca="1">IF(ISERROR('[1]Smelter List'!$S45),"",OFFSET('[1]Smelter Reference List'!$H$4,'[1]Smelter List'!$S45-4,0))</f>
        <v>#VALUE!</v>
      </c>
      <c r="J323" s="399" t="e">
        <f ca="1">IF(ISERROR('[1]Smelter List'!$S45),"",OFFSET('[1]Smelter Reference List'!$I$4,'[1]Smelter List'!$S45-4,0))</f>
        <v>#VALUE!</v>
      </c>
      <c r="K323" s="402"/>
      <c r="L323" s="402"/>
      <c r="M323" s="402"/>
      <c r="N323" s="402"/>
      <c r="O323" s="402"/>
      <c r="P323" s="402"/>
      <c r="Q323" s="403"/>
      <c r="R323" s="233"/>
      <c r="S323" s="234" t="e">
        <f>IF(#REF!="",NA(),MATCH(#REF!&amp;#REF!,'Smelter Reference List'!$J:$J,0))</f>
        <v>#REF!</v>
      </c>
      <c r="T323" s="235"/>
      <c r="U323" s="235" t="e">
        <f>IF(AND(#REF!="Smelter not listed",OR(LEN(#REF!)=0,LEN(#REF!)=0)),1,0)</f>
        <v>#REF!</v>
      </c>
      <c r="V323" s="235"/>
      <c r="W323" s="235"/>
      <c r="Y323" s="228" t="e">
        <f>#REF!&amp;#REF!</f>
        <v>#REF!</v>
      </c>
    </row>
    <row r="324" spans="1:25" s="228" customFormat="1" ht="20.25">
      <c r="A324" s="257" t="s">
        <v>1295</v>
      </c>
      <c r="B324" s="396" t="str">
        <f>IF(LEN(A324)=0,"",INDEX('[1]Smelter Reference List'!$A$1:$A$65536,MATCH($A324,'[1]Smelter Reference List'!$E$1:$E$65536,0)))</f>
        <v>Gold</v>
      </c>
      <c r="C324" s="397" t="str">
        <f>IF(LEN(A324)=0,"",INDEX('[1]Smelter Reference List'!$C$1:$C$65536,MATCH($A324,'[1]Smelter Reference List'!$E$1:$E$65536,0)))</f>
        <v>Metalúrgica Met-Mex Peñoles S.A. De C.V.</v>
      </c>
      <c r="D324" s="396" t="e">
        <f ca="1">IF(ISERROR('[1]Smelter List'!$S46),"",OFFSET('[1]Smelter Reference List'!$C$4,'[1]Smelter List'!$S46-4,0)&amp;"")</f>
        <v>#VALUE!</v>
      </c>
      <c r="E324" s="396" t="e">
        <f ca="1">IF(ISERROR('[1]Smelter List'!$S46),"",OFFSET('[1]Smelter Reference List'!$D$4,'[1]Smelter List'!$S46-4,0)&amp;"")</f>
        <v>#VALUE!</v>
      </c>
      <c r="F324" s="396" t="e">
        <f ca="1">IF(ISERROR('[1]Smelter List'!$S46),"",OFFSET('[1]Smelter Reference List'!$E$4,'[1]Smelter List'!$S46-4,0))</f>
        <v>#VALUE!</v>
      </c>
      <c r="G324" s="396" t="e">
        <f ca="1">IF(C324='[1]Smelter List'!$U$4,"Enter smelter details", IF(ISERROR('[1]Smelter List'!$S46),"",OFFSET('[1]Smelter Reference List'!$F$4,'[1]Smelter List'!$S46-4,0)))</f>
        <v>#VALUE!</v>
      </c>
      <c r="H324" s="398" t="e">
        <f ca="1">IF(ISERROR('[1]Smelter List'!$S46),"",OFFSET('[1]Smelter Reference List'!$G$4,'[1]Smelter List'!$S46-4,0))</f>
        <v>#VALUE!</v>
      </c>
      <c r="I324" s="399" t="e">
        <f ca="1">IF(ISERROR('[1]Smelter List'!$S46),"",OFFSET('[1]Smelter Reference List'!$H$4,'[1]Smelter List'!$S46-4,0))</f>
        <v>#VALUE!</v>
      </c>
      <c r="J324" s="399" t="e">
        <f ca="1">IF(ISERROR('[1]Smelter List'!$S46),"",OFFSET('[1]Smelter Reference List'!$I$4,'[1]Smelter List'!$S46-4,0))</f>
        <v>#VALUE!</v>
      </c>
      <c r="K324" s="402"/>
      <c r="L324" s="402"/>
      <c r="M324" s="402"/>
      <c r="N324" s="402"/>
      <c r="O324" s="402"/>
      <c r="P324" s="402"/>
      <c r="Q324" s="403"/>
      <c r="R324" s="233"/>
      <c r="S324" s="234" t="e">
        <f>IF(#REF!="",NA(),MATCH(#REF!&amp;#REF!,'Smelter Reference List'!$J:$J,0))</f>
        <v>#REF!</v>
      </c>
      <c r="T324" s="235"/>
      <c r="U324" s="235" t="e">
        <f>IF(AND(#REF!="Smelter not listed",OR(LEN(#REF!)=0,LEN(#REF!)=0)),1,0)</f>
        <v>#REF!</v>
      </c>
      <c r="V324" s="235"/>
      <c r="W324" s="235"/>
      <c r="Y324" s="228" t="e">
        <f>#REF!&amp;#REF!</f>
        <v>#REF!</v>
      </c>
    </row>
    <row r="325" spans="1:25" s="228" customFormat="1" ht="20.25">
      <c r="A325" s="257" t="s">
        <v>1296</v>
      </c>
      <c r="B325" s="396" t="str">
        <f>IF(LEN(A325)=0,"",INDEX('[1]Smelter Reference List'!$A$1:$A$65536,MATCH($A325,'[1]Smelter Reference List'!$E$1:$E$65536,0)))</f>
        <v>Gold</v>
      </c>
      <c r="C325" s="397" t="str">
        <f>IF(LEN(A325)=0,"",INDEX('[1]Smelter Reference List'!$C$1:$C$65536,MATCH($A325,'[1]Smelter Reference List'!$E$1:$E$65536,0)))</f>
        <v>Mitsubishi Materials Corporation</v>
      </c>
      <c r="D325" s="396" t="e">
        <f ca="1">IF(ISERROR('[1]Smelter List'!$S47),"",OFFSET('[1]Smelter Reference List'!$C$4,'[1]Smelter List'!$S47-4,0)&amp;"")</f>
        <v>#VALUE!</v>
      </c>
      <c r="E325" s="396" t="e">
        <f ca="1">IF(ISERROR('[1]Smelter List'!$S47),"",OFFSET('[1]Smelter Reference List'!$D$4,'[1]Smelter List'!$S47-4,0)&amp;"")</f>
        <v>#VALUE!</v>
      </c>
      <c r="F325" s="396" t="e">
        <f ca="1">IF(ISERROR('[1]Smelter List'!$S47),"",OFFSET('[1]Smelter Reference List'!$E$4,'[1]Smelter List'!$S47-4,0))</f>
        <v>#VALUE!</v>
      </c>
      <c r="G325" s="396" t="e">
        <f ca="1">IF(C325='[1]Smelter List'!$U$4,"Enter smelter details", IF(ISERROR('[1]Smelter List'!$S47),"",OFFSET('[1]Smelter Reference List'!$F$4,'[1]Smelter List'!$S47-4,0)))</f>
        <v>#VALUE!</v>
      </c>
      <c r="H325" s="398" t="e">
        <f ca="1">IF(ISERROR('[1]Smelter List'!$S47),"",OFFSET('[1]Smelter Reference List'!$G$4,'[1]Smelter List'!$S47-4,0))</f>
        <v>#VALUE!</v>
      </c>
      <c r="I325" s="399" t="e">
        <f ca="1">IF(ISERROR('[1]Smelter List'!$S47),"",OFFSET('[1]Smelter Reference List'!$H$4,'[1]Smelter List'!$S47-4,0))</f>
        <v>#VALUE!</v>
      </c>
      <c r="J325" s="399" t="e">
        <f ca="1">IF(ISERROR('[1]Smelter List'!$S47),"",OFFSET('[1]Smelter Reference List'!$I$4,'[1]Smelter List'!$S47-4,0))</f>
        <v>#VALUE!</v>
      </c>
      <c r="K325" s="402"/>
      <c r="L325" s="402"/>
      <c r="M325" s="402"/>
      <c r="N325" s="402"/>
      <c r="O325" s="402"/>
      <c r="P325" s="402"/>
      <c r="Q325" s="403"/>
      <c r="R325" s="233"/>
      <c r="S325" s="234" t="e">
        <f>IF(#REF!="",NA(),MATCH(#REF!&amp;#REF!,'Smelter Reference List'!$J:$J,0))</f>
        <v>#REF!</v>
      </c>
      <c r="T325" s="235"/>
      <c r="U325" s="235" t="e">
        <f>IF(AND(#REF!="Smelter not listed",OR(LEN(#REF!)=0,LEN(#REF!)=0)),1,0)</f>
        <v>#REF!</v>
      </c>
      <c r="V325" s="235"/>
      <c r="W325" s="235"/>
      <c r="Y325" s="228" t="e">
        <f>#REF!&amp;#REF!</f>
        <v>#REF!</v>
      </c>
    </row>
    <row r="326" spans="1:25" s="228" customFormat="1" ht="20.25">
      <c r="A326" s="257" t="s">
        <v>1297</v>
      </c>
      <c r="B326" s="396" t="str">
        <f>IF(LEN(A326)=0,"",INDEX('[1]Smelter Reference List'!$A$1:$A$65536,MATCH($A326,'[1]Smelter Reference List'!$E$1:$E$65536,0)))</f>
        <v>Gold</v>
      </c>
      <c r="C326" s="397" t="str">
        <f>IF(LEN(A326)=0,"",INDEX('[1]Smelter Reference List'!$C$1:$C$65536,MATCH($A326,'[1]Smelter Reference List'!$E$1:$E$65536,0)))</f>
        <v>Mitsui Mining and Smelting Co., Ltd.</v>
      </c>
      <c r="D326" s="396" t="e">
        <f ca="1">IF(ISERROR('[1]Smelter List'!$S48),"",OFFSET('[1]Smelter Reference List'!$C$4,'[1]Smelter List'!$S48-4,0)&amp;"")</f>
        <v>#VALUE!</v>
      </c>
      <c r="E326" s="396" t="e">
        <f ca="1">IF(ISERROR('[1]Smelter List'!$S48),"",OFFSET('[1]Smelter Reference List'!$D$4,'[1]Smelter List'!$S48-4,0)&amp;"")</f>
        <v>#VALUE!</v>
      </c>
      <c r="F326" s="396" t="e">
        <f ca="1">IF(ISERROR('[1]Smelter List'!$S48),"",OFFSET('[1]Smelter Reference List'!$E$4,'[1]Smelter List'!$S48-4,0))</f>
        <v>#VALUE!</v>
      </c>
      <c r="G326" s="396" t="e">
        <f ca="1">IF(C326='[1]Smelter List'!$U$4,"Enter smelter details", IF(ISERROR('[1]Smelter List'!$S48),"",OFFSET('[1]Smelter Reference List'!$F$4,'[1]Smelter List'!$S48-4,0)))</f>
        <v>#VALUE!</v>
      </c>
      <c r="H326" s="398" t="e">
        <f ca="1">IF(ISERROR('[1]Smelter List'!$S48),"",OFFSET('[1]Smelter Reference List'!$G$4,'[1]Smelter List'!$S48-4,0))</f>
        <v>#VALUE!</v>
      </c>
      <c r="I326" s="399" t="e">
        <f ca="1">IF(ISERROR('[1]Smelter List'!$S48),"",OFFSET('[1]Smelter Reference List'!$H$4,'[1]Smelter List'!$S48-4,0))</f>
        <v>#VALUE!</v>
      </c>
      <c r="J326" s="399" t="e">
        <f ca="1">IF(ISERROR('[1]Smelter List'!$S48),"",OFFSET('[1]Smelter Reference List'!$I$4,'[1]Smelter List'!$S48-4,0))</f>
        <v>#VALUE!</v>
      </c>
      <c r="K326" s="402"/>
      <c r="L326" s="402"/>
      <c r="M326" s="402"/>
      <c r="N326" s="402"/>
      <c r="O326" s="402"/>
      <c r="P326" s="402"/>
      <c r="Q326" s="403"/>
      <c r="R326" s="233"/>
      <c r="S326" s="234" t="e">
        <f>IF(#REF!="",NA(),MATCH(#REF!&amp;#REF!,'Smelter Reference List'!$J:$J,0))</f>
        <v>#REF!</v>
      </c>
      <c r="T326" s="235"/>
      <c r="U326" s="235" t="e">
        <f>IF(AND(#REF!="Smelter not listed",OR(LEN(#REF!)=0,LEN(#REF!)=0)),1,0)</f>
        <v>#REF!</v>
      </c>
      <c r="V326" s="235"/>
      <c r="W326" s="235"/>
      <c r="Y326" s="228" t="e">
        <f>#REF!&amp;#REF!</f>
        <v>#REF!</v>
      </c>
    </row>
    <row r="327" spans="1:25" s="228" customFormat="1" ht="20.25">
      <c r="A327" s="257" t="s">
        <v>1298</v>
      </c>
      <c r="B327" s="396" t="str">
        <f>IF(LEN(A327)=0,"",INDEX('[1]Smelter Reference List'!$A$1:$A$65536,MATCH($A327,'[1]Smelter Reference List'!$E$1:$E$65536,0)))</f>
        <v>Gold</v>
      </c>
      <c r="C327" s="397" t="str">
        <f>IF(LEN(A327)=0,"",INDEX('[1]Smelter Reference List'!$C$1:$C$65536,MATCH($A327,'[1]Smelter Reference List'!$E$1:$E$65536,0)))</f>
        <v>Moscow Special Alloys Processing Plant</v>
      </c>
      <c r="D327" s="396" t="e">
        <f ca="1">IF(ISERROR('[1]Smelter List'!$S49),"",OFFSET('[1]Smelter Reference List'!$C$4,'[1]Smelter List'!$S49-4,0)&amp;"")</f>
        <v>#VALUE!</v>
      </c>
      <c r="E327" s="396" t="e">
        <f ca="1">IF(ISERROR('[1]Smelter List'!$S49),"",OFFSET('[1]Smelter Reference List'!$D$4,'[1]Smelter List'!$S49-4,0)&amp;"")</f>
        <v>#VALUE!</v>
      </c>
      <c r="F327" s="396" t="e">
        <f ca="1">IF(ISERROR('[1]Smelter List'!$S49),"",OFFSET('[1]Smelter Reference List'!$E$4,'[1]Smelter List'!$S49-4,0))</f>
        <v>#VALUE!</v>
      </c>
      <c r="G327" s="396" t="e">
        <f ca="1">IF(C327='[1]Smelter List'!$U$4,"Enter smelter details", IF(ISERROR('[1]Smelter List'!$S49),"",OFFSET('[1]Smelter Reference List'!$F$4,'[1]Smelter List'!$S49-4,0)))</f>
        <v>#VALUE!</v>
      </c>
      <c r="H327" s="398" t="e">
        <f ca="1">IF(ISERROR('[1]Smelter List'!$S49),"",OFFSET('[1]Smelter Reference List'!$G$4,'[1]Smelter List'!$S49-4,0))</f>
        <v>#VALUE!</v>
      </c>
      <c r="I327" s="399" t="e">
        <f ca="1">IF(ISERROR('[1]Smelter List'!$S49),"",OFFSET('[1]Smelter Reference List'!$H$4,'[1]Smelter List'!$S49-4,0))</f>
        <v>#VALUE!</v>
      </c>
      <c r="J327" s="399" t="e">
        <f ca="1">IF(ISERROR('[1]Smelter List'!$S49),"",OFFSET('[1]Smelter Reference List'!$I$4,'[1]Smelter List'!$S49-4,0))</f>
        <v>#VALUE!</v>
      </c>
      <c r="K327" s="402"/>
      <c r="L327" s="402"/>
      <c r="M327" s="402"/>
      <c r="N327" s="402"/>
      <c r="O327" s="402"/>
      <c r="P327" s="402"/>
      <c r="Q327" s="403"/>
      <c r="R327" s="233"/>
      <c r="S327" s="234" t="e">
        <f>IF(#REF!="",NA(),MATCH(#REF!&amp;#REF!,'Smelter Reference List'!$J:$J,0))</f>
        <v>#REF!</v>
      </c>
      <c r="T327" s="235"/>
      <c r="U327" s="235" t="e">
        <f>IF(AND(#REF!="Smelter not listed",OR(LEN(#REF!)=0,LEN(#REF!)=0)),1,0)</f>
        <v>#REF!</v>
      </c>
      <c r="V327" s="235"/>
      <c r="W327" s="235"/>
      <c r="Y327" s="228" t="e">
        <f>#REF!&amp;#REF!</f>
        <v>#REF!</v>
      </c>
    </row>
    <row r="328" spans="1:25" s="228" customFormat="1" ht="20.25">
      <c r="A328" s="257" t="s">
        <v>1299</v>
      </c>
      <c r="B328" s="396" t="str">
        <f>IF(LEN(A328)=0,"",INDEX('[1]Smelter Reference List'!$A$1:$A$65536,MATCH($A328,'[1]Smelter Reference List'!$E$1:$E$65536,0)))</f>
        <v>Gold</v>
      </c>
      <c r="C328" s="397" t="str">
        <f>IF(LEN(A328)=0,"",INDEX('[1]Smelter Reference List'!$C$1:$C$65536,MATCH($A328,'[1]Smelter Reference List'!$E$1:$E$65536,0)))</f>
        <v>Nadir Metal Rafineri San. Ve Tic. A.Ş.</v>
      </c>
      <c r="D328" s="396" t="e">
        <f ca="1">IF(ISERROR('[1]Smelter List'!$S50),"",OFFSET('[1]Smelter Reference List'!$C$4,'[1]Smelter List'!$S50-4,0)&amp;"")</f>
        <v>#VALUE!</v>
      </c>
      <c r="E328" s="396" t="e">
        <f ca="1">IF(ISERROR('[1]Smelter List'!$S50),"",OFFSET('[1]Smelter Reference List'!$D$4,'[1]Smelter List'!$S50-4,0)&amp;"")</f>
        <v>#VALUE!</v>
      </c>
      <c r="F328" s="396" t="e">
        <f ca="1">IF(ISERROR('[1]Smelter List'!$S50),"",OFFSET('[1]Smelter Reference List'!$E$4,'[1]Smelter List'!$S50-4,0))</f>
        <v>#VALUE!</v>
      </c>
      <c r="G328" s="396" t="e">
        <f ca="1">IF(C328='[1]Smelter List'!$U$4,"Enter smelter details", IF(ISERROR('[1]Smelter List'!$S50),"",OFFSET('[1]Smelter Reference List'!$F$4,'[1]Smelter List'!$S50-4,0)))</f>
        <v>#VALUE!</v>
      </c>
      <c r="H328" s="398" t="e">
        <f ca="1">IF(ISERROR('[1]Smelter List'!$S50),"",OFFSET('[1]Smelter Reference List'!$G$4,'[1]Smelter List'!$S50-4,0))</f>
        <v>#VALUE!</v>
      </c>
      <c r="I328" s="399" t="e">
        <f ca="1">IF(ISERROR('[1]Smelter List'!$S50),"",OFFSET('[1]Smelter Reference List'!$H$4,'[1]Smelter List'!$S50-4,0))</f>
        <v>#VALUE!</v>
      </c>
      <c r="J328" s="399" t="e">
        <f ca="1">IF(ISERROR('[1]Smelter List'!$S50),"",OFFSET('[1]Smelter Reference List'!$I$4,'[1]Smelter List'!$S50-4,0))</f>
        <v>#VALUE!</v>
      </c>
      <c r="K328" s="402"/>
      <c r="L328" s="402"/>
      <c r="M328" s="402"/>
      <c r="N328" s="402"/>
      <c r="O328" s="402"/>
      <c r="P328" s="402"/>
      <c r="Q328" s="403"/>
      <c r="R328" s="233"/>
      <c r="S328" s="234" t="e">
        <f>IF(#REF!="",NA(),MATCH(#REF!&amp;#REF!,'Smelter Reference List'!$J:$J,0))</f>
        <v>#REF!</v>
      </c>
      <c r="T328" s="235"/>
      <c r="U328" s="235" t="e">
        <f>IF(AND(#REF!="Smelter not listed",OR(LEN(#REF!)=0,LEN(#REF!)=0)),1,0)</f>
        <v>#REF!</v>
      </c>
      <c r="V328" s="235"/>
      <c r="W328" s="235"/>
      <c r="Y328" s="228" t="e">
        <f>#REF!&amp;#REF!</f>
        <v>#REF!</v>
      </c>
    </row>
    <row r="329" spans="1:25" s="228" customFormat="1" ht="20.25">
      <c r="A329" s="257" t="s">
        <v>1301</v>
      </c>
      <c r="B329" s="396" t="str">
        <f>IF(LEN(A329)=0,"",INDEX('[1]Smelter Reference List'!$A$1:$A$65536,MATCH($A329,'[1]Smelter Reference List'!$E$1:$E$65536,0)))</f>
        <v>Gold</v>
      </c>
      <c r="C329" s="397" t="str">
        <f>IF(LEN(A329)=0,"",INDEX('[1]Smelter Reference List'!$C$1:$C$65536,MATCH($A329,'[1]Smelter Reference List'!$E$1:$E$65536,0)))</f>
        <v>Nihon Material Co., Ltd.</v>
      </c>
      <c r="D329" s="396" t="e">
        <f ca="1">IF(ISERROR('[1]Smelter List'!$S51),"",OFFSET('[1]Smelter Reference List'!$C$4,'[1]Smelter List'!$S51-4,0)&amp;"")</f>
        <v>#VALUE!</v>
      </c>
      <c r="E329" s="396" t="e">
        <f ca="1">IF(ISERROR('[1]Smelter List'!$S51),"",OFFSET('[1]Smelter Reference List'!$D$4,'[1]Smelter List'!$S51-4,0)&amp;"")</f>
        <v>#VALUE!</v>
      </c>
      <c r="F329" s="396" t="e">
        <f ca="1">IF(ISERROR('[1]Smelter List'!$S51),"",OFFSET('[1]Smelter Reference List'!$E$4,'[1]Smelter List'!$S51-4,0))</f>
        <v>#VALUE!</v>
      </c>
      <c r="G329" s="396" t="e">
        <f ca="1">IF(C329='[1]Smelter List'!$U$4,"Enter smelter details", IF(ISERROR('[1]Smelter List'!$S51),"",OFFSET('[1]Smelter Reference List'!$F$4,'[1]Smelter List'!$S51-4,0)))</f>
        <v>#VALUE!</v>
      </c>
      <c r="H329" s="398" t="e">
        <f ca="1">IF(ISERROR('[1]Smelter List'!$S51),"",OFFSET('[1]Smelter Reference List'!$G$4,'[1]Smelter List'!$S51-4,0))</f>
        <v>#VALUE!</v>
      </c>
      <c r="I329" s="399" t="e">
        <f ca="1">IF(ISERROR('[1]Smelter List'!$S51),"",OFFSET('[1]Smelter Reference List'!$H$4,'[1]Smelter List'!$S51-4,0))</f>
        <v>#VALUE!</v>
      </c>
      <c r="J329" s="399" t="e">
        <f ca="1">IF(ISERROR('[1]Smelter List'!$S51),"",OFFSET('[1]Smelter Reference List'!$I$4,'[1]Smelter List'!$S51-4,0))</f>
        <v>#VALUE!</v>
      </c>
      <c r="K329" s="402"/>
      <c r="L329" s="402"/>
      <c r="M329" s="402"/>
      <c r="N329" s="402"/>
      <c r="O329" s="402"/>
      <c r="P329" s="402"/>
      <c r="Q329" s="403"/>
      <c r="R329" s="233"/>
      <c r="S329" s="234" t="e">
        <f>IF(#REF!="",NA(),MATCH(#REF!&amp;#REF!,'Smelter Reference List'!$J:$J,0))</f>
        <v>#REF!</v>
      </c>
      <c r="T329" s="235"/>
      <c r="U329" s="235" t="e">
        <f>IF(AND(#REF!="Smelter not listed",OR(LEN(#REF!)=0,LEN(#REF!)=0)),1,0)</f>
        <v>#REF!</v>
      </c>
      <c r="V329" s="235"/>
      <c r="W329" s="235"/>
      <c r="Y329" s="228" t="e">
        <f>#REF!&amp;#REF!</f>
        <v>#REF!</v>
      </c>
    </row>
    <row r="330" spans="1:25" s="228" customFormat="1" ht="20.25">
      <c r="A330" s="257" t="s">
        <v>1302</v>
      </c>
      <c r="B330" s="396" t="str">
        <f>IF(LEN(A330)=0,"",INDEX('[1]Smelter Reference List'!$A$1:$A$65536,MATCH($A330,'[1]Smelter Reference List'!$E$1:$E$65536,0)))</f>
        <v>Gold</v>
      </c>
      <c r="C330" s="397" t="str">
        <f>IF(LEN(A330)=0,"",INDEX('[1]Smelter Reference List'!$C$1:$C$65536,MATCH($A330,'[1]Smelter Reference List'!$E$1:$E$65536,0)))</f>
        <v>Elemetal Refining, LLC</v>
      </c>
      <c r="D330" s="396" t="e">
        <f ca="1">IF(ISERROR('[1]Smelter List'!$S52),"",OFFSET('[1]Smelter Reference List'!$C$4,'[1]Smelter List'!$S52-4,0)&amp;"")</f>
        <v>#VALUE!</v>
      </c>
      <c r="E330" s="396" t="e">
        <f ca="1">IF(ISERROR('[1]Smelter List'!$S52),"",OFFSET('[1]Smelter Reference List'!$D$4,'[1]Smelter List'!$S52-4,0)&amp;"")</f>
        <v>#VALUE!</v>
      </c>
      <c r="F330" s="396" t="e">
        <f ca="1">IF(ISERROR('[1]Smelter List'!$S52),"",OFFSET('[1]Smelter Reference List'!$E$4,'[1]Smelter List'!$S52-4,0))</f>
        <v>#VALUE!</v>
      </c>
      <c r="G330" s="396" t="e">
        <f ca="1">IF(C330='[1]Smelter List'!$U$4,"Enter smelter details", IF(ISERROR('[1]Smelter List'!$S52),"",OFFSET('[1]Smelter Reference List'!$F$4,'[1]Smelter List'!$S52-4,0)))</f>
        <v>#VALUE!</v>
      </c>
      <c r="H330" s="398" t="e">
        <f ca="1">IF(ISERROR('[1]Smelter List'!$S52),"",OFFSET('[1]Smelter Reference List'!$G$4,'[1]Smelter List'!$S52-4,0))</f>
        <v>#VALUE!</v>
      </c>
      <c r="I330" s="399" t="e">
        <f ca="1">IF(ISERROR('[1]Smelter List'!$S52),"",OFFSET('[1]Smelter Reference List'!$H$4,'[1]Smelter List'!$S52-4,0))</f>
        <v>#VALUE!</v>
      </c>
      <c r="J330" s="399" t="e">
        <f ca="1">IF(ISERROR('[1]Smelter List'!$S52),"",OFFSET('[1]Smelter Reference List'!$I$4,'[1]Smelter List'!$S52-4,0))</f>
        <v>#VALUE!</v>
      </c>
      <c r="K330" s="402"/>
      <c r="L330" s="402"/>
      <c r="M330" s="402"/>
      <c r="N330" s="402"/>
      <c r="O330" s="402"/>
      <c r="P330" s="402"/>
      <c r="Q330" s="403"/>
      <c r="R330" s="233"/>
      <c r="S330" s="234" t="e">
        <f>IF(#REF!="",NA(),MATCH(#REF!&amp;#REF!,'Smelter Reference List'!$J:$J,0))</f>
        <v>#REF!</v>
      </c>
      <c r="T330" s="235"/>
      <c r="U330" s="235" t="e">
        <f>IF(AND(#REF!="Smelter not listed",OR(LEN(#REF!)=0,LEN(#REF!)=0)),1,0)</f>
        <v>#REF!</v>
      </c>
      <c r="V330" s="235"/>
      <c r="W330" s="235"/>
      <c r="Y330" s="228" t="e">
        <f>#REF!&amp;#REF!</f>
        <v>#REF!</v>
      </c>
    </row>
    <row r="331" spans="1:25" s="228" customFormat="1" ht="20.25">
      <c r="A331" s="257" t="s">
        <v>1303</v>
      </c>
      <c r="B331" s="396" t="str">
        <f>IF(LEN(A331)=0,"",INDEX('[1]Smelter Reference List'!$A$1:$A$65536,MATCH($A331,'[1]Smelter Reference List'!$E$1:$E$65536,0)))</f>
        <v>Gold</v>
      </c>
      <c r="C331" s="397" t="str">
        <f>IF(LEN(A331)=0,"",INDEX('[1]Smelter Reference List'!$C$1:$C$65536,MATCH($A331,'[1]Smelter Reference List'!$E$1:$E$65536,0)))</f>
        <v>Ohura Precious Metal Industry Co., Ltd.</v>
      </c>
      <c r="D331" s="396" t="e">
        <f ca="1">IF(ISERROR('[1]Smelter List'!$S53),"",OFFSET('[1]Smelter Reference List'!$C$4,'[1]Smelter List'!$S53-4,0)&amp;"")</f>
        <v>#VALUE!</v>
      </c>
      <c r="E331" s="396" t="e">
        <f ca="1">IF(ISERROR('[1]Smelter List'!$S53),"",OFFSET('[1]Smelter Reference List'!$D$4,'[1]Smelter List'!$S53-4,0)&amp;"")</f>
        <v>#VALUE!</v>
      </c>
      <c r="F331" s="396" t="e">
        <f ca="1">IF(ISERROR('[1]Smelter List'!$S53),"",OFFSET('[1]Smelter Reference List'!$E$4,'[1]Smelter List'!$S53-4,0))</f>
        <v>#VALUE!</v>
      </c>
      <c r="G331" s="396" t="e">
        <f ca="1">IF(C331='[1]Smelter List'!$U$4,"Enter smelter details", IF(ISERROR('[1]Smelter List'!$S53),"",OFFSET('[1]Smelter Reference List'!$F$4,'[1]Smelter List'!$S53-4,0)))</f>
        <v>#VALUE!</v>
      </c>
      <c r="H331" s="398" t="e">
        <f ca="1">IF(ISERROR('[1]Smelter List'!$S53),"",OFFSET('[1]Smelter Reference List'!$G$4,'[1]Smelter List'!$S53-4,0))</f>
        <v>#VALUE!</v>
      </c>
      <c r="I331" s="399" t="e">
        <f ca="1">IF(ISERROR('[1]Smelter List'!$S53),"",OFFSET('[1]Smelter Reference List'!$H$4,'[1]Smelter List'!$S53-4,0))</f>
        <v>#VALUE!</v>
      </c>
      <c r="J331" s="399" t="e">
        <f ca="1">IF(ISERROR('[1]Smelter List'!$S53),"",OFFSET('[1]Smelter Reference List'!$I$4,'[1]Smelter List'!$S53-4,0))</f>
        <v>#VALUE!</v>
      </c>
      <c r="K331" s="402"/>
      <c r="L331" s="402"/>
      <c r="M331" s="402"/>
      <c r="N331" s="402"/>
      <c r="O331" s="402"/>
      <c r="P331" s="402"/>
      <c r="Q331" s="403"/>
      <c r="R331" s="233"/>
      <c r="S331" s="234" t="e">
        <f>IF(#REF!="",NA(),MATCH(#REF!&amp;#REF!,'Smelter Reference List'!$J:$J,0))</f>
        <v>#REF!</v>
      </c>
      <c r="T331" s="235"/>
      <c r="U331" s="235" t="e">
        <f>IF(AND(#REF!="Smelter not listed",OR(LEN(#REF!)=0,LEN(#REF!)=0)),1,0)</f>
        <v>#REF!</v>
      </c>
      <c r="V331" s="235"/>
      <c r="W331" s="235"/>
      <c r="Y331" s="228" t="e">
        <f>#REF!&amp;#REF!</f>
        <v>#REF!</v>
      </c>
    </row>
    <row r="332" spans="1:25" s="228" customFormat="1" ht="25.5">
      <c r="A332" s="257" t="s">
        <v>1304</v>
      </c>
      <c r="B332" s="396" t="str">
        <f>IF(LEN(A332)=0,"",INDEX('[1]Smelter Reference List'!$A$1:$A$65536,MATCH($A332,'[1]Smelter Reference List'!$E$1:$E$65536,0)))</f>
        <v>Gold</v>
      </c>
      <c r="C332" s="397" t="str">
        <f>IF(LEN(A332)=0,"",INDEX('[1]Smelter Reference List'!$C$1:$C$65536,MATCH($A332,'[1]Smelter Reference List'!$E$1:$E$65536,0)))</f>
        <v>OJSC "The Gulidov Krasnoyarsk Non-Ferrous Metals Plant" (OJSC Krastsvetmet)</v>
      </c>
      <c r="D332" s="396" t="e">
        <f ca="1">IF(ISERROR('[1]Smelter List'!$S54),"",OFFSET('[1]Smelter Reference List'!$C$4,'[1]Smelter List'!$S54-4,0)&amp;"")</f>
        <v>#VALUE!</v>
      </c>
      <c r="E332" s="396" t="e">
        <f ca="1">IF(ISERROR('[1]Smelter List'!$S54),"",OFFSET('[1]Smelter Reference List'!$D$4,'[1]Smelter List'!$S54-4,0)&amp;"")</f>
        <v>#VALUE!</v>
      </c>
      <c r="F332" s="396" t="e">
        <f ca="1">IF(ISERROR('[1]Smelter List'!$S54),"",OFFSET('[1]Smelter Reference List'!$E$4,'[1]Smelter List'!$S54-4,0))</f>
        <v>#VALUE!</v>
      </c>
      <c r="G332" s="396" t="e">
        <f ca="1">IF(C332='[1]Smelter List'!$U$4,"Enter smelter details", IF(ISERROR('[1]Smelter List'!$S54),"",OFFSET('[1]Smelter Reference List'!$F$4,'[1]Smelter List'!$S54-4,0)))</f>
        <v>#VALUE!</v>
      </c>
      <c r="H332" s="398" t="e">
        <f ca="1">IF(ISERROR('[1]Smelter List'!$S54),"",OFFSET('[1]Smelter Reference List'!$G$4,'[1]Smelter List'!$S54-4,0))</f>
        <v>#VALUE!</v>
      </c>
      <c r="I332" s="399" t="e">
        <f ca="1">IF(ISERROR('[1]Smelter List'!$S54),"",OFFSET('[1]Smelter Reference List'!$H$4,'[1]Smelter List'!$S54-4,0))</f>
        <v>#VALUE!</v>
      </c>
      <c r="J332" s="399" t="e">
        <f ca="1">IF(ISERROR('[1]Smelter List'!$S54),"",OFFSET('[1]Smelter Reference List'!$I$4,'[1]Smelter List'!$S54-4,0))</f>
        <v>#VALUE!</v>
      </c>
      <c r="K332" s="402"/>
      <c r="L332" s="402"/>
      <c r="M332" s="402"/>
      <c r="N332" s="402"/>
      <c r="O332" s="402"/>
      <c r="P332" s="402"/>
      <c r="Q332" s="403"/>
      <c r="R332" s="233"/>
      <c r="S332" s="234" t="e">
        <f>IF(#REF!="",NA(),MATCH(#REF!&amp;#REF!,'Smelter Reference List'!$J:$J,0))</f>
        <v>#REF!</v>
      </c>
      <c r="T332" s="235"/>
      <c r="U332" s="235" t="e">
        <f>IF(AND(#REF!="Smelter not listed",OR(LEN(#REF!)=0,LEN(#REF!)=0)),1,0)</f>
        <v>#REF!</v>
      </c>
      <c r="V332" s="235"/>
      <c r="W332" s="235"/>
      <c r="Y332" s="228" t="e">
        <f>#REF!&amp;#REF!</f>
        <v>#REF!</v>
      </c>
    </row>
    <row r="333" spans="1:25" s="228" customFormat="1" ht="20.25">
      <c r="A333" s="257" t="s">
        <v>1305</v>
      </c>
      <c r="B333" s="396" t="str">
        <f>IF(LEN(A333)=0,"",INDEX('[1]Smelter Reference List'!$A$1:$A$65536,MATCH($A333,'[1]Smelter Reference List'!$E$1:$E$65536,0)))</f>
        <v>Gold</v>
      </c>
      <c r="C333" s="397" t="str">
        <f>IF(LEN(A333)=0,"",INDEX('[1]Smelter Reference List'!$C$1:$C$65536,MATCH($A333,'[1]Smelter Reference List'!$E$1:$E$65536,0)))</f>
        <v>PAMP S.A.</v>
      </c>
      <c r="D333" s="396" t="e">
        <f ca="1">IF(ISERROR('[1]Smelter List'!$S55),"",OFFSET('[1]Smelter Reference List'!$C$4,'[1]Smelter List'!$S55-4,0)&amp;"")</f>
        <v>#VALUE!</v>
      </c>
      <c r="E333" s="396" t="e">
        <f ca="1">IF(ISERROR('[1]Smelter List'!$S55),"",OFFSET('[1]Smelter Reference List'!$D$4,'[1]Smelter List'!$S55-4,0)&amp;"")</f>
        <v>#VALUE!</v>
      </c>
      <c r="F333" s="396" t="e">
        <f ca="1">IF(ISERROR('[1]Smelter List'!$S55),"",OFFSET('[1]Smelter Reference List'!$E$4,'[1]Smelter List'!$S55-4,0))</f>
        <v>#VALUE!</v>
      </c>
      <c r="G333" s="396" t="e">
        <f ca="1">IF(C333='[1]Smelter List'!$U$4,"Enter smelter details", IF(ISERROR('[1]Smelter List'!$S55),"",OFFSET('[1]Smelter Reference List'!$F$4,'[1]Smelter List'!$S55-4,0)))</f>
        <v>#VALUE!</v>
      </c>
      <c r="H333" s="398" t="e">
        <f ca="1">IF(ISERROR('[1]Smelter List'!$S55),"",OFFSET('[1]Smelter Reference List'!$G$4,'[1]Smelter List'!$S55-4,0))</f>
        <v>#VALUE!</v>
      </c>
      <c r="I333" s="399" t="e">
        <f ca="1">IF(ISERROR('[1]Smelter List'!$S55),"",OFFSET('[1]Smelter Reference List'!$H$4,'[1]Smelter List'!$S55-4,0))</f>
        <v>#VALUE!</v>
      </c>
      <c r="J333" s="399" t="e">
        <f ca="1">IF(ISERROR('[1]Smelter List'!$S55),"",OFFSET('[1]Smelter Reference List'!$I$4,'[1]Smelter List'!$S55-4,0))</f>
        <v>#VALUE!</v>
      </c>
      <c r="K333" s="402"/>
      <c r="L333" s="402"/>
      <c r="M333" s="402"/>
      <c r="N333" s="402"/>
      <c r="O333" s="402"/>
      <c r="P333" s="402"/>
      <c r="Q333" s="403"/>
      <c r="R333" s="233"/>
      <c r="S333" s="234" t="e">
        <f>IF(#REF!="",NA(),MATCH(#REF!&amp;#REF!,'Smelter Reference List'!$J:$J,0))</f>
        <v>#REF!</v>
      </c>
      <c r="T333" s="235"/>
      <c r="U333" s="235" t="e">
        <f>IF(AND(#REF!="Smelter not listed",OR(LEN(#REF!)=0,LEN(#REF!)=0)),1,0)</f>
        <v>#REF!</v>
      </c>
      <c r="V333" s="235"/>
      <c r="W333" s="235"/>
      <c r="Y333" s="228" t="e">
        <f>#REF!&amp;#REF!</f>
        <v>#REF!</v>
      </c>
    </row>
    <row r="334" spans="1:25" s="228" customFormat="1" ht="20.25">
      <c r="A334" s="257" t="s">
        <v>1307</v>
      </c>
      <c r="B334" s="396" t="str">
        <f>IF(LEN(A334)=0,"",INDEX('[1]Smelter Reference List'!$A$1:$A$65536,MATCH($A334,'[1]Smelter Reference List'!$E$1:$E$65536,0)))</f>
        <v>Gold</v>
      </c>
      <c r="C334" s="397" t="str">
        <f>IF(LEN(A334)=0,"",INDEX('[1]Smelter Reference List'!$C$1:$C$65536,MATCH($A334,'[1]Smelter Reference List'!$E$1:$E$65536,0)))</f>
        <v>Prioksky Plant of Non-Ferrous Metals</v>
      </c>
      <c r="D334" s="396" t="e">
        <f ca="1">IF(ISERROR('[1]Smelter List'!$S56),"",OFFSET('[1]Smelter Reference List'!$C$4,'[1]Smelter List'!$S56-4,0)&amp;"")</f>
        <v>#VALUE!</v>
      </c>
      <c r="E334" s="396" t="e">
        <f ca="1">IF(ISERROR('[1]Smelter List'!$S56),"",OFFSET('[1]Smelter Reference List'!$D$4,'[1]Smelter List'!$S56-4,0)&amp;"")</f>
        <v>#VALUE!</v>
      </c>
      <c r="F334" s="396" t="e">
        <f ca="1">IF(ISERROR('[1]Smelter List'!$S56),"",OFFSET('[1]Smelter Reference List'!$E$4,'[1]Smelter List'!$S56-4,0))</f>
        <v>#VALUE!</v>
      </c>
      <c r="G334" s="396" t="e">
        <f ca="1">IF(C334='[1]Smelter List'!$U$4,"Enter smelter details", IF(ISERROR('[1]Smelter List'!$S56),"",OFFSET('[1]Smelter Reference List'!$F$4,'[1]Smelter List'!$S56-4,0)))</f>
        <v>#VALUE!</v>
      </c>
      <c r="H334" s="398" t="e">
        <f ca="1">IF(ISERROR('[1]Smelter List'!$S56),"",OFFSET('[1]Smelter Reference List'!$G$4,'[1]Smelter List'!$S56-4,0))</f>
        <v>#VALUE!</v>
      </c>
      <c r="I334" s="399" t="e">
        <f ca="1">IF(ISERROR('[1]Smelter List'!$S56),"",OFFSET('[1]Smelter Reference List'!$H$4,'[1]Smelter List'!$S56-4,0))</f>
        <v>#VALUE!</v>
      </c>
      <c r="J334" s="399" t="e">
        <f ca="1">IF(ISERROR('[1]Smelter List'!$S56),"",OFFSET('[1]Smelter Reference List'!$I$4,'[1]Smelter List'!$S56-4,0))</f>
        <v>#VALUE!</v>
      </c>
      <c r="K334" s="402"/>
      <c r="L334" s="402"/>
      <c r="M334" s="402"/>
      <c r="N334" s="402"/>
      <c r="O334" s="402"/>
      <c r="P334" s="402"/>
      <c r="Q334" s="403"/>
      <c r="R334" s="233"/>
      <c r="S334" s="234" t="e">
        <f>IF(#REF!="",NA(),MATCH(#REF!&amp;#REF!,'Smelter Reference List'!$J:$J,0))</f>
        <v>#REF!</v>
      </c>
      <c r="T334" s="235"/>
      <c r="U334" s="235" t="e">
        <f>IF(AND(#REF!="Smelter not listed",OR(LEN(#REF!)=0,LEN(#REF!)=0)),1,0)</f>
        <v>#REF!</v>
      </c>
      <c r="V334" s="235"/>
      <c r="W334" s="235"/>
      <c r="Y334" s="228" t="e">
        <f>#REF!&amp;#REF!</f>
        <v>#REF!</v>
      </c>
    </row>
    <row r="335" spans="1:25" s="228" customFormat="1" ht="20.25">
      <c r="A335" s="257" t="s">
        <v>1308</v>
      </c>
      <c r="B335" s="396" t="str">
        <f>IF(LEN(A335)=0,"",INDEX('[1]Smelter Reference List'!$A$1:$A$65536,MATCH($A335,'[1]Smelter Reference List'!$E$1:$E$65536,0)))</f>
        <v>Gold</v>
      </c>
      <c r="C335" s="397" t="str">
        <f>IF(LEN(A335)=0,"",INDEX('[1]Smelter Reference List'!$C$1:$C$65536,MATCH($A335,'[1]Smelter Reference List'!$E$1:$E$65536,0)))</f>
        <v>PT Aneka Tambang (Persero) Tbk</v>
      </c>
      <c r="D335" s="396" t="e">
        <f ca="1">IF(ISERROR('[1]Smelter List'!$S57),"",OFFSET('[1]Smelter Reference List'!$C$4,'[1]Smelter List'!$S57-4,0)&amp;"")</f>
        <v>#VALUE!</v>
      </c>
      <c r="E335" s="396" t="e">
        <f ca="1">IF(ISERROR('[1]Smelter List'!$S57),"",OFFSET('[1]Smelter Reference List'!$D$4,'[1]Smelter List'!$S57-4,0)&amp;"")</f>
        <v>#VALUE!</v>
      </c>
      <c r="F335" s="396" t="e">
        <f ca="1">IF(ISERROR('[1]Smelter List'!$S57),"",OFFSET('[1]Smelter Reference List'!$E$4,'[1]Smelter List'!$S57-4,0))</f>
        <v>#VALUE!</v>
      </c>
      <c r="G335" s="396" t="e">
        <f ca="1">IF(C335='[1]Smelter List'!$U$4,"Enter smelter details", IF(ISERROR('[1]Smelter List'!$S57),"",OFFSET('[1]Smelter Reference List'!$F$4,'[1]Smelter List'!$S57-4,0)))</f>
        <v>#VALUE!</v>
      </c>
      <c r="H335" s="398" t="e">
        <f ca="1">IF(ISERROR('[1]Smelter List'!$S57),"",OFFSET('[1]Smelter Reference List'!$G$4,'[1]Smelter List'!$S57-4,0))</f>
        <v>#VALUE!</v>
      </c>
      <c r="I335" s="399" t="e">
        <f ca="1">IF(ISERROR('[1]Smelter List'!$S57),"",OFFSET('[1]Smelter Reference List'!$H$4,'[1]Smelter List'!$S57-4,0))</f>
        <v>#VALUE!</v>
      </c>
      <c r="J335" s="399" t="e">
        <f ca="1">IF(ISERROR('[1]Smelter List'!$S57),"",OFFSET('[1]Smelter Reference List'!$I$4,'[1]Smelter List'!$S57-4,0))</f>
        <v>#VALUE!</v>
      </c>
      <c r="K335" s="402"/>
      <c r="L335" s="402"/>
      <c r="M335" s="402"/>
      <c r="N335" s="402"/>
      <c r="O335" s="402"/>
      <c r="P335" s="402"/>
      <c r="Q335" s="403"/>
      <c r="R335" s="233"/>
      <c r="S335" s="234" t="e">
        <f>IF(#REF!="",NA(),MATCH(#REF!&amp;#REF!,'Smelter Reference List'!$J:$J,0))</f>
        <v>#REF!</v>
      </c>
      <c r="T335" s="235"/>
      <c r="U335" s="235" t="e">
        <f>IF(AND(#REF!="Smelter not listed",OR(LEN(#REF!)=0,LEN(#REF!)=0)),1,0)</f>
        <v>#REF!</v>
      </c>
      <c r="V335" s="235"/>
      <c r="W335" s="235"/>
      <c r="Y335" s="228" t="e">
        <f>#REF!&amp;#REF!</f>
        <v>#REF!</v>
      </c>
    </row>
    <row r="336" spans="1:25" s="228" customFormat="1" ht="20.25">
      <c r="A336" s="257" t="s">
        <v>1309</v>
      </c>
      <c r="B336" s="396" t="str">
        <f>IF(LEN(A336)=0,"",INDEX('[1]Smelter Reference List'!$A$1:$A$65536,MATCH($A336,'[1]Smelter Reference List'!$E$1:$E$65536,0)))</f>
        <v>Gold</v>
      </c>
      <c r="C336" s="397" t="str">
        <f>IF(LEN(A336)=0,"",INDEX('[1]Smelter Reference List'!$C$1:$C$65536,MATCH($A336,'[1]Smelter Reference List'!$E$1:$E$65536,0)))</f>
        <v>PX Précinox S.A.</v>
      </c>
      <c r="D336" s="396" t="e">
        <f ca="1">IF(ISERROR('[1]Smelter List'!$S58),"",OFFSET('[1]Smelter Reference List'!$C$4,'[1]Smelter List'!$S58-4,0)&amp;"")</f>
        <v>#VALUE!</v>
      </c>
      <c r="E336" s="396" t="e">
        <f ca="1">IF(ISERROR('[1]Smelter List'!$S58),"",OFFSET('[1]Smelter Reference List'!$D$4,'[1]Smelter List'!$S58-4,0)&amp;"")</f>
        <v>#VALUE!</v>
      </c>
      <c r="F336" s="396" t="e">
        <f ca="1">IF(ISERROR('[1]Smelter List'!$S58),"",OFFSET('[1]Smelter Reference List'!$E$4,'[1]Smelter List'!$S58-4,0))</f>
        <v>#VALUE!</v>
      </c>
      <c r="G336" s="396" t="e">
        <f ca="1">IF(C336='[1]Smelter List'!$U$4,"Enter smelter details", IF(ISERROR('[1]Smelter List'!$S58),"",OFFSET('[1]Smelter Reference List'!$F$4,'[1]Smelter List'!$S58-4,0)))</f>
        <v>#VALUE!</v>
      </c>
      <c r="H336" s="398" t="e">
        <f ca="1">IF(ISERROR('[1]Smelter List'!$S58),"",OFFSET('[1]Smelter Reference List'!$G$4,'[1]Smelter List'!$S58-4,0))</f>
        <v>#VALUE!</v>
      </c>
      <c r="I336" s="399" t="e">
        <f ca="1">IF(ISERROR('[1]Smelter List'!$S58),"",OFFSET('[1]Smelter Reference List'!$H$4,'[1]Smelter List'!$S58-4,0))</f>
        <v>#VALUE!</v>
      </c>
      <c r="J336" s="399" t="e">
        <f ca="1">IF(ISERROR('[1]Smelter List'!$S58),"",OFFSET('[1]Smelter Reference List'!$I$4,'[1]Smelter List'!$S58-4,0))</f>
        <v>#VALUE!</v>
      </c>
      <c r="K336" s="402"/>
      <c r="L336" s="402"/>
      <c r="M336" s="402"/>
      <c r="N336" s="402"/>
      <c r="O336" s="402"/>
      <c r="P336" s="402"/>
      <c r="Q336" s="403"/>
      <c r="R336" s="233"/>
      <c r="S336" s="234" t="e">
        <f>IF(#REF!="",NA(),MATCH(#REF!&amp;#REF!,'Smelter Reference List'!$J:$J,0))</f>
        <v>#REF!</v>
      </c>
      <c r="T336" s="235"/>
      <c r="U336" s="235" t="e">
        <f>IF(AND(#REF!="Smelter not listed",OR(LEN(#REF!)=0,LEN(#REF!)=0)),1,0)</f>
        <v>#REF!</v>
      </c>
      <c r="V336" s="235"/>
      <c r="W336" s="235"/>
      <c r="Y336" s="228" t="e">
        <f>#REF!&amp;#REF!</f>
        <v>#REF!</v>
      </c>
    </row>
    <row r="337" spans="1:25" s="228" customFormat="1" ht="20.25">
      <c r="A337" s="257" t="s">
        <v>1310</v>
      </c>
      <c r="B337" s="396" t="str">
        <f>IF(LEN(A337)=0,"",INDEX('[1]Smelter Reference List'!$A$1:$A$65536,MATCH($A337,'[1]Smelter Reference List'!$E$1:$E$65536,0)))</f>
        <v>Gold</v>
      </c>
      <c r="C337" s="397" t="str">
        <f>IF(LEN(A337)=0,"",INDEX('[1]Smelter Reference List'!$C$1:$C$65536,MATCH($A337,'[1]Smelter Reference List'!$E$1:$E$65536,0)))</f>
        <v>Rand Refinery (Pty) Ltd.</v>
      </c>
      <c r="D337" s="396" t="e">
        <f ca="1">IF(ISERROR('[1]Smelter List'!$S59),"",OFFSET('[1]Smelter Reference List'!$C$4,'[1]Smelter List'!$S59-4,0)&amp;"")</f>
        <v>#VALUE!</v>
      </c>
      <c r="E337" s="396" t="e">
        <f ca="1">IF(ISERROR('[1]Smelter List'!$S59),"",OFFSET('[1]Smelter Reference List'!$D$4,'[1]Smelter List'!$S59-4,0)&amp;"")</f>
        <v>#VALUE!</v>
      </c>
      <c r="F337" s="396" t="e">
        <f ca="1">IF(ISERROR('[1]Smelter List'!$S59),"",OFFSET('[1]Smelter Reference List'!$E$4,'[1]Smelter List'!$S59-4,0))</f>
        <v>#VALUE!</v>
      </c>
      <c r="G337" s="396" t="e">
        <f ca="1">IF(C337='[1]Smelter List'!$U$4,"Enter smelter details", IF(ISERROR('[1]Smelter List'!$S59),"",OFFSET('[1]Smelter Reference List'!$F$4,'[1]Smelter List'!$S59-4,0)))</f>
        <v>#VALUE!</v>
      </c>
      <c r="H337" s="398" t="e">
        <f ca="1">IF(ISERROR('[1]Smelter List'!$S59),"",OFFSET('[1]Smelter Reference List'!$G$4,'[1]Smelter List'!$S59-4,0))</f>
        <v>#VALUE!</v>
      </c>
      <c r="I337" s="399" t="e">
        <f ca="1">IF(ISERROR('[1]Smelter List'!$S59),"",OFFSET('[1]Smelter Reference List'!$H$4,'[1]Smelter List'!$S59-4,0))</f>
        <v>#VALUE!</v>
      </c>
      <c r="J337" s="399" t="e">
        <f ca="1">IF(ISERROR('[1]Smelter List'!$S59),"",OFFSET('[1]Smelter Reference List'!$I$4,'[1]Smelter List'!$S59-4,0))</f>
        <v>#VALUE!</v>
      </c>
      <c r="K337" s="402"/>
      <c r="L337" s="402"/>
      <c r="M337" s="402"/>
      <c r="N337" s="402"/>
      <c r="O337" s="402"/>
      <c r="P337" s="402"/>
      <c r="Q337" s="403"/>
      <c r="R337" s="233"/>
      <c r="S337" s="234" t="e">
        <f>IF(#REF!="",NA(),MATCH(#REF!&amp;#REF!,'Smelter Reference List'!$J:$J,0))</f>
        <v>#REF!</v>
      </c>
      <c r="T337" s="235"/>
      <c r="U337" s="235" t="e">
        <f>IF(AND(#REF!="Smelter not listed",OR(LEN(#REF!)=0,LEN(#REF!)=0)),1,0)</f>
        <v>#REF!</v>
      </c>
      <c r="V337" s="235"/>
      <c r="W337" s="235"/>
      <c r="Y337" s="228" t="e">
        <f>#REF!&amp;#REF!</f>
        <v>#REF!</v>
      </c>
    </row>
    <row r="338" spans="1:25" s="228" customFormat="1" ht="20.25">
      <c r="A338" s="257" t="s">
        <v>1311</v>
      </c>
      <c r="B338" s="396" t="str">
        <f>IF(LEN(A338)=0,"",INDEX('[1]Smelter Reference List'!$A$1:$A$65536,MATCH($A338,'[1]Smelter Reference List'!$E$1:$E$65536,0)))</f>
        <v>Gold</v>
      </c>
      <c r="C338" s="397" t="str">
        <f>IF(LEN(A338)=0,"",INDEX('[1]Smelter Reference List'!$C$1:$C$65536,MATCH($A338,'[1]Smelter Reference List'!$E$1:$E$65536,0)))</f>
        <v>Royal Canadian Mint</v>
      </c>
      <c r="D338" s="396" t="e">
        <f ca="1">IF(ISERROR('[1]Smelter List'!$S60),"",OFFSET('[1]Smelter Reference List'!$C$4,'[1]Smelter List'!$S60-4,0)&amp;"")</f>
        <v>#VALUE!</v>
      </c>
      <c r="E338" s="396" t="e">
        <f ca="1">IF(ISERROR('[1]Smelter List'!$S60),"",OFFSET('[1]Smelter Reference List'!$D$4,'[1]Smelter List'!$S60-4,0)&amp;"")</f>
        <v>#VALUE!</v>
      </c>
      <c r="F338" s="396" t="e">
        <f ca="1">IF(ISERROR('[1]Smelter List'!$S60),"",OFFSET('[1]Smelter Reference List'!$E$4,'[1]Smelter List'!$S60-4,0))</f>
        <v>#VALUE!</v>
      </c>
      <c r="G338" s="396" t="e">
        <f ca="1">IF(C338='[1]Smelter List'!$U$4,"Enter smelter details", IF(ISERROR('[1]Smelter List'!$S60),"",OFFSET('[1]Smelter Reference List'!$F$4,'[1]Smelter List'!$S60-4,0)))</f>
        <v>#VALUE!</v>
      </c>
      <c r="H338" s="398" t="e">
        <f ca="1">IF(ISERROR('[1]Smelter List'!$S60),"",OFFSET('[1]Smelter Reference List'!$G$4,'[1]Smelter List'!$S60-4,0))</f>
        <v>#VALUE!</v>
      </c>
      <c r="I338" s="399" t="e">
        <f ca="1">IF(ISERROR('[1]Smelter List'!$S60),"",OFFSET('[1]Smelter Reference List'!$H$4,'[1]Smelter List'!$S60-4,0))</f>
        <v>#VALUE!</v>
      </c>
      <c r="J338" s="399" t="e">
        <f ca="1">IF(ISERROR('[1]Smelter List'!$S60),"",OFFSET('[1]Smelter Reference List'!$I$4,'[1]Smelter List'!$S60-4,0))</f>
        <v>#VALUE!</v>
      </c>
      <c r="K338" s="402"/>
      <c r="L338" s="402"/>
      <c r="M338" s="402"/>
      <c r="N338" s="402"/>
      <c r="O338" s="402"/>
      <c r="P338" s="402"/>
      <c r="Q338" s="403"/>
      <c r="R338" s="233"/>
      <c r="S338" s="234" t="e">
        <f>IF(#REF!="",NA(),MATCH(#REF!&amp;#REF!,'Smelter Reference List'!$J:$J,0))</f>
        <v>#REF!</v>
      </c>
      <c r="T338" s="235"/>
      <c r="U338" s="235" t="e">
        <f>IF(AND(#REF!="Smelter not listed",OR(LEN(#REF!)=0,LEN(#REF!)=0)),1,0)</f>
        <v>#REF!</v>
      </c>
      <c r="V338" s="235"/>
      <c r="W338" s="235"/>
      <c r="Y338" s="228" t="e">
        <f>#REF!&amp;#REF!</f>
        <v>#REF!</v>
      </c>
    </row>
    <row r="339" spans="1:25" s="228" customFormat="1" ht="20.25">
      <c r="A339" s="257" t="s">
        <v>2731</v>
      </c>
      <c r="B339" s="396" t="str">
        <f>IF(LEN(A339)=0,"",INDEX('[1]Smelter Reference List'!$A$1:$A$65536,MATCH($A339,'[1]Smelter Reference List'!$E$1:$E$65536,0)))</f>
        <v>Gold</v>
      </c>
      <c r="C339" s="397" t="str">
        <f>IF(LEN(A339)=0,"",INDEX('[1]Smelter Reference List'!$C$1:$C$65536,MATCH($A339,'[1]Smelter Reference List'!$E$1:$E$65536,0)))</f>
        <v>Samduck Precious Metals</v>
      </c>
      <c r="D339" s="396" t="e">
        <f ca="1">IF(ISERROR('[1]Smelter List'!$S61),"",OFFSET('[1]Smelter Reference List'!$C$4,'[1]Smelter List'!$S61-4,0)&amp;"")</f>
        <v>#VALUE!</v>
      </c>
      <c r="E339" s="396" t="e">
        <f ca="1">IF(ISERROR('[1]Smelter List'!$S61),"",OFFSET('[1]Smelter Reference List'!$D$4,'[1]Smelter List'!$S61-4,0)&amp;"")</f>
        <v>#VALUE!</v>
      </c>
      <c r="F339" s="396" t="e">
        <f ca="1">IF(ISERROR('[1]Smelter List'!$S61),"",OFFSET('[1]Smelter Reference List'!$E$4,'[1]Smelter List'!$S61-4,0))</f>
        <v>#VALUE!</v>
      </c>
      <c r="G339" s="396" t="e">
        <f ca="1">IF(C339='[1]Smelter List'!$U$4,"Enter smelter details", IF(ISERROR('[1]Smelter List'!$S61),"",OFFSET('[1]Smelter Reference List'!$F$4,'[1]Smelter List'!$S61-4,0)))</f>
        <v>#VALUE!</v>
      </c>
      <c r="H339" s="398" t="e">
        <f ca="1">IF(ISERROR('[1]Smelter List'!$S61),"",OFFSET('[1]Smelter Reference List'!$G$4,'[1]Smelter List'!$S61-4,0))</f>
        <v>#VALUE!</v>
      </c>
      <c r="I339" s="399" t="e">
        <f ca="1">IF(ISERROR('[1]Smelter List'!$S61),"",OFFSET('[1]Smelter Reference List'!$H$4,'[1]Smelter List'!$S61-4,0))</f>
        <v>#VALUE!</v>
      </c>
      <c r="J339" s="399" t="e">
        <f ca="1">IF(ISERROR('[1]Smelter List'!$S61),"",OFFSET('[1]Smelter Reference List'!$I$4,'[1]Smelter List'!$S61-4,0))</f>
        <v>#VALUE!</v>
      </c>
      <c r="K339" s="402"/>
      <c r="L339" s="402"/>
      <c r="M339" s="402"/>
      <c r="N339" s="402"/>
      <c r="O339" s="402"/>
      <c r="P339" s="402"/>
      <c r="Q339" s="403"/>
      <c r="R339" s="233"/>
      <c r="S339" s="234" t="e">
        <f>IF(#REF!="",NA(),MATCH(#REF!&amp;#REF!,'Smelter Reference List'!$J:$J,0))</f>
        <v>#REF!</v>
      </c>
      <c r="T339" s="235"/>
      <c r="U339" s="235" t="e">
        <f>IF(AND(#REF!="Smelter not listed",OR(LEN(#REF!)=0,LEN(#REF!)=0)),1,0)</f>
        <v>#REF!</v>
      </c>
      <c r="V339" s="235"/>
      <c r="W339" s="235"/>
      <c r="Y339" s="228" t="e">
        <f>#REF!&amp;#REF!</f>
        <v>#REF!</v>
      </c>
    </row>
    <row r="340" spans="1:25" s="228" customFormat="1" ht="20.25">
      <c r="A340" s="257" t="s">
        <v>1314</v>
      </c>
      <c r="B340" s="396" t="str">
        <f>IF(LEN(A340)=0,"",INDEX('[1]Smelter Reference List'!$A$1:$A$65536,MATCH($A340,'[1]Smelter Reference List'!$E$1:$E$65536,0)))</f>
        <v>Gold</v>
      </c>
      <c r="C340" s="397" t="str">
        <f>IF(LEN(A340)=0,"",INDEX('[1]Smelter Reference List'!$C$1:$C$65536,MATCH($A340,'[1]Smelter Reference List'!$E$1:$E$65536,0)))</f>
        <v>Schone Edelmetaal B.V.</v>
      </c>
      <c r="D340" s="396" t="e">
        <f ca="1">IF(ISERROR('[1]Smelter List'!$S62),"",OFFSET('[1]Smelter Reference List'!$C$4,'[1]Smelter List'!$S62-4,0)&amp;"")</f>
        <v>#VALUE!</v>
      </c>
      <c r="E340" s="396" t="e">
        <f ca="1">IF(ISERROR('[1]Smelter List'!$S62),"",OFFSET('[1]Smelter Reference List'!$D$4,'[1]Smelter List'!$S62-4,0)&amp;"")</f>
        <v>#VALUE!</v>
      </c>
      <c r="F340" s="396" t="e">
        <f ca="1">IF(ISERROR('[1]Smelter List'!$S62),"",OFFSET('[1]Smelter Reference List'!$E$4,'[1]Smelter List'!$S62-4,0))</f>
        <v>#VALUE!</v>
      </c>
      <c r="G340" s="396" t="e">
        <f ca="1">IF(C340='[1]Smelter List'!$U$4,"Enter smelter details", IF(ISERROR('[1]Smelter List'!$S62),"",OFFSET('[1]Smelter Reference List'!$F$4,'[1]Smelter List'!$S62-4,0)))</f>
        <v>#VALUE!</v>
      </c>
      <c r="H340" s="398" t="e">
        <f ca="1">IF(ISERROR('[1]Smelter List'!$S62),"",OFFSET('[1]Smelter Reference List'!$G$4,'[1]Smelter List'!$S62-4,0))</f>
        <v>#VALUE!</v>
      </c>
      <c r="I340" s="399" t="e">
        <f ca="1">IF(ISERROR('[1]Smelter List'!$S62),"",OFFSET('[1]Smelter Reference List'!$H$4,'[1]Smelter List'!$S62-4,0))</f>
        <v>#VALUE!</v>
      </c>
      <c r="J340" s="399" t="e">
        <f ca="1">IF(ISERROR('[1]Smelter List'!$S62),"",OFFSET('[1]Smelter Reference List'!$I$4,'[1]Smelter List'!$S62-4,0))</f>
        <v>#VALUE!</v>
      </c>
      <c r="K340" s="402"/>
      <c r="L340" s="402"/>
      <c r="M340" s="402"/>
      <c r="N340" s="402"/>
      <c r="O340" s="402"/>
      <c r="P340" s="402"/>
      <c r="Q340" s="403"/>
      <c r="R340" s="233"/>
      <c r="S340" s="234" t="e">
        <f>IF(#REF!="",NA(),MATCH(#REF!&amp;#REF!,'Smelter Reference List'!$J:$J,0))</f>
        <v>#REF!</v>
      </c>
      <c r="T340" s="235"/>
      <c r="U340" s="235" t="e">
        <f>IF(AND(#REF!="Smelter not listed",OR(LEN(#REF!)=0,LEN(#REF!)=0)),1,0)</f>
        <v>#REF!</v>
      </c>
      <c r="V340" s="235"/>
      <c r="W340" s="235"/>
      <c r="Y340" s="228" t="e">
        <f>#REF!&amp;#REF!</f>
        <v>#REF!</v>
      </c>
    </row>
    <row r="341" spans="1:25" s="228" customFormat="1" ht="20.25">
      <c r="A341" s="257" t="s">
        <v>1315</v>
      </c>
      <c r="B341" s="396" t="str">
        <f>IF(LEN(A341)=0,"",INDEX('[1]Smelter Reference List'!$A$1:$A$65536,MATCH($A341,'[1]Smelter Reference List'!$E$1:$E$65536,0)))</f>
        <v>Gold</v>
      </c>
      <c r="C341" s="397" t="str">
        <f>IF(LEN(A341)=0,"",INDEX('[1]Smelter Reference List'!$C$1:$C$65536,MATCH($A341,'[1]Smelter Reference List'!$E$1:$E$65536,0)))</f>
        <v>SEMPSA Joyería Platería S.A.</v>
      </c>
      <c r="D341" s="396" t="e">
        <f ca="1">IF(ISERROR('[1]Smelter List'!$S63),"",OFFSET('[1]Smelter Reference List'!$C$4,'[1]Smelter List'!$S63-4,0)&amp;"")</f>
        <v>#VALUE!</v>
      </c>
      <c r="E341" s="396" t="e">
        <f ca="1">IF(ISERROR('[1]Smelter List'!$S63),"",OFFSET('[1]Smelter Reference List'!$D$4,'[1]Smelter List'!$S63-4,0)&amp;"")</f>
        <v>#VALUE!</v>
      </c>
      <c r="F341" s="396" t="e">
        <f ca="1">IF(ISERROR('[1]Smelter List'!$S63),"",OFFSET('[1]Smelter Reference List'!$E$4,'[1]Smelter List'!$S63-4,0))</f>
        <v>#VALUE!</v>
      </c>
      <c r="G341" s="396" t="e">
        <f ca="1">IF(C341='[1]Smelter List'!$U$4,"Enter smelter details", IF(ISERROR('[1]Smelter List'!$S63),"",OFFSET('[1]Smelter Reference List'!$F$4,'[1]Smelter List'!$S63-4,0)))</f>
        <v>#VALUE!</v>
      </c>
      <c r="H341" s="398" t="e">
        <f ca="1">IF(ISERROR('[1]Smelter List'!$S63),"",OFFSET('[1]Smelter Reference List'!$G$4,'[1]Smelter List'!$S63-4,0))</f>
        <v>#VALUE!</v>
      </c>
      <c r="I341" s="399" t="e">
        <f ca="1">IF(ISERROR('[1]Smelter List'!$S63),"",OFFSET('[1]Smelter Reference List'!$H$4,'[1]Smelter List'!$S63-4,0))</f>
        <v>#VALUE!</v>
      </c>
      <c r="J341" s="399" t="e">
        <f ca="1">IF(ISERROR('[1]Smelter List'!$S63),"",OFFSET('[1]Smelter Reference List'!$I$4,'[1]Smelter List'!$S63-4,0))</f>
        <v>#VALUE!</v>
      </c>
      <c r="K341" s="402"/>
      <c r="L341" s="402"/>
      <c r="M341" s="402"/>
      <c r="N341" s="402"/>
      <c r="O341" s="402"/>
      <c r="P341" s="402"/>
      <c r="Q341" s="403"/>
      <c r="R341" s="233"/>
      <c r="S341" s="234" t="e">
        <f>IF(#REF!="",NA(),MATCH(#REF!&amp;#REF!,'Smelter Reference List'!$J:$J,0))</f>
        <v>#REF!</v>
      </c>
      <c r="T341" s="235"/>
      <c r="U341" s="235" t="e">
        <f>IF(AND(#REF!="Smelter not listed",OR(LEN(#REF!)=0,LEN(#REF!)=0)),1,0)</f>
        <v>#REF!</v>
      </c>
      <c r="V341" s="235"/>
      <c r="W341" s="235"/>
      <c r="Y341" s="228" t="e">
        <f>#REF!&amp;#REF!</f>
        <v>#REF!</v>
      </c>
    </row>
    <row r="342" spans="1:25" s="228" customFormat="1" ht="25.5">
      <c r="A342" s="257" t="s">
        <v>1316</v>
      </c>
      <c r="B342" s="396" t="str">
        <f>IF(LEN(A342)=0,"",INDEX('[1]Smelter Reference List'!$A$1:$A$65536,MATCH($A342,'[1]Smelter Reference List'!$E$1:$E$65536,0)))</f>
        <v>Gold</v>
      </c>
      <c r="C342" s="397" t="str">
        <f>IF(LEN(A342)=0,"",INDEX('[1]Smelter Reference List'!$C$1:$C$65536,MATCH($A342,'[1]Smelter Reference List'!$E$1:$E$65536,0)))</f>
        <v>Shandong Zhaojin Gold &amp; Silver Refinery Co., Ltd.</v>
      </c>
      <c r="D342" s="396" t="e">
        <f ca="1">IF(ISERROR('[1]Smelter List'!$S64),"",OFFSET('[1]Smelter Reference List'!$C$4,'[1]Smelter List'!$S64-4,0)&amp;"")</f>
        <v>#VALUE!</v>
      </c>
      <c r="E342" s="396" t="e">
        <f ca="1">IF(ISERROR('[1]Smelter List'!$S64),"",OFFSET('[1]Smelter Reference List'!$D$4,'[1]Smelter List'!$S64-4,0)&amp;"")</f>
        <v>#VALUE!</v>
      </c>
      <c r="F342" s="396" t="e">
        <f ca="1">IF(ISERROR('[1]Smelter List'!$S64),"",OFFSET('[1]Smelter Reference List'!$E$4,'[1]Smelter List'!$S64-4,0))</f>
        <v>#VALUE!</v>
      </c>
      <c r="G342" s="396" t="e">
        <f ca="1">IF(C342='[1]Smelter List'!$U$4,"Enter smelter details", IF(ISERROR('[1]Smelter List'!$S64),"",OFFSET('[1]Smelter Reference List'!$F$4,'[1]Smelter List'!$S64-4,0)))</f>
        <v>#VALUE!</v>
      </c>
      <c r="H342" s="398" t="e">
        <f ca="1">IF(ISERROR('[1]Smelter List'!$S64),"",OFFSET('[1]Smelter Reference List'!$G$4,'[1]Smelter List'!$S64-4,0))</f>
        <v>#VALUE!</v>
      </c>
      <c r="I342" s="399" t="e">
        <f ca="1">IF(ISERROR('[1]Smelter List'!$S64),"",OFFSET('[1]Smelter Reference List'!$H$4,'[1]Smelter List'!$S64-4,0))</f>
        <v>#VALUE!</v>
      </c>
      <c r="J342" s="399" t="e">
        <f ca="1">IF(ISERROR('[1]Smelter List'!$S64),"",OFFSET('[1]Smelter Reference List'!$I$4,'[1]Smelter List'!$S64-4,0))</f>
        <v>#VALUE!</v>
      </c>
      <c r="K342" s="402"/>
      <c r="L342" s="402"/>
      <c r="M342" s="402"/>
      <c r="N342" s="402"/>
      <c r="O342" s="402"/>
      <c r="P342" s="402"/>
      <c r="Q342" s="403"/>
      <c r="R342" s="233"/>
      <c r="S342" s="234" t="e">
        <f>IF(#REF!="",NA(),MATCH(#REF!&amp;#REF!,'Smelter Reference List'!$J:$J,0))</f>
        <v>#REF!</v>
      </c>
      <c r="T342" s="235"/>
      <c r="U342" s="235" t="e">
        <f>IF(AND(#REF!="Smelter not listed",OR(LEN(#REF!)=0,LEN(#REF!)=0)),1,0)</f>
        <v>#REF!</v>
      </c>
      <c r="V342" s="235"/>
      <c r="W342" s="235"/>
      <c r="Y342" s="228" t="e">
        <f>#REF!&amp;#REF!</f>
        <v>#REF!</v>
      </c>
    </row>
    <row r="343" spans="1:25" s="228" customFormat="1" ht="20.25">
      <c r="A343" s="257" t="s">
        <v>2694</v>
      </c>
      <c r="B343" s="396" t="str">
        <f>IF(LEN(A343)=0,"",INDEX('[1]Smelter Reference List'!$A$1:$A$65536,MATCH($A343,'[1]Smelter Reference List'!$E$1:$E$65536,0)))</f>
        <v>Gold</v>
      </c>
      <c r="C343" s="397" t="str">
        <f>IF(LEN(A343)=0,"",INDEX('[1]Smelter Reference List'!$C$1:$C$65536,MATCH($A343,'[1]Smelter Reference List'!$E$1:$E$65536,0)))</f>
        <v>Sichuan Tianze Precious Metals Co., Ltd.</v>
      </c>
      <c r="D343" s="396" t="e">
        <f ca="1">IF(ISERROR('[1]Smelter List'!$S65),"",OFFSET('[1]Smelter Reference List'!$C$4,'[1]Smelter List'!$S65-4,0)&amp;"")</f>
        <v>#VALUE!</v>
      </c>
      <c r="E343" s="396" t="e">
        <f ca="1">IF(ISERROR('[1]Smelter List'!$S65),"",OFFSET('[1]Smelter Reference List'!$D$4,'[1]Smelter List'!$S65-4,0)&amp;"")</f>
        <v>#VALUE!</v>
      </c>
      <c r="F343" s="396" t="e">
        <f ca="1">IF(ISERROR('[1]Smelter List'!$S65),"",OFFSET('[1]Smelter Reference List'!$E$4,'[1]Smelter List'!$S65-4,0))</f>
        <v>#VALUE!</v>
      </c>
      <c r="G343" s="396" t="e">
        <f ca="1">IF(C343='[1]Smelter List'!$U$4,"Enter smelter details", IF(ISERROR('[1]Smelter List'!$S65),"",OFFSET('[1]Smelter Reference List'!$F$4,'[1]Smelter List'!$S65-4,0)))</f>
        <v>#VALUE!</v>
      </c>
      <c r="H343" s="398" t="e">
        <f ca="1">IF(ISERROR('[1]Smelter List'!$S65),"",OFFSET('[1]Smelter Reference List'!$G$4,'[1]Smelter List'!$S65-4,0))</f>
        <v>#VALUE!</v>
      </c>
      <c r="I343" s="399" t="e">
        <f ca="1">IF(ISERROR('[1]Smelter List'!$S65),"",OFFSET('[1]Smelter Reference List'!$H$4,'[1]Smelter List'!$S65-4,0))</f>
        <v>#VALUE!</v>
      </c>
      <c r="J343" s="399" t="e">
        <f ca="1">IF(ISERROR('[1]Smelter List'!$S65),"",OFFSET('[1]Smelter Reference List'!$I$4,'[1]Smelter List'!$S65-4,0))</f>
        <v>#VALUE!</v>
      </c>
      <c r="K343" s="402"/>
      <c r="L343" s="402"/>
      <c r="M343" s="402"/>
      <c r="N343" s="402"/>
      <c r="O343" s="402"/>
      <c r="P343" s="402"/>
      <c r="Q343" s="403"/>
      <c r="R343" s="233"/>
      <c r="S343" s="234" t="e">
        <f>IF(#REF!="",NA(),MATCH(#REF!&amp;#REF!,'Smelter Reference List'!$J:$J,0))</f>
        <v>#REF!</v>
      </c>
      <c r="T343" s="235"/>
      <c r="U343" s="235" t="e">
        <f>IF(AND(#REF!="Smelter not listed",OR(LEN(#REF!)=0,LEN(#REF!)=0)),1,0)</f>
        <v>#REF!</v>
      </c>
      <c r="V343" s="235"/>
      <c r="W343" s="235"/>
      <c r="Y343" s="228" t="e">
        <f>#REF!&amp;#REF!</f>
        <v>#REF!</v>
      </c>
    </row>
    <row r="344" spans="1:25" s="228" customFormat="1" ht="25.5">
      <c r="A344" s="257" t="s">
        <v>1319</v>
      </c>
      <c r="B344" s="396" t="str">
        <f>IF(LEN(A344)=0,"",INDEX('[1]Smelter Reference List'!$A$1:$A$65536,MATCH($A344,'[1]Smelter Reference List'!$E$1:$E$65536,0)))</f>
        <v>Gold</v>
      </c>
      <c r="C344" s="397" t="str">
        <f>IF(LEN(A344)=0,"",INDEX('[1]Smelter Reference List'!$C$1:$C$65536,MATCH($A344,'[1]Smelter Reference List'!$E$1:$E$65536,0)))</f>
        <v>SOE Shyolkovsky Factory of Secondary Precious Metals</v>
      </c>
      <c r="D344" s="396" t="e">
        <f ca="1">IF(ISERROR('[1]Smelter List'!$S66),"",OFFSET('[1]Smelter Reference List'!$C$4,'[1]Smelter List'!$S66-4,0)&amp;"")</f>
        <v>#VALUE!</v>
      </c>
      <c r="E344" s="396" t="e">
        <f ca="1">IF(ISERROR('[1]Smelter List'!$S66),"",OFFSET('[1]Smelter Reference List'!$D$4,'[1]Smelter List'!$S66-4,0)&amp;"")</f>
        <v>#VALUE!</v>
      </c>
      <c r="F344" s="396" t="e">
        <f ca="1">IF(ISERROR('[1]Smelter List'!$S66),"",OFFSET('[1]Smelter Reference List'!$E$4,'[1]Smelter List'!$S66-4,0))</f>
        <v>#VALUE!</v>
      </c>
      <c r="G344" s="396" t="e">
        <f ca="1">IF(C344='[1]Smelter List'!$U$4,"Enter smelter details", IF(ISERROR('[1]Smelter List'!$S66),"",OFFSET('[1]Smelter Reference List'!$F$4,'[1]Smelter List'!$S66-4,0)))</f>
        <v>#VALUE!</v>
      </c>
      <c r="H344" s="398" t="e">
        <f ca="1">IF(ISERROR('[1]Smelter List'!$S66),"",OFFSET('[1]Smelter Reference List'!$G$4,'[1]Smelter List'!$S66-4,0))</f>
        <v>#VALUE!</v>
      </c>
      <c r="I344" s="399" t="e">
        <f ca="1">IF(ISERROR('[1]Smelter List'!$S66),"",OFFSET('[1]Smelter Reference List'!$H$4,'[1]Smelter List'!$S66-4,0))</f>
        <v>#VALUE!</v>
      </c>
      <c r="J344" s="399" t="e">
        <f ca="1">IF(ISERROR('[1]Smelter List'!$S66),"",OFFSET('[1]Smelter Reference List'!$I$4,'[1]Smelter List'!$S66-4,0))</f>
        <v>#VALUE!</v>
      </c>
      <c r="K344" s="402"/>
      <c r="L344" s="402"/>
      <c r="M344" s="402"/>
      <c r="N344" s="402"/>
      <c r="O344" s="402"/>
      <c r="P344" s="402"/>
      <c r="Q344" s="403"/>
      <c r="R344" s="233"/>
      <c r="S344" s="234" t="e">
        <f>IF(#REF!="",NA(),MATCH(#REF!&amp;#REF!,'Smelter Reference List'!$J:$J,0))</f>
        <v>#REF!</v>
      </c>
      <c r="T344" s="235"/>
      <c r="U344" s="235" t="e">
        <f>IF(AND(#REF!="Smelter not listed",OR(LEN(#REF!)=0,LEN(#REF!)=0)),1,0)</f>
        <v>#REF!</v>
      </c>
      <c r="V344" s="235"/>
      <c r="W344" s="235"/>
      <c r="Y344" s="228" t="e">
        <f>#REF!&amp;#REF!</f>
        <v>#REF!</v>
      </c>
    </row>
    <row r="345" spans="1:25" s="228" customFormat="1" ht="25.5">
      <c r="A345" s="257" t="s">
        <v>1320</v>
      </c>
      <c r="B345" s="396" t="str">
        <f>IF(LEN(A345)=0,"",INDEX('[1]Smelter Reference List'!$A$1:$A$65536,MATCH($A345,'[1]Smelter Reference List'!$E$1:$E$65536,0)))</f>
        <v>Gold</v>
      </c>
      <c r="C345" s="397" t="str">
        <f>IF(LEN(A345)=0,"",INDEX('[1]Smelter Reference List'!$C$1:$C$65536,MATCH($A345,'[1]Smelter Reference List'!$E$1:$E$65536,0)))</f>
        <v>Solar Applied Materials Technology Corp.</v>
      </c>
      <c r="D345" s="396" t="e">
        <f ca="1">IF(ISERROR('[1]Smelter List'!$S67),"",OFFSET('[1]Smelter Reference List'!$C$4,'[1]Smelter List'!$S67-4,0)&amp;"")</f>
        <v>#VALUE!</v>
      </c>
      <c r="E345" s="396" t="e">
        <f ca="1">IF(ISERROR('[1]Smelter List'!$S67),"",OFFSET('[1]Smelter Reference List'!$D$4,'[1]Smelter List'!$S67-4,0)&amp;"")</f>
        <v>#VALUE!</v>
      </c>
      <c r="F345" s="396" t="e">
        <f ca="1">IF(ISERROR('[1]Smelter List'!$S67),"",OFFSET('[1]Smelter Reference List'!$E$4,'[1]Smelter List'!$S67-4,0))</f>
        <v>#VALUE!</v>
      </c>
      <c r="G345" s="396" t="e">
        <f ca="1">IF(C345='[1]Smelter List'!$U$4,"Enter smelter details", IF(ISERROR('[1]Smelter List'!$S67),"",OFFSET('[1]Smelter Reference List'!$F$4,'[1]Smelter List'!$S67-4,0)))</f>
        <v>#VALUE!</v>
      </c>
      <c r="H345" s="398" t="e">
        <f ca="1">IF(ISERROR('[1]Smelter List'!$S67),"",OFFSET('[1]Smelter Reference List'!$G$4,'[1]Smelter List'!$S67-4,0))</f>
        <v>#VALUE!</v>
      </c>
      <c r="I345" s="399" t="e">
        <f ca="1">IF(ISERROR('[1]Smelter List'!$S67),"",OFFSET('[1]Smelter Reference List'!$H$4,'[1]Smelter List'!$S67-4,0))</f>
        <v>#VALUE!</v>
      </c>
      <c r="J345" s="399" t="e">
        <f ca="1">IF(ISERROR('[1]Smelter List'!$S67),"",OFFSET('[1]Smelter Reference List'!$I$4,'[1]Smelter List'!$S67-4,0))</f>
        <v>#VALUE!</v>
      </c>
      <c r="K345" s="402"/>
      <c r="L345" s="402"/>
      <c r="M345" s="402"/>
      <c r="N345" s="402"/>
      <c r="O345" s="402"/>
      <c r="P345" s="402"/>
      <c r="Q345" s="403"/>
      <c r="R345" s="233"/>
      <c r="S345" s="234" t="e">
        <f>IF(#REF!="",NA(),MATCH(#REF!&amp;#REF!,'Smelter Reference List'!$J:$J,0))</f>
        <v>#REF!</v>
      </c>
      <c r="T345" s="235"/>
      <c r="U345" s="235" t="e">
        <f>IF(AND(#REF!="Smelter not listed",OR(LEN(#REF!)=0,LEN(#REF!)=0)),1,0)</f>
        <v>#REF!</v>
      </c>
      <c r="V345" s="235"/>
      <c r="W345" s="235"/>
      <c r="Y345" s="228" t="e">
        <f>#REF!&amp;#REF!</f>
        <v>#REF!</v>
      </c>
    </row>
    <row r="346" spans="1:25" s="228" customFormat="1" ht="20.25">
      <c r="A346" s="257" t="s">
        <v>1321</v>
      </c>
      <c r="B346" s="396" t="str">
        <f>IF(LEN(A346)=0,"",INDEX('[1]Smelter Reference List'!$A$1:$A$65536,MATCH($A346,'[1]Smelter Reference List'!$E$1:$E$65536,0)))</f>
        <v>Gold</v>
      </c>
      <c r="C346" s="397" t="str">
        <f>IF(LEN(A346)=0,"",INDEX('[1]Smelter Reference List'!$C$1:$C$65536,MATCH($A346,'[1]Smelter Reference List'!$E$1:$E$65536,0)))</f>
        <v>Sumitomo Metal Mining Co., Ltd.</v>
      </c>
      <c r="D346" s="396" t="e">
        <f ca="1">IF(ISERROR('[1]Smelter List'!$S68),"",OFFSET('[1]Smelter Reference List'!$C$4,'[1]Smelter List'!$S68-4,0)&amp;"")</f>
        <v>#VALUE!</v>
      </c>
      <c r="E346" s="396" t="e">
        <f ca="1">IF(ISERROR('[1]Smelter List'!$S68),"",OFFSET('[1]Smelter Reference List'!$D$4,'[1]Smelter List'!$S68-4,0)&amp;"")</f>
        <v>#VALUE!</v>
      </c>
      <c r="F346" s="396" t="e">
        <f ca="1">IF(ISERROR('[1]Smelter List'!$S68),"",OFFSET('[1]Smelter Reference List'!$E$4,'[1]Smelter List'!$S68-4,0))</f>
        <v>#VALUE!</v>
      </c>
      <c r="G346" s="396" t="e">
        <f ca="1">IF(C346='[1]Smelter List'!$U$4,"Enter smelter details", IF(ISERROR('[1]Smelter List'!$S68),"",OFFSET('[1]Smelter Reference List'!$F$4,'[1]Smelter List'!$S68-4,0)))</f>
        <v>#VALUE!</v>
      </c>
      <c r="H346" s="398" t="e">
        <f ca="1">IF(ISERROR('[1]Smelter List'!$S68),"",OFFSET('[1]Smelter Reference List'!$G$4,'[1]Smelter List'!$S68-4,0))</f>
        <v>#VALUE!</v>
      </c>
      <c r="I346" s="399" t="e">
        <f ca="1">IF(ISERROR('[1]Smelter List'!$S68),"",OFFSET('[1]Smelter Reference List'!$H$4,'[1]Smelter List'!$S68-4,0))</f>
        <v>#VALUE!</v>
      </c>
      <c r="J346" s="399" t="e">
        <f ca="1">IF(ISERROR('[1]Smelter List'!$S68),"",OFFSET('[1]Smelter Reference List'!$I$4,'[1]Smelter List'!$S68-4,0))</f>
        <v>#VALUE!</v>
      </c>
      <c r="K346" s="402"/>
      <c r="L346" s="402"/>
      <c r="M346" s="402"/>
      <c r="N346" s="402"/>
      <c r="O346" s="402"/>
      <c r="P346" s="402"/>
      <c r="Q346" s="403"/>
      <c r="R346" s="233"/>
      <c r="S346" s="234" t="e">
        <f>IF(#REF!="",NA(),MATCH(#REF!&amp;#REF!,'Smelter Reference List'!$J:$J,0))</f>
        <v>#REF!</v>
      </c>
      <c r="T346" s="235"/>
      <c r="U346" s="235" t="e">
        <f>IF(AND(#REF!="Smelter not listed",OR(LEN(#REF!)=0,LEN(#REF!)=0)),1,0)</f>
        <v>#REF!</v>
      </c>
      <c r="V346" s="235"/>
      <c r="W346" s="235"/>
      <c r="Y346" s="228" t="e">
        <f>#REF!&amp;#REF!</f>
        <v>#REF!</v>
      </c>
    </row>
    <row r="347" spans="1:25" s="228" customFormat="1" ht="20.25">
      <c r="A347" s="257" t="s">
        <v>1322</v>
      </c>
      <c r="B347" s="396" t="str">
        <f>IF(LEN(A347)=0,"",INDEX('[1]Smelter Reference List'!$A$1:$A$65536,MATCH($A347,'[1]Smelter Reference List'!$E$1:$E$65536,0)))</f>
        <v>Gold</v>
      </c>
      <c r="C347" s="397" t="str">
        <f>IF(LEN(A347)=0,"",INDEX('[1]Smelter Reference List'!$C$1:$C$65536,MATCH($A347,'[1]Smelter Reference List'!$E$1:$E$65536,0)))</f>
        <v>Tanaka Kikinzoku Kogyo K.K.</v>
      </c>
      <c r="D347" s="396" t="e">
        <f ca="1">IF(ISERROR('[1]Smelter List'!$S69),"",OFFSET('[1]Smelter Reference List'!$C$4,'[1]Smelter List'!$S69-4,0)&amp;"")</f>
        <v>#VALUE!</v>
      </c>
      <c r="E347" s="396" t="e">
        <f ca="1">IF(ISERROR('[1]Smelter List'!$S69),"",OFFSET('[1]Smelter Reference List'!$D$4,'[1]Smelter List'!$S69-4,0)&amp;"")</f>
        <v>#VALUE!</v>
      </c>
      <c r="F347" s="396" t="e">
        <f ca="1">IF(ISERROR('[1]Smelter List'!$S69),"",OFFSET('[1]Smelter Reference List'!$E$4,'[1]Smelter List'!$S69-4,0))</f>
        <v>#VALUE!</v>
      </c>
      <c r="G347" s="396" t="e">
        <f ca="1">IF(C347='[1]Smelter List'!$U$4,"Enter smelter details", IF(ISERROR('[1]Smelter List'!$S69),"",OFFSET('[1]Smelter Reference List'!$F$4,'[1]Smelter List'!$S69-4,0)))</f>
        <v>#VALUE!</v>
      </c>
      <c r="H347" s="398" t="e">
        <f ca="1">IF(ISERROR('[1]Smelter List'!$S69),"",OFFSET('[1]Smelter Reference List'!$G$4,'[1]Smelter List'!$S69-4,0))</f>
        <v>#VALUE!</v>
      </c>
      <c r="I347" s="399" t="e">
        <f ca="1">IF(ISERROR('[1]Smelter List'!$S69),"",OFFSET('[1]Smelter Reference List'!$H$4,'[1]Smelter List'!$S69-4,0))</f>
        <v>#VALUE!</v>
      </c>
      <c r="J347" s="399" t="e">
        <f ca="1">IF(ISERROR('[1]Smelter List'!$S69),"",OFFSET('[1]Smelter Reference List'!$I$4,'[1]Smelter List'!$S69-4,0))</f>
        <v>#VALUE!</v>
      </c>
      <c r="K347" s="402"/>
      <c r="L347" s="402"/>
      <c r="M347" s="402"/>
      <c r="N347" s="402"/>
      <c r="O347" s="402"/>
      <c r="P347" s="402"/>
      <c r="Q347" s="403"/>
      <c r="R347" s="233"/>
      <c r="S347" s="234" t="e">
        <f>IF(#REF!="",NA(),MATCH(#REF!&amp;#REF!,'Smelter Reference List'!$J:$J,0))</f>
        <v>#REF!</v>
      </c>
      <c r="T347" s="235"/>
      <c r="U347" s="235" t="e">
        <f>IF(AND(#REF!="Smelter not listed",OR(LEN(#REF!)=0,LEN(#REF!)=0)),1,0)</f>
        <v>#REF!</v>
      </c>
      <c r="V347" s="235"/>
      <c r="W347" s="235"/>
      <c r="Y347" s="228" t="e">
        <f>#REF!&amp;#REF!</f>
        <v>#REF!</v>
      </c>
    </row>
    <row r="348" spans="1:25" s="228" customFormat="1" ht="25.5">
      <c r="A348" s="257" t="s">
        <v>1324</v>
      </c>
      <c r="B348" s="396" t="str">
        <f>IF(LEN(A348)=0,"",INDEX('[1]Smelter Reference List'!$A$1:$A$65536,MATCH($A348,'[1]Smelter Reference List'!$E$1:$E$65536,0)))</f>
        <v>Gold</v>
      </c>
      <c r="C348" s="397" t="str">
        <f>IF(LEN(A348)=0,"",INDEX('[1]Smelter Reference List'!$C$1:$C$65536,MATCH($A348,'[1]Smelter Reference List'!$E$1:$E$65536,0)))</f>
        <v>The Refinery of Shandong Gold Mining Co., Ltd.</v>
      </c>
      <c r="D348" s="396" t="e">
        <f ca="1">IF(ISERROR('[1]Smelter List'!$S70),"",OFFSET('[1]Smelter Reference List'!$C$4,'[1]Smelter List'!$S70-4,0)&amp;"")</f>
        <v>#VALUE!</v>
      </c>
      <c r="E348" s="396" t="e">
        <f ca="1">IF(ISERROR('[1]Smelter List'!$S70),"",OFFSET('[1]Smelter Reference List'!$D$4,'[1]Smelter List'!$S70-4,0)&amp;"")</f>
        <v>#VALUE!</v>
      </c>
      <c r="F348" s="396" t="e">
        <f ca="1">IF(ISERROR('[1]Smelter List'!$S70),"",OFFSET('[1]Smelter Reference List'!$E$4,'[1]Smelter List'!$S70-4,0))</f>
        <v>#VALUE!</v>
      </c>
      <c r="G348" s="396" t="e">
        <f ca="1">IF(C348='[1]Smelter List'!$U$4,"Enter smelter details", IF(ISERROR('[1]Smelter List'!$S70),"",OFFSET('[1]Smelter Reference List'!$F$4,'[1]Smelter List'!$S70-4,0)))</f>
        <v>#VALUE!</v>
      </c>
      <c r="H348" s="398" t="e">
        <f ca="1">IF(ISERROR('[1]Smelter List'!$S70),"",OFFSET('[1]Smelter Reference List'!$G$4,'[1]Smelter List'!$S70-4,0))</f>
        <v>#VALUE!</v>
      </c>
      <c r="I348" s="399" t="e">
        <f ca="1">IF(ISERROR('[1]Smelter List'!$S70),"",OFFSET('[1]Smelter Reference List'!$H$4,'[1]Smelter List'!$S70-4,0))</f>
        <v>#VALUE!</v>
      </c>
      <c r="J348" s="399" t="e">
        <f ca="1">IF(ISERROR('[1]Smelter List'!$S70),"",OFFSET('[1]Smelter Reference List'!$I$4,'[1]Smelter List'!$S70-4,0))</f>
        <v>#VALUE!</v>
      </c>
      <c r="K348" s="402"/>
      <c r="L348" s="402"/>
      <c r="M348" s="402"/>
      <c r="N348" s="402"/>
      <c r="O348" s="402"/>
      <c r="P348" s="402"/>
      <c r="Q348" s="403"/>
      <c r="R348" s="233"/>
      <c r="S348" s="234" t="e">
        <f>IF(#REF!="",NA(),MATCH(#REF!&amp;#REF!,'Smelter Reference List'!$J:$J,0))</f>
        <v>#REF!</v>
      </c>
      <c r="T348" s="235"/>
      <c r="U348" s="235" t="e">
        <f>IF(AND(#REF!="Smelter not listed",OR(LEN(#REF!)=0,LEN(#REF!)=0)),1,0)</f>
        <v>#REF!</v>
      </c>
      <c r="V348" s="235"/>
      <c r="W348" s="235"/>
      <c r="Y348" s="228" t="e">
        <f>#REF!&amp;#REF!</f>
        <v>#REF!</v>
      </c>
    </row>
    <row r="349" spans="1:25" s="228" customFormat="1" ht="20.25">
      <c r="A349" s="257" t="s">
        <v>1325</v>
      </c>
      <c r="B349" s="396" t="str">
        <f>IF(LEN(A349)=0,"",INDEX('[1]Smelter Reference List'!$A$1:$A$65536,MATCH($A349,'[1]Smelter Reference List'!$E$1:$E$65536,0)))</f>
        <v>Gold</v>
      </c>
      <c r="C349" s="397" t="str">
        <f>IF(LEN(A349)=0,"",INDEX('[1]Smelter Reference List'!$C$1:$C$65536,MATCH($A349,'[1]Smelter Reference List'!$E$1:$E$65536,0)))</f>
        <v>Tokuriki Honten Co., Ltd.</v>
      </c>
      <c r="D349" s="396" t="e">
        <f ca="1">IF(ISERROR('[1]Smelter List'!$S71),"",OFFSET('[1]Smelter Reference List'!$C$4,'[1]Smelter List'!$S71-4,0)&amp;"")</f>
        <v>#VALUE!</v>
      </c>
      <c r="E349" s="396" t="e">
        <f ca="1">IF(ISERROR('[1]Smelter List'!$S71),"",OFFSET('[1]Smelter Reference List'!$D$4,'[1]Smelter List'!$S71-4,0)&amp;"")</f>
        <v>#VALUE!</v>
      </c>
      <c r="F349" s="396" t="e">
        <f ca="1">IF(ISERROR('[1]Smelter List'!$S71),"",OFFSET('[1]Smelter Reference List'!$E$4,'[1]Smelter List'!$S71-4,0))</f>
        <v>#VALUE!</v>
      </c>
      <c r="G349" s="396" t="e">
        <f ca="1">IF(C349='[1]Smelter List'!$U$4,"Enter smelter details", IF(ISERROR('[1]Smelter List'!$S71),"",OFFSET('[1]Smelter Reference List'!$F$4,'[1]Smelter List'!$S71-4,0)))</f>
        <v>#VALUE!</v>
      </c>
      <c r="H349" s="398" t="e">
        <f ca="1">IF(ISERROR('[1]Smelter List'!$S71),"",OFFSET('[1]Smelter Reference List'!$G$4,'[1]Smelter List'!$S71-4,0))</f>
        <v>#VALUE!</v>
      </c>
      <c r="I349" s="399" t="e">
        <f ca="1">IF(ISERROR('[1]Smelter List'!$S71),"",OFFSET('[1]Smelter Reference List'!$H$4,'[1]Smelter List'!$S71-4,0))</f>
        <v>#VALUE!</v>
      </c>
      <c r="J349" s="399" t="e">
        <f ca="1">IF(ISERROR('[1]Smelter List'!$S71),"",OFFSET('[1]Smelter Reference List'!$I$4,'[1]Smelter List'!$S71-4,0))</f>
        <v>#VALUE!</v>
      </c>
      <c r="K349" s="402"/>
      <c r="L349" s="402"/>
      <c r="M349" s="402"/>
      <c r="N349" s="402"/>
      <c r="O349" s="402"/>
      <c r="P349" s="402"/>
      <c r="Q349" s="403"/>
      <c r="R349" s="233"/>
      <c r="S349" s="234" t="e">
        <f>IF(#REF!="",NA(),MATCH(#REF!&amp;#REF!,'Smelter Reference List'!$J:$J,0))</f>
        <v>#REF!</v>
      </c>
      <c r="T349" s="235"/>
      <c r="U349" s="235" t="e">
        <f>IF(AND(#REF!="Smelter not listed",OR(LEN(#REF!)=0,LEN(#REF!)=0)),1,0)</f>
        <v>#REF!</v>
      </c>
      <c r="V349" s="235"/>
      <c r="W349" s="235"/>
      <c r="Y349" s="228" t="e">
        <f>#REF!&amp;#REF!</f>
        <v>#REF!</v>
      </c>
    </row>
    <row r="350" spans="1:25" s="228" customFormat="1" ht="20.25">
      <c r="A350" s="257" t="s">
        <v>1327</v>
      </c>
      <c r="B350" s="396" t="str">
        <f>IF(LEN(A350)=0,"",INDEX('[1]Smelter Reference List'!$A$1:$A$65536,MATCH($A350,'[1]Smelter Reference List'!$E$1:$E$65536,0)))</f>
        <v>Gold</v>
      </c>
      <c r="C350" s="397" t="str">
        <f>IF(LEN(A350)=0,"",INDEX('[1]Smelter Reference List'!$C$1:$C$65536,MATCH($A350,'[1]Smelter Reference List'!$E$1:$E$65536,0)))</f>
        <v>Torecom</v>
      </c>
      <c r="D350" s="396" t="e">
        <f ca="1">IF(ISERROR('[1]Smelter List'!$S72),"",OFFSET('[1]Smelter Reference List'!$C$4,'[1]Smelter List'!$S72-4,0)&amp;"")</f>
        <v>#VALUE!</v>
      </c>
      <c r="E350" s="396" t="e">
        <f ca="1">IF(ISERROR('[1]Smelter List'!$S72),"",OFFSET('[1]Smelter Reference List'!$D$4,'[1]Smelter List'!$S72-4,0)&amp;"")</f>
        <v>#VALUE!</v>
      </c>
      <c r="F350" s="396" t="e">
        <f ca="1">IF(ISERROR('[1]Smelter List'!$S72),"",OFFSET('[1]Smelter Reference List'!$E$4,'[1]Smelter List'!$S72-4,0))</f>
        <v>#VALUE!</v>
      </c>
      <c r="G350" s="396" t="e">
        <f ca="1">IF(C350='[1]Smelter List'!$U$4,"Enter smelter details", IF(ISERROR('[1]Smelter List'!$S72),"",OFFSET('[1]Smelter Reference List'!$F$4,'[1]Smelter List'!$S72-4,0)))</f>
        <v>#VALUE!</v>
      </c>
      <c r="H350" s="398" t="e">
        <f ca="1">IF(ISERROR('[1]Smelter List'!$S72),"",OFFSET('[1]Smelter Reference List'!$G$4,'[1]Smelter List'!$S72-4,0))</f>
        <v>#VALUE!</v>
      </c>
      <c r="I350" s="399" t="e">
        <f ca="1">IF(ISERROR('[1]Smelter List'!$S72),"",OFFSET('[1]Smelter Reference List'!$H$4,'[1]Smelter List'!$S72-4,0))</f>
        <v>#VALUE!</v>
      </c>
      <c r="J350" s="399" t="e">
        <f ca="1">IF(ISERROR('[1]Smelter List'!$S72),"",OFFSET('[1]Smelter Reference List'!$I$4,'[1]Smelter List'!$S72-4,0))</f>
        <v>#VALUE!</v>
      </c>
      <c r="K350" s="402"/>
      <c r="L350" s="402"/>
      <c r="M350" s="402"/>
      <c r="N350" s="402"/>
      <c r="O350" s="402"/>
      <c r="P350" s="402"/>
      <c r="Q350" s="403"/>
      <c r="R350" s="233"/>
      <c r="S350" s="234" t="e">
        <f>IF(#REF!="",NA(),MATCH(#REF!&amp;#REF!,'Smelter Reference List'!$J:$J,0))</f>
        <v>#REF!</v>
      </c>
      <c r="T350" s="235"/>
      <c r="U350" s="235" t="e">
        <f>IF(AND(#REF!="Smelter not listed",OR(LEN(#REF!)=0,LEN(#REF!)=0)),1,0)</f>
        <v>#REF!</v>
      </c>
      <c r="V350" s="235"/>
      <c r="W350" s="235"/>
      <c r="Y350" s="228" t="e">
        <f>#REF!&amp;#REF!</f>
        <v>#REF!</v>
      </c>
    </row>
    <row r="351" spans="1:25" s="228" customFormat="1" ht="20.25">
      <c r="A351" s="257" t="s">
        <v>1328</v>
      </c>
      <c r="B351" s="396" t="str">
        <f>IF(LEN(A351)=0,"",INDEX('[1]Smelter Reference List'!$A$1:$A$65536,MATCH($A351,'[1]Smelter Reference List'!$E$1:$E$65536,0)))</f>
        <v>Gold</v>
      </c>
      <c r="C351" s="397" t="str">
        <f>IF(LEN(A351)=0,"",INDEX('[1]Smelter Reference List'!$C$1:$C$65536,MATCH($A351,'[1]Smelter Reference List'!$E$1:$E$65536,0)))</f>
        <v>Umicore Brasil Ltda.</v>
      </c>
      <c r="D351" s="396" t="e">
        <f ca="1">IF(ISERROR('[1]Smelter List'!$S73),"",OFFSET('[1]Smelter Reference List'!$C$4,'[1]Smelter List'!$S73-4,0)&amp;"")</f>
        <v>#VALUE!</v>
      </c>
      <c r="E351" s="396" t="e">
        <f ca="1">IF(ISERROR('[1]Smelter List'!$S73),"",OFFSET('[1]Smelter Reference List'!$D$4,'[1]Smelter List'!$S73-4,0)&amp;"")</f>
        <v>#VALUE!</v>
      </c>
      <c r="F351" s="396" t="e">
        <f ca="1">IF(ISERROR('[1]Smelter List'!$S73),"",OFFSET('[1]Smelter Reference List'!$E$4,'[1]Smelter List'!$S73-4,0))</f>
        <v>#VALUE!</v>
      </c>
      <c r="G351" s="396" t="e">
        <f ca="1">IF(C351='[1]Smelter List'!$U$4,"Enter smelter details", IF(ISERROR('[1]Smelter List'!$S73),"",OFFSET('[1]Smelter Reference List'!$F$4,'[1]Smelter List'!$S73-4,0)))</f>
        <v>#VALUE!</v>
      </c>
      <c r="H351" s="398" t="e">
        <f ca="1">IF(ISERROR('[1]Smelter List'!$S73),"",OFFSET('[1]Smelter Reference List'!$G$4,'[1]Smelter List'!$S73-4,0))</f>
        <v>#VALUE!</v>
      </c>
      <c r="I351" s="399" t="e">
        <f ca="1">IF(ISERROR('[1]Smelter List'!$S73),"",OFFSET('[1]Smelter Reference List'!$H$4,'[1]Smelter List'!$S73-4,0))</f>
        <v>#VALUE!</v>
      </c>
      <c r="J351" s="399" t="e">
        <f ca="1">IF(ISERROR('[1]Smelter List'!$S73),"",OFFSET('[1]Smelter Reference List'!$I$4,'[1]Smelter List'!$S73-4,0))</f>
        <v>#VALUE!</v>
      </c>
      <c r="K351" s="402"/>
      <c r="L351" s="402"/>
      <c r="M351" s="402"/>
      <c r="N351" s="402"/>
      <c r="O351" s="402"/>
      <c r="P351" s="402"/>
      <c r="Q351" s="403"/>
      <c r="R351" s="233"/>
      <c r="S351" s="234" t="e">
        <f>IF(#REF!="",NA(),MATCH(#REF!&amp;#REF!,'Smelter Reference List'!$J:$J,0))</f>
        <v>#REF!</v>
      </c>
      <c r="T351" s="235"/>
      <c r="U351" s="235" t="e">
        <f>IF(AND(#REF!="Smelter not listed",OR(LEN(#REF!)=0,LEN(#REF!)=0)),1,0)</f>
        <v>#REF!</v>
      </c>
      <c r="V351" s="235"/>
      <c r="W351" s="235"/>
      <c r="Y351" s="228" t="e">
        <f>#REF!&amp;#REF!</f>
        <v>#REF!</v>
      </c>
    </row>
    <row r="352" spans="1:25" s="228" customFormat="1" ht="25.5">
      <c r="A352" s="257" t="s">
        <v>1329</v>
      </c>
      <c r="B352" s="396" t="str">
        <f>IF(LEN(A352)=0,"",INDEX('[1]Smelter Reference List'!$A$1:$A$65536,MATCH($A352,'[1]Smelter Reference List'!$E$1:$E$65536,0)))</f>
        <v>Gold</v>
      </c>
      <c r="C352" s="397" t="str">
        <f>IF(LEN(A352)=0,"",INDEX('[1]Smelter Reference List'!$C$1:$C$65536,MATCH($A352,'[1]Smelter Reference List'!$E$1:$E$65536,0)))</f>
        <v>Umicore S.A. Business Unit Precious Metals Refining</v>
      </c>
      <c r="D352" s="396" t="e">
        <f ca="1">IF(ISERROR('[1]Smelter List'!$S74),"",OFFSET('[1]Smelter Reference List'!$C$4,'[1]Smelter List'!$S74-4,0)&amp;"")</f>
        <v>#VALUE!</v>
      </c>
      <c r="E352" s="396" t="e">
        <f ca="1">IF(ISERROR('[1]Smelter List'!$S74),"",OFFSET('[1]Smelter Reference List'!$D$4,'[1]Smelter List'!$S74-4,0)&amp;"")</f>
        <v>#VALUE!</v>
      </c>
      <c r="F352" s="396" t="e">
        <f ca="1">IF(ISERROR('[1]Smelter List'!$S74),"",OFFSET('[1]Smelter Reference List'!$E$4,'[1]Smelter List'!$S74-4,0))</f>
        <v>#VALUE!</v>
      </c>
      <c r="G352" s="396" t="e">
        <f ca="1">IF(C352='[1]Smelter List'!$U$4,"Enter smelter details", IF(ISERROR('[1]Smelter List'!$S74),"",OFFSET('[1]Smelter Reference List'!$F$4,'[1]Smelter List'!$S74-4,0)))</f>
        <v>#VALUE!</v>
      </c>
      <c r="H352" s="398" t="e">
        <f ca="1">IF(ISERROR('[1]Smelter List'!$S74),"",OFFSET('[1]Smelter Reference List'!$G$4,'[1]Smelter List'!$S74-4,0))</f>
        <v>#VALUE!</v>
      </c>
      <c r="I352" s="399" t="e">
        <f ca="1">IF(ISERROR('[1]Smelter List'!$S74),"",OFFSET('[1]Smelter Reference List'!$H$4,'[1]Smelter List'!$S74-4,0))</f>
        <v>#VALUE!</v>
      </c>
      <c r="J352" s="399" t="e">
        <f ca="1">IF(ISERROR('[1]Smelter List'!$S74),"",OFFSET('[1]Smelter Reference List'!$I$4,'[1]Smelter List'!$S74-4,0))</f>
        <v>#VALUE!</v>
      </c>
      <c r="K352" s="402"/>
      <c r="L352" s="402"/>
      <c r="M352" s="402"/>
      <c r="N352" s="402"/>
      <c r="O352" s="402"/>
      <c r="P352" s="402"/>
      <c r="Q352" s="403"/>
      <c r="R352" s="233"/>
      <c r="S352" s="234" t="e">
        <f>IF(#REF!="",NA(),MATCH(#REF!&amp;#REF!,'Smelter Reference List'!$J:$J,0))</f>
        <v>#REF!</v>
      </c>
      <c r="T352" s="235"/>
      <c r="U352" s="235" t="e">
        <f>IF(AND(#REF!="Smelter not listed",OR(LEN(#REF!)=0,LEN(#REF!)=0)),1,0)</f>
        <v>#REF!</v>
      </c>
      <c r="V352" s="235"/>
      <c r="W352" s="235"/>
      <c r="Y352" s="228" t="e">
        <f>#REF!&amp;#REF!</f>
        <v>#REF!</v>
      </c>
    </row>
    <row r="353" spans="1:25" s="228" customFormat="1" ht="20.25">
      <c r="A353" s="257" t="s">
        <v>1330</v>
      </c>
      <c r="B353" s="396" t="str">
        <f>IF(LEN(A353)=0,"",INDEX('[1]Smelter Reference List'!$A$1:$A$65536,MATCH($A353,'[1]Smelter Reference List'!$E$1:$E$65536,0)))</f>
        <v>Gold</v>
      </c>
      <c r="C353" s="397" t="str">
        <f>IF(LEN(A353)=0,"",INDEX('[1]Smelter Reference List'!$C$1:$C$65536,MATCH($A353,'[1]Smelter Reference List'!$E$1:$E$65536,0)))</f>
        <v>United Precious Metal Refining, Inc.</v>
      </c>
      <c r="D353" s="396" t="e">
        <f ca="1">IF(ISERROR('[1]Smelter List'!$S75),"",OFFSET('[1]Smelter Reference List'!$C$4,'[1]Smelter List'!$S75-4,0)&amp;"")</f>
        <v>#VALUE!</v>
      </c>
      <c r="E353" s="396" t="e">
        <f ca="1">IF(ISERROR('[1]Smelter List'!$S75),"",OFFSET('[1]Smelter Reference List'!$D$4,'[1]Smelter List'!$S75-4,0)&amp;"")</f>
        <v>#VALUE!</v>
      </c>
      <c r="F353" s="396" t="e">
        <f ca="1">IF(ISERROR('[1]Smelter List'!$S75),"",OFFSET('[1]Smelter Reference List'!$E$4,'[1]Smelter List'!$S75-4,0))</f>
        <v>#VALUE!</v>
      </c>
      <c r="G353" s="396" t="e">
        <f ca="1">IF(C353='[1]Smelter List'!$U$4,"Enter smelter details", IF(ISERROR('[1]Smelter List'!$S75),"",OFFSET('[1]Smelter Reference List'!$F$4,'[1]Smelter List'!$S75-4,0)))</f>
        <v>#VALUE!</v>
      </c>
      <c r="H353" s="398" t="e">
        <f ca="1">IF(ISERROR('[1]Smelter List'!$S75),"",OFFSET('[1]Smelter Reference List'!$G$4,'[1]Smelter List'!$S75-4,0))</f>
        <v>#VALUE!</v>
      </c>
      <c r="I353" s="399" t="e">
        <f ca="1">IF(ISERROR('[1]Smelter List'!$S75),"",OFFSET('[1]Smelter Reference List'!$H$4,'[1]Smelter List'!$S75-4,0))</f>
        <v>#VALUE!</v>
      </c>
      <c r="J353" s="399" t="e">
        <f ca="1">IF(ISERROR('[1]Smelter List'!$S75),"",OFFSET('[1]Smelter Reference List'!$I$4,'[1]Smelter List'!$S75-4,0))</f>
        <v>#VALUE!</v>
      </c>
      <c r="K353" s="402"/>
      <c r="L353" s="402"/>
      <c r="M353" s="402"/>
      <c r="N353" s="402"/>
      <c r="O353" s="402"/>
      <c r="P353" s="402"/>
      <c r="Q353" s="403"/>
      <c r="R353" s="233"/>
      <c r="S353" s="234" t="e">
        <f>IF(#REF!="",NA(),MATCH(#REF!&amp;#REF!,'Smelter Reference List'!$J:$J,0))</f>
        <v>#REF!</v>
      </c>
      <c r="T353" s="235"/>
      <c r="U353" s="235" t="e">
        <f>IF(AND(#REF!="Smelter not listed",OR(LEN(#REF!)=0,LEN(#REF!)=0)),1,0)</f>
        <v>#REF!</v>
      </c>
      <c r="V353" s="235"/>
      <c r="W353" s="235"/>
      <c r="Y353" s="228" t="e">
        <f>#REF!&amp;#REF!</f>
        <v>#REF!</v>
      </c>
    </row>
    <row r="354" spans="1:25" s="228" customFormat="1" ht="20.25">
      <c r="A354" s="257" t="s">
        <v>1331</v>
      </c>
      <c r="B354" s="396" t="str">
        <f>IF(LEN(A354)=0,"",INDEX('[1]Smelter Reference List'!$A$1:$A$65536,MATCH($A354,'[1]Smelter Reference List'!$E$1:$E$65536,0)))</f>
        <v>Gold</v>
      </c>
      <c r="C354" s="397" t="str">
        <f>IF(LEN(A354)=0,"",INDEX('[1]Smelter Reference List'!$C$1:$C$65536,MATCH($A354,'[1]Smelter Reference List'!$E$1:$E$65536,0)))</f>
        <v>Valcambi S.A.</v>
      </c>
      <c r="D354" s="396" t="e">
        <f ca="1">IF(ISERROR('[1]Smelter List'!$S76),"",OFFSET('[1]Smelter Reference List'!$C$4,'[1]Smelter List'!$S76-4,0)&amp;"")</f>
        <v>#VALUE!</v>
      </c>
      <c r="E354" s="396" t="e">
        <f ca="1">IF(ISERROR('[1]Smelter List'!$S76),"",OFFSET('[1]Smelter Reference List'!$D$4,'[1]Smelter List'!$S76-4,0)&amp;"")</f>
        <v>#VALUE!</v>
      </c>
      <c r="F354" s="396" t="e">
        <f ca="1">IF(ISERROR('[1]Smelter List'!$S76),"",OFFSET('[1]Smelter Reference List'!$E$4,'[1]Smelter List'!$S76-4,0))</f>
        <v>#VALUE!</v>
      </c>
      <c r="G354" s="396" t="e">
        <f ca="1">IF(C354='[1]Smelter List'!$U$4,"Enter smelter details", IF(ISERROR('[1]Smelter List'!$S76),"",OFFSET('[1]Smelter Reference List'!$F$4,'[1]Smelter List'!$S76-4,0)))</f>
        <v>#VALUE!</v>
      </c>
      <c r="H354" s="398" t="e">
        <f ca="1">IF(ISERROR('[1]Smelter List'!$S76),"",OFFSET('[1]Smelter Reference List'!$G$4,'[1]Smelter List'!$S76-4,0))</f>
        <v>#VALUE!</v>
      </c>
      <c r="I354" s="399" t="e">
        <f ca="1">IF(ISERROR('[1]Smelter List'!$S76),"",OFFSET('[1]Smelter Reference List'!$H$4,'[1]Smelter List'!$S76-4,0))</f>
        <v>#VALUE!</v>
      </c>
      <c r="J354" s="399" t="e">
        <f ca="1">IF(ISERROR('[1]Smelter List'!$S76),"",OFFSET('[1]Smelter Reference List'!$I$4,'[1]Smelter List'!$S76-4,0))</f>
        <v>#VALUE!</v>
      </c>
      <c r="K354" s="402"/>
      <c r="L354" s="402"/>
      <c r="M354" s="402"/>
      <c r="N354" s="402"/>
      <c r="O354" s="402"/>
      <c r="P354" s="402"/>
      <c r="Q354" s="403"/>
      <c r="R354" s="233"/>
      <c r="S354" s="234" t="e">
        <f>IF(#REF!="",NA(),MATCH(#REF!&amp;#REF!,'Smelter Reference List'!$J:$J,0))</f>
        <v>#REF!</v>
      </c>
      <c r="T354" s="235"/>
      <c r="U354" s="235" t="e">
        <f>IF(AND(#REF!="Smelter not listed",OR(LEN(#REF!)=0,LEN(#REF!)=0)),1,0)</f>
        <v>#REF!</v>
      </c>
      <c r="V354" s="235"/>
      <c r="W354" s="235"/>
      <c r="Y354" s="228" t="e">
        <f>#REF!&amp;#REF!</f>
        <v>#REF!</v>
      </c>
    </row>
    <row r="355" spans="1:25" s="228" customFormat="1" ht="25.5">
      <c r="A355" s="257" t="s">
        <v>1332</v>
      </c>
      <c r="B355" s="396" t="str">
        <f>IF(LEN(A355)=0,"",INDEX('[1]Smelter Reference List'!$A$1:$A$65536,MATCH($A355,'[1]Smelter Reference List'!$E$1:$E$65536,0)))</f>
        <v>Gold</v>
      </c>
      <c r="C355" s="397" t="str">
        <f>IF(LEN(A355)=0,"",INDEX('[1]Smelter Reference List'!$C$1:$C$65536,MATCH($A355,'[1]Smelter Reference List'!$E$1:$E$65536,0)))</f>
        <v>Western Australian Mint trading as The Perth Mint</v>
      </c>
      <c r="D355" s="396" t="e">
        <f ca="1">IF(ISERROR('[1]Smelter List'!$S77),"",OFFSET('[1]Smelter Reference List'!$C$4,'[1]Smelter List'!$S77-4,0)&amp;"")</f>
        <v>#VALUE!</v>
      </c>
      <c r="E355" s="396" t="e">
        <f ca="1">IF(ISERROR('[1]Smelter List'!$S77),"",OFFSET('[1]Smelter Reference List'!$D$4,'[1]Smelter List'!$S77-4,0)&amp;"")</f>
        <v>#VALUE!</v>
      </c>
      <c r="F355" s="396" t="e">
        <f ca="1">IF(ISERROR('[1]Smelter List'!$S77),"",OFFSET('[1]Smelter Reference List'!$E$4,'[1]Smelter List'!$S77-4,0))</f>
        <v>#VALUE!</v>
      </c>
      <c r="G355" s="396" t="e">
        <f ca="1">IF(C355='[1]Smelter List'!$U$4,"Enter smelter details", IF(ISERROR('[1]Smelter List'!$S77),"",OFFSET('[1]Smelter Reference List'!$F$4,'[1]Smelter List'!$S77-4,0)))</f>
        <v>#VALUE!</v>
      </c>
      <c r="H355" s="398" t="e">
        <f ca="1">IF(ISERROR('[1]Smelter List'!$S77),"",OFFSET('[1]Smelter Reference List'!$G$4,'[1]Smelter List'!$S77-4,0))</f>
        <v>#VALUE!</v>
      </c>
      <c r="I355" s="399" t="e">
        <f ca="1">IF(ISERROR('[1]Smelter List'!$S77),"",OFFSET('[1]Smelter Reference List'!$H$4,'[1]Smelter List'!$S77-4,0))</f>
        <v>#VALUE!</v>
      </c>
      <c r="J355" s="399" t="e">
        <f ca="1">IF(ISERROR('[1]Smelter List'!$S77),"",OFFSET('[1]Smelter Reference List'!$I$4,'[1]Smelter List'!$S77-4,0))</f>
        <v>#VALUE!</v>
      </c>
      <c r="K355" s="402"/>
      <c r="L355" s="402"/>
      <c r="M355" s="402"/>
      <c r="N355" s="402"/>
      <c r="O355" s="402"/>
      <c r="P355" s="402"/>
      <c r="Q355" s="403"/>
      <c r="R355" s="233"/>
      <c r="S355" s="234" t="e">
        <f>IF(#REF!="",NA(),MATCH(#REF!&amp;#REF!,'Smelter Reference List'!$J:$J,0))</f>
        <v>#REF!</v>
      </c>
      <c r="T355" s="235"/>
      <c r="U355" s="235" t="e">
        <f>IF(AND(#REF!="Smelter not listed",OR(LEN(#REF!)=0,LEN(#REF!)=0)),1,0)</f>
        <v>#REF!</v>
      </c>
      <c r="V355" s="235"/>
      <c r="W355" s="235"/>
      <c r="Y355" s="228" t="e">
        <f>#REF!&amp;#REF!</f>
        <v>#REF!</v>
      </c>
    </row>
    <row r="356" spans="1:25" s="228" customFormat="1" ht="20.25">
      <c r="A356" s="257" t="s">
        <v>1333</v>
      </c>
      <c r="B356" s="396" t="str">
        <f>IF(LEN(A356)=0,"",INDEX('[1]Smelter Reference List'!$A$1:$A$65536,MATCH($A356,'[1]Smelter Reference List'!$E$1:$E$65536,0)))</f>
        <v>Gold</v>
      </c>
      <c r="C356" s="397" t="str">
        <f>IF(LEN(A356)=0,"",INDEX('[1]Smelter Reference List'!$C$1:$C$65536,MATCH($A356,'[1]Smelter Reference List'!$E$1:$E$65536,0)))</f>
        <v>Yamamoto Precious Metal Co., Ltd.</v>
      </c>
      <c r="D356" s="396" t="e">
        <f ca="1">IF(ISERROR('[1]Smelter List'!$S78),"",OFFSET('[1]Smelter Reference List'!$C$4,'[1]Smelter List'!$S78-4,0)&amp;"")</f>
        <v>#VALUE!</v>
      </c>
      <c r="E356" s="396" t="e">
        <f ca="1">IF(ISERROR('[1]Smelter List'!$S78),"",OFFSET('[1]Smelter Reference List'!$D$4,'[1]Smelter List'!$S78-4,0)&amp;"")</f>
        <v>#VALUE!</v>
      </c>
      <c r="F356" s="396" t="e">
        <f ca="1">IF(ISERROR('[1]Smelter List'!$S78),"",OFFSET('[1]Smelter Reference List'!$E$4,'[1]Smelter List'!$S78-4,0))</f>
        <v>#VALUE!</v>
      </c>
      <c r="G356" s="396" t="e">
        <f ca="1">IF(C356='[1]Smelter List'!$U$4,"Enter smelter details", IF(ISERROR('[1]Smelter List'!$S78),"",OFFSET('[1]Smelter Reference List'!$F$4,'[1]Smelter List'!$S78-4,0)))</f>
        <v>#VALUE!</v>
      </c>
      <c r="H356" s="398" t="e">
        <f ca="1">IF(ISERROR('[1]Smelter List'!$S78),"",OFFSET('[1]Smelter Reference List'!$G$4,'[1]Smelter List'!$S78-4,0))</f>
        <v>#VALUE!</v>
      </c>
      <c r="I356" s="399" t="e">
        <f ca="1">IF(ISERROR('[1]Smelter List'!$S78),"",OFFSET('[1]Smelter Reference List'!$H$4,'[1]Smelter List'!$S78-4,0))</f>
        <v>#VALUE!</v>
      </c>
      <c r="J356" s="399" t="e">
        <f ca="1">IF(ISERROR('[1]Smelter List'!$S78),"",OFFSET('[1]Smelter Reference List'!$I$4,'[1]Smelter List'!$S78-4,0))</f>
        <v>#VALUE!</v>
      </c>
      <c r="K356" s="402"/>
      <c r="L356" s="402"/>
      <c r="M356" s="402"/>
      <c r="N356" s="402"/>
      <c r="O356" s="402"/>
      <c r="P356" s="402"/>
      <c r="Q356" s="403"/>
      <c r="R356" s="233"/>
      <c r="S356" s="234" t="e">
        <f>IF(#REF!="",NA(),MATCH(#REF!&amp;#REF!,'Smelter Reference List'!$J:$J,0))</f>
        <v>#REF!</v>
      </c>
      <c r="T356" s="235"/>
      <c r="U356" s="235" t="e">
        <f>IF(AND(#REF!="Smelter not listed",OR(LEN(#REF!)=0,LEN(#REF!)=0)),1,0)</f>
        <v>#REF!</v>
      </c>
      <c r="V356" s="235"/>
      <c r="W356" s="235"/>
      <c r="Y356" s="228" t="e">
        <f>#REF!&amp;#REF!</f>
        <v>#REF!</v>
      </c>
    </row>
    <row r="357" spans="1:25" s="228" customFormat="1" ht="20.25">
      <c r="A357" s="257" t="s">
        <v>1334</v>
      </c>
      <c r="B357" s="396" t="str">
        <f>IF(LEN(A357)=0,"",INDEX('[1]Smelter Reference List'!$A$1:$A$65536,MATCH($A357,'[1]Smelter Reference List'!$E$1:$E$65536,0)))</f>
        <v>Gold</v>
      </c>
      <c r="C357" s="397" t="str">
        <f>IF(LEN(A357)=0,"",INDEX('[1]Smelter Reference List'!$C$1:$C$65536,MATCH($A357,'[1]Smelter Reference List'!$E$1:$E$65536,0)))</f>
        <v>Yokohama Metal Co., Ltd.</v>
      </c>
      <c r="D357" s="396" t="e">
        <f ca="1">IF(ISERROR('[1]Smelter List'!$S79),"",OFFSET('[1]Smelter Reference List'!$C$4,'[1]Smelter List'!$S79-4,0)&amp;"")</f>
        <v>#VALUE!</v>
      </c>
      <c r="E357" s="396" t="e">
        <f ca="1">IF(ISERROR('[1]Smelter List'!$S79),"",OFFSET('[1]Smelter Reference List'!$D$4,'[1]Smelter List'!$S79-4,0)&amp;"")</f>
        <v>#VALUE!</v>
      </c>
      <c r="F357" s="396" t="e">
        <f ca="1">IF(ISERROR('[1]Smelter List'!$S79),"",OFFSET('[1]Smelter Reference List'!$E$4,'[1]Smelter List'!$S79-4,0))</f>
        <v>#VALUE!</v>
      </c>
      <c r="G357" s="396" t="e">
        <f ca="1">IF(C357='[1]Smelter List'!$U$4,"Enter smelter details", IF(ISERROR('[1]Smelter List'!$S79),"",OFFSET('[1]Smelter Reference List'!$F$4,'[1]Smelter List'!$S79-4,0)))</f>
        <v>#VALUE!</v>
      </c>
      <c r="H357" s="398" t="e">
        <f ca="1">IF(ISERROR('[1]Smelter List'!$S79),"",OFFSET('[1]Smelter Reference List'!$G$4,'[1]Smelter List'!$S79-4,0))</f>
        <v>#VALUE!</v>
      </c>
      <c r="I357" s="399" t="e">
        <f ca="1">IF(ISERROR('[1]Smelter List'!$S79),"",OFFSET('[1]Smelter Reference List'!$H$4,'[1]Smelter List'!$S79-4,0))</f>
        <v>#VALUE!</v>
      </c>
      <c r="J357" s="399" t="e">
        <f ca="1">IF(ISERROR('[1]Smelter List'!$S79),"",OFFSET('[1]Smelter Reference List'!$I$4,'[1]Smelter List'!$S79-4,0))</f>
        <v>#VALUE!</v>
      </c>
      <c r="K357" s="402"/>
      <c r="L357" s="402"/>
      <c r="M357" s="402"/>
      <c r="N357" s="402"/>
      <c r="O357" s="402"/>
      <c r="P357" s="402"/>
      <c r="Q357" s="403"/>
      <c r="R357" s="233"/>
      <c r="S357" s="234" t="e">
        <f>IF(#REF!="",NA(),MATCH(#REF!&amp;#REF!,'Smelter Reference List'!$J:$J,0))</f>
        <v>#REF!</v>
      </c>
      <c r="T357" s="235"/>
      <c r="U357" s="235" t="e">
        <f>IF(AND(#REF!="Smelter not listed",OR(LEN(#REF!)=0,LEN(#REF!)=0)),1,0)</f>
        <v>#REF!</v>
      </c>
      <c r="V357" s="235"/>
      <c r="W357" s="235"/>
      <c r="Y357" s="228" t="e">
        <f>#REF!&amp;#REF!</f>
        <v>#REF!</v>
      </c>
    </row>
    <row r="358" spans="1:25" s="228" customFormat="1" ht="25.5">
      <c r="A358" s="257" t="s">
        <v>1336</v>
      </c>
      <c r="B358" s="396" t="str">
        <f>IF(LEN(A358)=0,"",INDEX('[1]Smelter Reference List'!$A$1:$A$65536,MATCH($A358,'[1]Smelter Reference List'!$E$1:$E$65536,0)))</f>
        <v>Gold</v>
      </c>
      <c r="C358" s="397" t="str">
        <f>IF(LEN(A358)=0,"",INDEX('[1]Smelter Reference List'!$C$1:$C$65536,MATCH($A358,'[1]Smelter Reference List'!$E$1:$E$65536,0)))</f>
        <v>Zhongyuan Gold Smelter of Zhongjin Gold Corporation</v>
      </c>
      <c r="D358" s="396" t="e">
        <f ca="1">IF(ISERROR('[1]Smelter List'!$S80),"",OFFSET('[1]Smelter Reference List'!$C$4,'[1]Smelter List'!$S80-4,0)&amp;"")</f>
        <v>#VALUE!</v>
      </c>
      <c r="E358" s="396" t="e">
        <f ca="1">IF(ISERROR('[1]Smelter List'!$S80),"",OFFSET('[1]Smelter Reference List'!$D$4,'[1]Smelter List'!$S80-4,0)&amp;"")</f>
        <v>#VALUE!</v>
      </c>
      <c r="F358" s="396" t="e">
        <f ca="1">IF(ISERROR('[1]Smelter List'!$S80),"",OFFSET('[1]Smelter Reference List'!$E$4,'[1]Smelter List'!$S80-4,0))</f>
        <v>#VALUE!</v>
      </c>
      <c r="G358" s="396" t="e">
        <f ca="1">IF(C358='[1]Smelter List'!$U$4,"Enter smelter details", IF(ISERROR('[1]Smelter List'!$S80),"",OFFSET('[1]Smelter Reference List'!$F$4,'[1]Smelter List'!$S80-4,0)))</f>
        <v>#VALUE!</v>
      </c>
      <c r="H358" s="398" t="e">
        <f ca="1">IF(ISERROR('[1]Smelter List'!$S80),"",OFFSET('[1]Smelter Reference List'!$G$4,'[1]Smelter List'!$S80-4,0))</f>
        <v>#VALUE!</v>
      </c>
      <c r="I358" s="399" t="e">
        <f ca="1">IF(ISERROR('[1]Smelter List'!$S80),"",OFFSET('[1]Smelter Reference List'!$H$4,'[1]Smelter List'!$S80-4,0))</f>
        <v>#VALUE!</v>
      </c>
      <c r="J358" s="399" t="e">
        <f ca="1">IF(ISERROR('[1]Smelter List'!$S80),"",OFFSET('[1]Smelter Reference List'!$I$4,'[1]Smelter List'!$S80-4,0))</f>
        <v>#VALUE!</v>
      </c>
      <c r="K358" s="402"/>
      <c r="L358" s="402"/>
      <c r="M358" s="402"/>
      <c r="N358" s="402"/>
      <c r="O358" s="402"/>
      <c r="P358" s="402"/>
      <c r="Q358" s="403"/>
      <c r="R358" s="233"/>
      <c r="S358" s="234" t="e">
        <f>IF(#REF!="",NA(),MATCH(#REF!&amp;#REF!,'Smelter Reference List'!$J:$J,0))</f>
        <v>#REF!</v>
      </c>
      <c r="T358" s="235"/>
      <c r="U358" s="235" t="e">
        <f>IF(AND(#REF!="Smelter not listed",OR(LEN(#REF!)=0,LEN(#REF!)=0)),1,0)</f>
        <v>#REF!</v>
      </c>
      <c r="V358" s="235"/>
      <c r="W358" s="235"/>
      <c r="Y358" s="228" t="e">
        <f>#REF!&amp;#REF!</f>
        <v>#REF!</v>
      </c>
    </row>
    <row r="359" spans="1:25" s="228" customFormat="1" ht="20.25">
      <c r="A359" s="257" t="s">
        <v>1337</v>
      </c>
      <c r="B359" s="396" t="str">
        <f>IF(LEN(A359)=0,"",INDEX('[1]Smelter Reference List'!$A$1:$A$65536,MATCH($A359,'[1]Smelter Reference List'!$E$1:$E$65536,0)))</f>
        <v>Gold</v>
      </c>
      <c r="C359" s="397" t="str">
        <f>IF(LEN(A359)=0,"",INDEX('[1]Smelter Reference List'!$C$1:$C$65536,MATCH($A359,'[1]Smelter Reference List'!$E$1:$E$65536,0)))</f>
        <v>Zijin Mining Group Co., Ltd. Gold Refinery</v>
      </c>
      <c r="D359" s="396" t="e">
        <f ca="1">IF(ISERROR('[1]Smelter List'!$S81),"",OFFSET('[1]Smelter Reference List'!$C$4,'[1]Smelter List'!$S81-4,0)&amp;"")</f>
        <v>#VALUE!</v>
      </c>
      <c r="E359" s="396" t="e">
        <f ca="1">IF(ISERROR('[1]Smelter List'!$S81),"",OFFSET('[1]Smelter Reference List'!$D$4,'[1]Smelter List'!$S81-4,0)&amp;"")</f>
        <v>#VALUE!</v>
      </c>
      <c r="F359" s="396" t="e">
        <f ca="1">IF(ISERROR('[1]Smelter List'!$S81),"",OFFSET('[1]Smelter Reference List'!$E$4,'[1]Smelter List'!$S81-4,0))</f>
        <v>#VALUE!</v>
      </c>
      <c r="G359" s="396" t="e">
        <f ca="1">IF(C359='[1]Smelter List'!$U$4,"Enter smelter details", IF(ISERROR('[1]Smelter List'!$S81),"",OFFSET('[1]Smelter Reference List'!$F$4,'[1]Smelter List'!$S81-4,0)))</f>
        <v>#VALUE!</v>
      </c>
      <c r="H359" s="398" t="e">
        <f ca="1">IF(ISERROR('[1]Smelter List'!$S81),"",OFFSET('[1]Smelter Reference List'!$G$4,'[1]Smelter List'!$S81-4,0))</f>
        <v>#VALUE!</v>
      </c>
      <c r="I359" s="399" t="e">
        <f ca="1">IF(ISERROR('[1]Smelter List'!$S81),"",OFFSET('[1]Smelter Reference List'!$H$4,'[1]Smelter List'!$S81-4,0))</f>
        <v>#VALUE!</v>
      </c>
      <c r="J359" s="399" t="e">
        <f ca="1">IF(ISERROR('[1]Smelter List'!$S81),"",OFFSET('[1]Smelter Reference List'!$I$4,'[1]Smelter List'!$S81-4,0))</f>
        <v>#VALUE!</v>
      </c>
      <c r="K359" s="402"/>
      <c r="L359" s="402"/>
      <c r="M359" s="402"/>
      <c r="N359" s="402"/>
      <c r="O359" s="402"/>
      <c r="P359" s="402"/>
      <c r="Q359" s="403"/>
      <c r="R359" s="233"/>
      <c r="S359" s="234" t="e">
        <f>IF(#REF!="",NA(),MATCH(#REF!&amp;#REF!,'Smelter Reference List'!$J:$J,0))</f>
        <v>#REF!</v>
      </c>
      <c r="T359" s="235"/>
      <c r="U359" s="235" t="e">
        <f>IF(AND(#REF!="Smelter not listed",OR(LEN(#REF!)=0,LEN(#REF!)=0)),1,0)</f>
        <v>#REF!</v>
      </c>
      <c r="V359" s="235"/>
      <c r="W359" s="235"/>
      <c r="Y359" s="228" t="e">
        <f>#REF!&amp;#REF!</f>
        <v>#REF!</v>
      </c>
    </row>
    <row r="360" spans="1:25" s="228" customFormat="1" ht="20.25">
      <c r="A360" s="257" t="s">
        <v>208</v>
      </c>
      <c r="B360" s="396" t="str">
        <f>IF(LEN(A360)=0,"",INDEX('[1]Smelter Reference List'!$A$1:$A$65536,MATCH($A360,'[1]Smelter Reference List'!$E$1:$E$65536,0)))</f>
        <v>Gold</v>
      </c>
      <c r="C360" s="397" t="str">
        <f>IF(LEN(A360)=0,"",INDEX('[1]Smelter Reference List'!$C$1:$C$65536,MATCH($A360,'[1]Smelter Reference List'!$E$1:$E$65536,0)))</f>
        <v>Umicore Precious Metals Thailand</v>
      </c>
      <c r="D360" s="396" t="e">
        <f ca="1">IF(ISERROR('[1]Smelter List'!$S82),"",OFFSET('[1]Smelter Reference List'!$C$4,'[1]Smelter List'!$S82-4,0)&amp;"")</f>
        <v>#VALUE!</v>
      </c>
      <c r="E360" s="396" t="e">
        <f ca="1">IF(ISERROR('[1]Smelter List'!$S82),"",OFFSET('[1]Smelter Reference List'!$D$4,'[1]Smelter List'!$S82-4,0)&amp;"")</f>
        <v>#VALUE!</v>
      </c>
      <c r="F360" s="396" t="e">
        <f ca="1">IF(ISERROR('[1]Smelter List'!$S82),"",OFFSET('[1]Smelter Reference List'!$E$4,'[1]Smelter List'!$S82-4,0))</f>
        <v>#VALUE!</v>
      </c>
      <c r="G360" s="396" t="e">
        <f ca="1">IF(C360='[1]Smelter List'!$U$4,"Enter smelter details", IF(ISERROR('[1]Smelter List'!$S82),"",OFFSET('[1]Smelter Reference List'!$F$4,'[1]Smelter List'!$S82-4,0)))</f>
        <v>#VALUE!</v>
      </c>
      <c r="H360" s="398" t="e">
        <f ca="1">IF(ISERROR('[1]Smelter List'!$S82),"",OFFSET('[1]Smelter Reference List'!$G$4,'[1]Smelter List'!$S82-4,0))</f>
        <v>#VALUE!</v>
      </c>
      <c r="I360" s="399" t="e">
        <f ca="1">IF(ISERROR('[1]Smelter List'!$S82),"",OFFSET('[1]Smelter Reference List'!$H$4,'[1]Smelter List'!$S82-4,0))</f>
        <v>#VALUE!</v>
      </c>
      <c r="J360" s="399" t="e">
        <f ca="1">IF(ISERROR('[1]Smelter List'!$S82),"",OFFSET('[1]Smelter Reference List'!$I$4,'[1]Smelter List'!$S82-4,0))</f>
        <v>#VALUE!</v>
      </c>
      <c r="K360" s="402"/>
      <c r="L360" s="402"/>
      <c r="M360" s="402"/>
      <c r="N360" s="402"/>
      <c r="O360" s="402"/>
      <c r="P360" s="402"/>
      <c r="Q360" s="403"/>
      <c r="R360" s="233"/>
      <c r="S360" s="234" t="e">
        <f>IF(#REF!="",NA(),MATCH(#REF!&amp;#REF!,'Smelter Reference List'!$J:$J,0))</f>
        <v>#REF!</v>
      </c>
      <c r="T360" s="235"/>
      <c r="U360" s="235" t="e">
        <f>IF(AND(#REF!="Smelter not listed",OR(LEN(#REF!)=0,LEN(#REF!)=0)),1,0)</f>
        <v>#REF!</v>
      </c>
      <c r="V360" s="235"/>
      <c r="W360" s="235"/>
      <c r="Y360" s="228" t="e">
        <f>#REF!&amp;#REF!</f>
        <v>#REF!</v>
      </c>
    </row>
    <row r="361" spans="1:25" s="228" customFormat="1" ht="20.25">
      <c r="A361" s="257" t="s">
        <v>2691</v>
      </c>
      <c r="B361" s="396" t="str">
        <f>IF(LEN(A361)=0,"",INDEX('[1]Smelter Reference List'!$A$1:$A$65536,MATCH($A361,'[1]Smelter Reference List'!$E$1:$E$65536,0)))</f>
        <v>Gold</v>
      </c>
      <c r="C361" s="397" t="str">
        <f>IF(LEN(A361)=0,"",INDEX('[1]Smelter Reference List'!$C$1:$C$65536,MATCH($A361,'[1]Smelter Reference List'!$E$1:$E$65536,0)))</f>
        <v>MMTC-PAMP India Pvt., Ltd.</v>
      </c>
      <c r="D361" s="396" t="e">
        <f ca="1">IF(ISERROR('[1]Smelter List'!$S83),"",OFFSET('[1]Smelter Reference List'!$C$4,'[1]Smelter List'!$S83-4,0)&amp;"")</f>
        <v>#VALUE!</v>
      </c>
      <c r="E361" s="396" t="e">
        <f ca="1">IF(ISERROR('[1]Smelter List'!$S83),"",OFFSET('[1]Smelter Reference List'!$D$4,'[1]Smelter List'!$S83-4,0)&amp;"")</f>
        <v>#VALUE!</v>
      </c>
      <c r="F361" s="396" t="e">
        <f ca="1">IF(ISERROR('[1]Smelter List'!$S83),"",OFFSET('[1]Smelter Reference List'!$E$4,'[1]Smelter List'!$S83-4,0))</f>
        <v>#VALUE!</v>
      </c>
      <c r="G361" s="396" t="e">
        <f ca="1">IF(C361='[1]Smelter List'!$U$4,"Enter smelter details", IF(ISERROR('[1]Smelter List'!$S83),"",OFFSET('[1]Smelter Reference List'!$F$4,'[1]Smelter List'!$S83-4,0)))</f>
        <v>#VALUE!</v>
      </c>
      <c r="H361" s="398" t="e">
        <f ca="1">IF(ISERROR('[1]Smelter List'!$S83),"",OFFSET('[1]Smelter Reference List'!$G$4,'[1]Smelter List'!$S83-4,0))</f>
        <v>#VALUE!</v>
      </c>
      <c r="I361" s="399" t="e">
        <f ca="1">IF(ISERROR('[1]Smelter List'!$S83),"",OFFSET('[1]Smelter Reference List'!$H$4,'[1]Smelter List'!$S83-4,0))</f>
        <v>#VALUE!</v>
      </c>
      <c r="J361" s="399" t="e">
        <f ca="1">IF(ISERROR('[1]Smelter List'!$S83),"",OFFSET('[1]Smelter Reference List'!$I$4,'[1]Smelter List'!$S83-4,0))</f>
        <v>#VALUE!</v>
      </c>
      <c r="K361" s="402"/>
      <c r="L361" s="402"/>
      <c r="M361" s="402"/>
      <c r="N361" s="402"/>
      <c r="O361" s="402"/>
      <c r="P361" s="402"/>
      <c r="Q361" s="403"/>
      <c r="R361" s="233"/>
      <c r="S361" s="234" t="e">
        <f>IF(#REF!="",NA(),MATCH(#REF!&amp;#REF!,'Smelter Reference List'!$J:$J,0))</f>
        <v>#REF!</v>
      </c>
      <c r="T361" s="235"/>
      <c r="U361" s="235" t="e">
        <f>IF(AND(#REF!="Smelter not listed",OR(LEN(#REF!)=0,LEN(#REF!)=0)),1,0)</f>
        <v>#REF!</v>
      </c>
      <c r="V361" s="235"/>
      <c r="W361" s="235"/>
      <c r="Y361" s="228" t="e">
        <f>#REF!&amp;#REF!</f>
        <v>#REF!</v>
      </c>
    </row>
    <row r="362" spans="1:25" s="228" customFormat="1" ht="20.25">
      <c r="A362" s="257" t="s">
        <v>2693</v>
      </c>
      <c r="B362" s="396" t="str">
        <f>IF(LEN(A362)=0,"",INDEX('[1]Smelter Reference List'!$A$1:$A$65536,MATCH($A362,'[1]Smelter Reference List'!$E$1:$E$65536,0)))</f>
        <v>Gold</v>
      </c>
      <c r="C362" s="397" t="str">
        <f>IF(LEN(A362)=0,"",INDEX('[1]Smelter Reference List'!$C$1:$C$65536,MATCH($A362,'[1]Smelter Reference List'!$E$1:$E$65536,0)))</f>
        <v>Republic Metals Corporation</v>
      </c>
      <c r="D362" s="396" t="e">
        <f ca="1">IF(ISERROR('[1]Smelter List'!$S84),"",OFFSET('[1]Smelter Reference List'!$C$4,'[1]Smelter List'!$S84-4,0)&amp;"")</f>
        <v>#VALUE!</v>
      </c>
      <c r="E362" s="396" t="e">
        <f ca="1">IF(ISERROR('[1]Smelter List'!$S84),"",OFFSET('[1]Smelter Reference List'!$D$4,'[1]Smelter List'!$S84-4,0)&amp;"")</f>
        <v>#VALUE!</v>
      </c>
      <c r="F362" s="396" t="e">
        <f ca="1">IF(ISERROR('[1]Smelter List'!$S84),"",OFFSET('[1]Smelter Reference List'!$E$4,'[1]Smelter List'!$S84-4,0))</f>
        <v>#VALUE!</v>
      </c>
      <c r="G362" s="396" t="e">
        <f ca="1">IF(C362='[1]Smelter List'!$U$4,"Enter smelter details", IF(ISERROR('[1]Smelter List'!$S84),"",OFFSET('[1]Smelter Reference List'!$F$4,'[1]Smelter List'!$S84-4,0)))</f>
        <v>#VALUE!</v>
      </c>
      <c r="H362" s="398" t="e">
        <f ca="1">IF(ISERROR('[1]Smelter List'!$S84),"",OFFSET('[1]Smelter Reference List'!$G$4,'[1]Smelter List'!$S84-4,0))</f>
        <v>#VALUE!</v>
      </c>
      <c r="I362" s="399" t="e">
        <f ca="1">IF(ISERROR('[1]Smelter List'!$S84),"",OFFSET('[1]Smelter Reference List'!$H$4,'[1]Smelter List'!$S84-4,0))</f>
        <v>#VALUE!</v>
      </c>
      <c r="J362" s="399" t="e">
        <f ca="1">IF(ISERROR('[1]Smelter List'!$S84),"",OFFSET('[1]Smelter Reference List'!$I$4,'[1]Smelter List'!$S84-4,0))</f>
        <v>#VALUE!</v>
      </c>
      <c r="K362" s="402"/>
      <c r="L362" s="402"/>
      <c r="M362" s="402"/>
      <c r="N362" s="402"/>
      <c r="O362" s="402"/>
      <c r="P362" s="402"/>
      <c r="Q362" s="403"/>
      <c r="R362" s="233"/>
      <c r="S362" s="234" t="e">
        <f>IF(#REF!="",NA(),MATCH(#REF!&amp;#REF!,'Smelter Reference List'!$J:$J,0))</f>
        <v>#REF!</v>
      </c>
      <c r="T362" s="235"/>
      <c r="U362" s="235" t="e">
        <f>IF(AND(#REF!="Smelter not listed",OR(LEN(#REF!)=0,LEN(#REF!)=0)),1,0)</f>
        <v>#REF!</v>
      </c>
      <c r="V362" s="235"/>
      <c r="W362" s="235"/>
      <c r="Y362" s="228" t="e">
        <f>#REF!&amp;#REF!</f>
        <v>#REF!</v>
      </c>
    </row>
    <row r="363" spans="1:25" s="228" customFormat="1" ht="25.5">
      <c r="A363" s="257" t="s">
        <v>2696</v>
      </c>
      <c r="B363" s="396" t="str">
        <f>IF(LEN(A363)=0,"",INDEX('[1]Smelter Reference List'!$A$1:$A$65536,MATCH($A363,'[1]Smelter Reference List'!$E$1:$E$65536,0)))</f>
        <v>Gold</v>
      </c>
      <c r="C363" s="397" t="str">
        <f>IF(LEN(A363)=0,"",INDEX('[1]Smelter Reference List'!$C$1:$C$65536,MATCH($A363,'[1]Smelter Reference List'!$E$1:$E$65536,0)))</f>
        <v>Singway Technology Co., Ltd.</v>
      </c>
      <c r="D363" s="396" t="e">
        <f ca="1">IF(ISERROR('[1]Smelter List'!$S85),"",OFFSET('[1]Smelter Reference List'!$C$4,'[1]Smelter List'!$S85-4,0)&amp;"")</f>
        <v>#VALUE!</v>
      </c>
      <c r="E363" s="396" t="e">
        <f ca="1">IF(ISERROR('[1]Smelter List'!$S85),"",OFFSET('[1]Smelter Reference List'!$D$4,'[1]Smelter List'!$S85-4,0)&amp;"")</f>
        <v>#VALUE!</v>
      </c>
      <c r="F363" s="396" t="e">
        <f ca="1">IF(ISERROR('[1]Smelter List'!$S85),"",OFFSET('[1]Smelter Reference List'!$E$4,'[1]Smelter List'!$S85-4,0))</f>
        <v>#VALUE!</v>
      </c>
      <c r="G363" s="396" t="e">
        <f ca="1">IF(C363='[1]Smelter List'!$U$4,"Enter smelter details", IF(ISERROR('[1]Smelter List'!$S85),"",OFFSET('[1]Smelter Reference List'!$F$4,'[1]Smelter List'!$S85-4,0)))</f>
        <v>#VALUE!</v>
      </c>
      <c r="H363" s="398" t="e">
        <f ca="1">IF(ISERROR('[1]Smelter List'!$S85),"",OFFSET('[1]Smelter Reference List'!$G$4,'[1]Smelter List'!$S85-4,0))</f>
        <v>#VALUE!</v>
      </c>
      <c r="I363" s="399" t="e">
        <f ca="1">IF(ISERROR('[1]Smelter List'!$S85),"",OFFSET('[1]Smelter Reference List'!$H$4,'[1]Smelter List'!$S85-4,0))</f>
        <v>#VALUE!</v>
      </c>
      <c r="J363" s="399" t="e">
        <f ca="1">IF(ISERROR('[1]Smelter List'!$S85),"",OFFSET('[1]Smelter Reference List'!$I$4,'[1]Smelter List'!$S85-4,0))</f>
        <v>#VALUE!</v>
      </c>
      <c r="K363" s="402"/>
      <c r="L363" s="402"/>
      <c r="M363" s="402"/>
      <c r="N363" s="402"/>
      <c r="O363" s="402"/>
      <c r="P363" s="402"/>
      <c r="Q363" s="403"/>
      <c r="R363" s="233"/>
      <c r="S363" s="234" t="e">
        <f>IF(#REF!="",NA(),MATCH(#REF!&amp;#REF!,'Smelter Reference List'!$J:$J,0))</f>
        <v>#REF!</v>
      </c>
      <c r="T363" s="235"/>
      <c r="U363" s="235" t="e">
        <f>IF(AND(#REF!="Smelter not listed",OR(LEN(#REF!)=0,LEN(#REF!)=0)),1,0)</f>
        <v>#REF!</v>
      </c>
      <c r="V363" s="235"/>
      <c r="W363" s="235"/>
      <c r="Y363" s="228" t="e">
        <f>#REF!&amp;#REF!</f>
        <v>#REF!</v>
      </c>
    </row>
    <row r="364" spans="1:25" s="228" customFormat="1" ht="20.25">
      <c r="A364" s="257" t="s">
        <v>3359</v>
      </c>
      <c r="B364" s="396" t="str">
        <f>IF(LEN(A364)=0,"",INDEX('[1]Smelter Reference List'!$A$1:$A$65536,MATCH($A364,'[1]Smelter Reference List'!$E$1:$E$65536,0)))</f>
        <v>Gold</v>
      </c>
      <c r="C364" s="397" t="str">
        <f>IF(LEN(A364)=0,"",INDEX('[1]Smelter Reference List'!$C$1:$C$65536,MATCH($A364,'[1]Smelter Reference List'!$E$1:$E$65536,0)))</f>
        <v>Emirates Gold DMCC</v>
      </c>
      <c r="D364" s="396" t="e">
        <f ca="1">IF(ISERROR('[1]Smelter List'!$S86),"",OFFSET('[1]Smelter Reference List'!$C$4,'[1]Smelter List'!$S86-4,0)&amp;"")</f>
        <v>#VALUE!</v>
      </c>
      <c r="E364" s="396" t="e">
        <f ca="1">IF(ISERROR('[1]Smelter List'!$S86),"",OFFSET('[1]Smelter Reference List'!$D$4,'[1]Smelter List'!$S86-4,0)&amp;"")</f>
        <v>#VALUE!</v>
      </c>
      <c r="F364" s="396" t="e">
        <f ca="1">IF(ISERROR('[1]Smelter List'!$S86),"",OFFSET('[1]Smelter Reference List'!$E$4,'[1]Smelter List'!$S86-4,0))</f>
        <v>#VALUE!</v>
      </c>
      <c r="G364" s="396" t="e">
        <f ca="1">IF(C364='[1]Smelter List'!$U$4,"Enter smelter details", IF(ISERROR('[1]Smelter List'!$S86),"",OFFSET('[1]Smelter Reference List'!$F$4,'[1]Smelter List'!$S86-4,0)))</f>
        <v>#VALUE!</v>
      </c>
      <c r="H364" s="398" t="e">
        <f ca="1">IF(ISERROR('[1]Smelter List'!$S86),"",OFFSET('[1]Smelter Reference List'!$G$4,'[1]Smelter List'!$S86-4,0))</f>
        <v>#VALUE!</v>
      </c>
      <c r="I364" s="399" t="e">
        <f ca="1">IF(ISERROR('[1]Smelter List'!$S86),"",OFFSET('[1]Smelter Reference List'!$H$4,'[1]Smelter List'!$S86-4,0))</f>
        <v>#VALUE!</v>
      </c>
      <c r="J364" s="399" t="e">
        <f ca="1">IF(ISERROR('[1]Smelter List'!$S86),"",OFFSET('[1]Smelter Reference List'!$I$4,'[1]Smelter List'!$S86-4,0))</f>
        <v>#VALUE!</v>
      </c>
      <c r="K364" s="402"/>
      <c r="L364" s="402"/>
      <c r="M364" s="402"/>
      <c r="N364" s="402"/>
      <c r="O364" s="402"/>
      <c r="P364" s="402"/>
      <c r="Q364" s="403"/>
      <c r="R364" s="233"/>
      <c r="S364" s="234" t="e">
        <f>IF(#REF!="",NA(),MATCH(#REF!&amp;#REF!,'Smelter Reference List'!$J:$J,0))</f>
        <v>#REF!</v>
      </c>
      <c r="T364" s="235"/>
      <c r="U364" s="235" t="e">
        <f>IF(AND(#REF!="Smelter not listed",OR(LEN(#REF!)=0,LEN(#REF!)=0)),1,0)</f>
        <v>#REF!</v>
      </c>
      <c r="V364" s="235"/>
      <c r="W364" s="235"/>
      <c r="Y364" s="228" t="e">
        <f>#REF!&amp;#REF!</f>
        <v>#REF!</v>
      </c>
    </row>
    <row r="365" spans="1:25" s="228" customFormat="1" ht="20.25">
      <c r="A365" s="257" t="s">
        <v>3366</v>
      </c>
      <c r="B365" s="396" t="str">
        <f>IF(LEN(A365)=0,"",INDEX('[1]Smelter Reference List'!$A$1:$A$65536,MATCH($A365,'[1]Smelter Reference List'!$E$1:$E$65536,0)))</f>
        <v>Gold</v>
      </c>
      <c r="C365" s="397" t="str">
        <f>IF(LEN(A365)=0,"",INDEX('[1]Smelter Reference List'!$C$1:$C$65536,MATCH($A365,'[1]Smelter Reference List'!$E$1:$E$65536,0)))</f>
        <v>T.C.A S.p.A</v>
      </c>
      <c r="D365" s="396" t="e">
        <f ca="1">IF(ISERROR('[1]Smelter List'!$S87),"",OFFSET('[1]Smelter Reference List'!$C$4,'[1]Smelter List'!$S87-4,0)&amp;"")</f>
        <v>#VALUE!</v>
      </c>
      <c r="E365" s="396" t="e">
        <f ca="1">IF(ISERROR('[1]Smelter List'!$S87),"",OFFSET('[1]Smelter Reference List'!$D$4,'[1]Smelter List'!$S87-4,0)&amp;"")</f>
        <v>#VALUE!</v>
      </c>
      <c r="F365" s="396" t="e">
        <f ca="1">IF(ISERROR('[1]Smelter List'!$S87),"",OFFSET('[1]Smelter Reference List'!$E$4,'[1]Smelter List'!$S87-4,0))</f>
        <v>#VALUE!</v>
      </c>
      <c r="G365" s="396" t="e">
        <f ca="1">IF(C365='[1]Smelter List'!$U$4,"Enter smelter details", IF(ISERROR('[1]Smelter List'!$S87),"",OFFSET('[1]Smelter Reference List'!$F$4,'[1]Smelter List'!$S87-4,0)))</f>
        <v>#VALUE!</v>
      </c>
      <c r="H365" s="398" t="e">
        <f ca="1">IF(ISERROR('[1]Smelter List'!$S87),"",OFFSET('[1]Smelter Reference List'!$G$4,'[1]Smelter List'!$S87-4,0))</f>
        <v>#VALUE!</v>
      </c>
      <c r="I365" s="399" t="e">
        <f ca="1">IF(ISERROR('[1]Smelter List'!$S87),"",OFFSET('[1]Smelter Reference List'!$H$4,'[1]Smelter List'!$S87-4,0))</f>
        <v>#VALUE!</v>
      </c>
      <c r="J365" s="399" t="e">
        <f ca="1">IF(ISERROR('[1]Smelter List'!$S87),"",OFFSET('[1]Smelter Reference List'!$I$4,'[1]Smelter List'!$S87-4,0))</f>
        <v>#VALUE!</v>
      </c>
      <c r="K365" s="402"/>
      <c r="L365" s="402"/>
      <c r="M365" s="402"/>
      <c r="N365" s="402"/>
      <c r="O365" s="402"/>
      <c r="P365" s="402"/>
      <c r="Q365" s="403"/>
      <c r="R365" s="233"/>
      <c r="S365" s="234" t="e">
        <f>IF(#REF!="",NA(),MATCH(#REF!&amp;#REF!,'Smelter Reference List'!$J:$J,0))</f>
        <v>#REF!</v>
      </c>
      <c r="T365" s="235"/>
      <c r="U365" s="235" t="e">
        <f>IF(AND(#REF!="Smelter not listed",OR(LEN(#REF!)=0,LEN(#REF!)=0)),1,0)</f>
        <v>#REF!</v>
      </c>
      <c r="V365" s="235"/>
      <c r="W365" s="235"/>
      <c r="Y365" s="228" t="e">
        <f>#REF!&amp;#REF!</f>
        <v>#REF!</v>
      </c>
    </row>
    <row r="366" spans="1:25" s="228" customFormat="1" ht="20.25">
      <c r="A366" s="257" t="s">
        <v>4273</v>
      </c>
      <c r="B366" s="396" t="str">
        <f>IF(LEN(A366)=0,"",INDEX('[1]Smelter Reference List'!$A$1:$A$65536,MATCH($A366,'[1]Smelter Reference List'!$E$1:$E$65536,0)))</f>
        <v>Gold</v>
      </c>
      <c r="C366" s="397" t="str">
        <f>IF(LEN(A366)=0,"",INDEX('[1]Smelter Reference List'!$C$1:$C$65536,MATCH($A366,'[1]Smelter Reference List'!$E$1:$E$65536,0)))</f>
        <v>SAXONIA Edelmetalle GmbH</v>
      </c>
      <c r="D366" s="396" t="e">
        <f ca="1">IF(ISERROR('[1]Smelter List'!$S88),"",OFFSET('[1]Smelter Reference List'!$C$4,'[1]Smelter List'!$S88-4,0)&amp;"")</f>
        <v>#VALUE!</v>
      </c>
      <c r="E366" s="396" t="e">
        <f ca="1">IF(ISERROR('[1]Smelter List'!$S88),"",OFFSET('[1]Smelter Reference List'!$D$4,'[1]Smelter List'!$S88-4,0)&amp;"")</f>
        <v>#VALUE!</v>
      </c>
      <c r="F366" s="396" t="e">
        <f ca="1">IF(ISERROR('[1]Smelter List'!$S88),"",OFFSET('[1]Smelter Reference List'!$E$4,'[1]Smelter List'!$S88-4,0))</f>
        <v>#VALUE!</v>
      </c>
      <c r="G366" s="396" t="e">
        <f ca="1">IF(C366='[1]Smelter List'!$U$4,"Enter smelter details", IF(ISERROR('[1]Smelter List'!$S88),"",OFFSET('[1]Smelter Reference List'!$F$4,'[1]Smelter List'!$S88-4,0)))</f>
        <v>#VALUE!</v>
      </c>
      <c r="H366" s="398" t="e">
        <f ca="1">IF(ISERROR('[1]Smelter List'!$S88),"",OFFSET('[1]Smelter Reference List'!$G$4,'[1]Smelter List'!$S88-4,0))</f>
        <v>#VALUE!</v>
      </c>
      <c r="I366" s="399" t="e">
        <f ca="1">IF(ISERROR('[1]Smelter List'!$S88),"",OFFSET('[1]Smelter Reference List'!$H$4,'[1]Smelter List'!$S88-4,0))</f>
        <v>#VALUE!</v>
      </c>
      <c r="J366" s="399" t="e">
        <f ca="1">IF(ISERROR('[1]Smelter List'!$S88),"",OFFSET('[1]Smelter Reference List'!$I$4,'[1]Smelter List'!$S88-4,0))</f>
        <v>#VALUE!</v>
      </c>
      <c r="K366" s="402"/>
      <c r="L366" s="402"/>
      <c r="M366" s="402"/>
      <c r="N366" s="402"/>
      <c r="O366" s="402"/>
      <c r="P366" s="402"/>
      <c r="Q366" s="403"/>
      <c r="R366" s="233"/>
      <c r="S366" s="234" t="e">
        <f>IF(#REF!="",NA(),MATCH(#REF!&amp;#REF!,'Smelter Reference List'!$J:$J,0))</f>
        <v>#REF!</v>
      </c>
      <c r="T366" s="235"/>
      <c r="U366" s="235" t="e">
        <f>IF(AND(#REF!="Smelter not listed",OR(LEN(#REF!)=0,LEN(#REF!)=0)),1,0)</f>
        <v>#REF!</v>
      </c>
      <c r="V366" s="235"/>
      <c r="W366" s="235"/>
      <c r="Y366" s="228" t="e">
        <f>#REF!&amp;#REF!</f>
        <v>#REF!</v>
      </c>
    </row>
    <row r="367" spans="1:25" s="228" customFormat="1" ht="25.5">
      <c r="A367" s="257" t="s">
        <v>4275</v>
      </c>
      <c r="B367" s="396" t="str">
        <f>IF(LEN(A367)=0,"",INDEX('[1]Smelter Reference List'!$A$1:$A$65536,MATCH($A367,'[1]Smelter Reference List'!$E$1:$E$65536,0)))</f>
        <v>Gold</v>
      </c>
      <c r="C367" s="397" t="str">
        <f>IF(LEN(A367)=0,"",INDEX('[1]Smelter Reference List'!$C$1:$C$65536,MATCH($A367,'[1]Smelter Reference List'!$E$1:$E$65536,0)))</f>
        <v>Ögussa Österreichische Gold- und Silber-Scheideanstalt GmbH</v>
      </c>
      <c r="D367" s="396" t="e">
        <f ca="1">IF(ISERROR('[1]Smelter List'!$S89),"",OFFSET('[1]Smelter Reference List'!$C$4,'[1]Smelter List'!$S89-4,0)&amp;"")</f>
        <v>#VALUE!</v>
      </c>
      <c r="E367" s="396" t="e">
        <f ca="1">IF(ISERROR('[1]Smelter List'!$S89),"",OFFSET('[1]Smelter Reference List'!$D$4,'[1]Smelter List'!$S89-4,0)&amp;"")</f>
        <v>#VALUE!</v>
      </c>
      <c r="F367" s="396" t="e">
        <f ca="1">IF(ISERROR('[1]Smelter List'!$S89),"",OFFSET('[1]Smelter Reference List'!$E$4,'[1]Smelter List'!$S89-4,0))</f>
        <v>#VALUE!</v>
      </c>
      <c r="G367" s="396" t="e">
        <f ca="1">IF(C367='[1]Smelter List'!$U$4,"Enter smelter details", IF(ISERROR('[1]Smelter List'!$S89),"",OFFSET('[1]Smelter Reference List'!$F$4,'[1]Smelter List'!$S89-4,0)))</f>
        <v>#VALUE!</v>
      </c>
      <c r="H367" s="398" t="e">
        <f ca="1">IF(ISERROR('[1]Smelter List'!$S89),"",OFFSET('[1]Smelter Reference List'!$G$4,'[1]Smelter List'!$S89-4,0))</f>
        <v>#VALUE!</v>
      </c>
      <c r="I367" s="399" t="e">
        <f ca="1">IF(ISERROR('[1]Smelter List'!$S89),"",OFFSET('[1]Smelter Reference List'!$H$4,'[1]Smelter List'!$S89-4,0))</f>
        <v>#VALUE!</v>
      </c>
      <c r="J367" s="399" t="e">
        <f ca="1">IF(ISERROR('[1]Smelter List'!$S89),"",OFFSET('[1]Smelter Reference List'!$I$4,'[1]Smelter List'!$S89-4,0))</f>
        <v>#VALUE!</v>
      </c>
      <c r="K367" s="402"/>
      <c r="L367" s="402"/>
      <c r="M367" s="402"/>
      <c r="N367" s="402"/>
      <c r="O367" s="402"/>
      <c r="P367" s="402"/>
      <c r="Q367" s="403"/>
      <c r="R367" s="233"/>
      <c r="S367" s="234" t="e">
        <f>IF(#REF!="",NA(),MATCH(#REF!&amp;#REF!,'Smelter Reference List'!$J:$J,0))</f>
        <v>#REF!</v>
      </c>
      <c r="T367" s="235"/>
      <c r="U367" s="235" t="e">
        <f>IF(AND(#REF!="Smelter not listed",OR(LEN(#REF!)=0,LEN(#REF!)=0)),1,0)</f>
        <v>#REF!</v>
      </c>
      <c r="V367" s="235"/>
      <c r="W367" s="235"/>
      <c r="Y367" s="228" t="e">
        <f>#REF!&amp;#REF!</f>
        <v>#REF!</v>
      </c>
    </row>
    <row r="368" spans="1:25" s="228" customFormat="1" ht="20.25">
      <c r="A368" s="257" t="s">
        <v>1338</v>
      </c>
      <c r="B368" s="396" t="str">
        <f>IF(LEN(A368)=0,"",INDEX('[1]Smelter Reference List'!$A$1:$A$65536,MATCH($A368,'[1]Smelter Reference List'!$E$1:$E$65536,0)))</f>
        <v>Tantalum</v>
      </c>
      <c r="C368" s="397" t="str">
        <f>IF(LEN(A368)=0,"",INDEX('[1]Smelter Reference List'!$C$1:$C$65536,MATCH($A368,'[1]Smelter Reference List'!$E$1:$E$65536,0)))</f>
        <v>Changsha South Tantalum Niobium Co., Ltd.</v>
      </c>
      <c r="D368" s="396" t="e">
        <f ca="1">IF(ISERROR('[1]Smelter List'!$S90),"",OFFSET('[1]Smelter Reference List'!$C$4,'[1]Smelter List'!$S90-4,0)&amp;"")</f>
        <v>#VALUE!</v>
      </c>
      <c r="E368" s="396" t="e">
        <f ca="1">IF(ISERROR('[1]Smelter List'!$S90),"",OFFSET('[1]Smelter Reference List'!$D$4,'[1]Smelter List'!$S90-4,0)&amp;"")</f>
        <v>#VALUE!</v>
      </c>
      <c r="F368" s="396" t="e">
        <f ca="1">IF(ISERROR('[1]Smelter List'!$S90),"",OFFSET('[1]Smelter Reference List'!$E$4,'[1]Smelter List'!$S90-4,0))</f>
        <v>#VALUE!</v>
      </c>
      <c r="G368" s="396" t="e">
        <f ca="1">IF(C368='[1]Smelter List'!$U$4,"Enter smelter details", IF(ISERROR('[1]Smelter List'!$S90),"",OFFSET('[1]Smelter Reference List'!$F$4,'[1]Smelter List'!$S90-4,0)))</f>
        <v>#VALUE!</v>
      </c>
      <c r="H368" s="398" t="e">
        <f ca="1">IF(ISERROR('[1]Smelter List'!$S90),"",OFFSET('[1]Smelter Reference List'!$G$4,'[1]Smelter List'!$S90-4,0))</f>
        <v>#VALUE!</v>
      </c>
      <c r="I368" s="399" t="e">
        <f ca="1">IF(ISERROR('[1]Smelter List'!$S90),"",OFFSET('[1]Smelter Reference List'!$H$4,'[1]Smelter List'!$S90-4,0))</f>
        <v>#VALUE!</v>
      </c>
      <c r="J368" s="399" t="e">
        <f ca="1">IF(ISERROR('[1]Smelter List'!$S90),"",OFFSET('[1]Smelter Reference List'!$I$4,'[1]Smelter List'!$S90-4,0))</f>
        <v>#VALUE!</v>
      </c>
      <c r="K368" s="402"/>
      <c r="L368" s="402"/>
      <c r="M368" s="402"/>
      <c r="N368" s="402"/>
      <c r="O368" s="402"/>
      <c r="P368" s="402"/>
      <c r="Q368" s="403"/>
      <c r="R368" s="233"/>
      <c r="S368" s="234" t="e">
        <f>IF(#REF!="",NA(),MATCH(#REF!&amp;#REF!,'Smelter Reference List'!$J:$J,0))</f>
        <v>#REF!</v>
      </c>
      <c r="T368" s="235"/>
      <c r="U368" s="235" t="e">
        <f>IF(AND(#REF!="Smelter not listed",OR(LEN(#REF!)=0,LEN(#REF!)=0)),1,0)</f>
        <v>#REF!</v>
      </c>
      <c r="V368" s="235"/>
      <c r="W368" s="235"/>
      <c r="Y368" s="228" t="e">
        <f>#REF!&amp;#REF!</f>
        <v>#REF!</v>
      </c>
    </row>
    <row r="369" spans="1:25" s="228" customFormat="1" ht="20.25">
      <c r="A369" s="257" t="s">
        <v>1339</v>
      </c>
      <c r="B369" s="396" t="str">
        <f>IF(LEN(A369)=0,"",INDEX('[1]Smelter Reference List'!$A$1:$A$65536,MATCH($A369,'[1]Smelter Reference List'!$E$1:$E$65536,0)))</f>
        <v>Tantalum</v>
      </c>
      <c r="C369" s="397" t="str">
        <f>IF(LEN(A369)=0,"",INDEX('[1]Smelter Reference List'!$C$1:$C$65536,MATCH($A369,'[1]Smelter Reference List'!$E$1:$E$65536,0)))</f>
        <v>Conghua Tantalum and Niobium Smeltry</v>
      </c>
      <c r="D369" s="396" t="e">
        <f ca="1">IF(ISERROR('[1]Smelter List'!$S91),"",OFFSET('[1]Smelter Reference List'!$C$4,'[1]Smelter List'!$S91-4,0)&amp;"")</f>
        <v>#VALUE!</v>
      </c>
      <c r="E369" s="396" t="e">
        <f ca="1">IF(ISERROR('[1]Smelter List'!$S91),"",OFFSET('[1]Smelter Reference List'!$D$4,'[1]Smelter List'!$S91-4,0)&amp;"")</f>
        <v>#VALUE!</v>
      </c>
      <c r="F369" s="396" t="e">
        <f ca="1">IF(ISERROR('[1]Smelter List'!$S91),"",OFFSET('[1]Smelter Reference List'!$E$4,'[1]Smelter List'!$S91-4,0))</f>
        <v>#VALUE!</v>
      </c>
      <c r="G369" s="396" t="e">
        <f ca="1">IF(C369='[1]Smelter List'!$U$4,"Enter smelter details", IF(ISERROR('[1]Smelter List'!$S91),"",OFFSET('[1]Smelter Reference List'!$F$4,'[1]Smelter List'!$S91-4,0)))</f>
        <v>#VALUE!</v>
      </c>
      <c r="H369" s="398" t="e">
        <f ca="1">IF(ISERROR('[1]Smelter List'!$S91),"",OFFSET('[1]Smelter Reference List'!$G$4,'[1]Smelter List'!$S91-4,0))</f>
        <v>#VALUE!</v>
      </c>
      <c r="I369" s="399" t="e">
        <f ca="1">IF(ISERROR('[1]Smelter List'!$S91),"",OFFSET('[1]Smelter Reference List'!$H$4,'[1]Smelter List'!$S91-4,0))</f>
        <v>#VALUE!</v>
      </c>
      <c r="J369" s="399" t="e">
        <f ca="1">IF(ISERROR('[1]Smelter List'!$S91),"",OFFSET('[1]Smelter Reference List'!$I$4,'[1]Smelter List'!$S91-4,0))</f>
        <v>#VALUE!</v>
      </c>
      <c r="K369" s="402"/>
      <c r="L369" s="402"/>
      <c r="M369" s="402"/>
      <c r="N369" s="402"/>
      <c r="O369" s="402"/>
      <c r="P369" s="402"/>
      <c r="Q369" s="403"/>
      <c r="R369" s="233"/>
      <c r="S369" s="234" t="e">
        <f>IF(#REF!="",NA(),MATCH(#REF!&amp;#REF!,'Smelter Reference List'!$J:$J,0))</f>
        <v>#REF!</v>
      </c>
      <c r="T369" s="235"/>
      <c r="U369" s="235" t="e">
        <f>IF(AND(#REF!="Smelter not listed",OR(LEN(#REF!)=0,LEN(#REF!)=0)),1,0)</f>
        <v>#REF!</v>
      </c>
      <c r="V369" s="235"/>
      <c r="W369" s="235"/>
      <c r="Y369" s="228" t="e">
        <f>#REF!&amp;#REF!</f>
        <v>#REF!</v>
      </c>
    </row>
    <row r="370" spans="1:25" s="228" customFormat="1" ht="20.25">
      <c r="A370" s="257" t="s">
        <v>1340</v>
      </c>
      <c r="B370" s="396" t="str">
        <f>IF(LEN(A370)=0,"",INDEX('[1]Smelter Reference List'!$A$1:$A$65536,MATCH($A370,'[1]Smelter Reference List'!$E$1:$E$65536,0)))</f>
        <v>Tantalum</v>
      </c>
      <c r="C370" s="397" t="str">
        <f>IF(LEN(A370)=0,"",INDEX('[1]Smelter Reference List'!$C$1:$C$65536,MATCH($A370,'[1]Smelter Reference List'!$E$1:$E$65536,0)))</f>
        <v>Duoluoshan</v>
      </c>
      <c r="D370" s="396" t="e">
        <f ca="1">IF(ISERROR('[1]Smelter List'!$S92),"",OFFSET('[1]Smelter Reference List'!$C$4,'[1]Smelter List'!$S92-4,0)&amp;"")</f>
        <v>#VALUE!</v>
      </c>
      <c r="E370" s="396" t="e">
        <f ca="1">IF(ISERROR('[1]Smelter List'!$S92),"",OFFSET('[1]Smelter Reference List'!$D$4,'[1]Smelter List'!$S92-4,0)&amp;"")</f>
        <v>#VALUE!</v>
      </c>
      <c r="F370" s="396" t="e">
        <f ca="1">IF(ISERROR('[1]Smelter List'!$S92),"",OFFSET('[1]Smelter Reference List'!$E$4,'[1]Smelter List'!$S92-4,0))</f>
        <v>#VALUE!</v>
      </c>
      <c r="G370" s="396" t="e">
        <f ca="1">IF(C370='[1]Smelter List'!$U$4,"Enter smelter details", IF(ISERROR('[1]Smelter List'!$S92),"",OFFSET('[1]Smelter Reference List'!$F$4,'[1]Smelter List'!$S92-4,0)))</f>
        <v>#VALUE!</v>
      </c>
      <c r="H370" s="398" t="e">
        <f ca="1">IF(ISERROR('[1]Smelter List'!$S92),"",OFFSET('[1]Smelter Reference List'!$G$4,'[1]Smelter List'!$S92-4,0))</f>
        <v>#VALUE!</v>
      </c>
      <c r="I370" s="399" t="e">
        <f ca="1">IF(ISERROR('[1]Smelter List'!$S92),"",OFFSET('[1]Smelter Reference List'!$H$4,'[1]Smelter List'!$S92-4,0))</f>
        <v>#VALUE!</v>
      </c>
      <c r="J370" s="399" t="e">
        <f ca="1">IF(ISERROR('[1]Smelter List'!$S92),"",OFFSET('[1]Smelter Reference List'!$I$4,'[1]Smelter List'!$S92-4,0))</f>
        <v>#VALUE!</v>
      </c>
      <c r="K370" s="402"/>
      <c r="L370" s="402"/>
      <c r="M370" s="402"/>
      <c r="N370" s="402"/>
      <c r="O370" s="402"/>
      <c r="P370" s="402"/>
      <c r="Q370" s="403"/>
      <c r="R370" s="233"/>
      <c r="S370" s="234" t="e">
        <f>IF(#REF!="",NA(),MATCH(#REF!&amp;#REF!,'Smelter Reference List'!$J:$J,0))</f>
        <v>#REF!</v>
      </c>
      <c r="T370" s="235"/>
      <c r="U370" s="235" t="e">
        <f>IF(AND(#REF!="Smelter not listed",OR(LEN(#REF!)=0,LEN(#REF!)=0)),1,0)</f>
        <v>#REF!</v>
      </c>
      <c r="V370" s="235"/>
      <c r="W370" s="235"/>
      <c r="Y370" s="228" t="e">
        <f>#REF!&amp;#REF!</f>
        <v>#REF!</v>
      </c>
    </row>
    <row r="371" spans="1:25" s="228" customFormat="1" ht="20.25">
      <c r="A371" s="257" t="s">
        <v>1341</v>
      </c>
      <c r="B371" s="396" t="str">
        <f>IF(LEN(A371)=0,"",INDEX('[1]Smelter Reference List'!$A$1:$A$65536,MATCH($A371,'[1]Smelter Reference List'!$E$1:$E$65536,0)))</f>
        <v>Tantalum</v>
      </c>
      <c r="C371" s="397" t="str">
        <f>IF(LEN(A371)=0,"",INDEX('[1]Smelter Reference List'!$C$1:$C$65536,MATCH($A371,'[1]Smelter Reference List'!$E$1:$E$65536,0)))</f>
        <v>Exotech Inc.</v>
      </c>
      <c r="D371" s="396" t="e">
        <f ca="1">IF(ISERROR('[1]Smelter List'!$S93),"",OFFSET('[1]Smelter Reference List'!$C$4,'[1]Smelter List'!$S93-4,0)&amp;"")</f>
        <v>#VALUE!</v>
      </c>
      <c r="E371" s="396" t="e">
        <f ca="1">IF(ISERROR('[1]Smelter List'!$S93),"",OFFSET('[1]Smelter Reference List'!$D$4,'[1]Smelter List'!$S93-4,0)&amp;"")</f>
        <v>#VALUE!</v>
      </c>
      <c r="F371" s="396" t="e">
        <f ca="1">IF(ISERROR('[1]Smelter List'!$S93),"",OFFSET('[1]Smelter Reference List'!$E$4,'[1]Smelter List'!$S93-4,0))</f>
        <v>#VALUE!</v>
      </c>
      <c r="G371" s="396" t="e">
        <f ca="1">IF(C371='[1]Smelter List'!$U$4,"Enter smelter details", IF(ISERROR('[1]Smelter List'!$S93),"",OFFSET('[1]Smelter Reference List'!$F$4,'[1]Smelter List'!$S93-4,0)))</f>
        <v>#VALUE!</v>
      </c>
      <c r="H371" s="398" t="e">
        <f ca="1">IF(ISERROR('[1]Smelter List'!$S93),"",OFFSET('[1]Smelter Reference List'!$G$4,'[1]Smelter List'!$S93-4,0))</f>
        <v>#VALUE!</v>
      </c>
      <c r="I371" s="399" t="e">
        <f ca="1">IF(ISERROR('[1]Smelter List'!$S93),"",OFFSET('[1]Smelter Reference List'!$H$4,'[1]Smelter List'!$S93-4,0))</f>
        <v>#VALUE!</v>
      </c>
      <c r="J371" s="399" t="e">
        <f ca="1">IF(ISERROR('[1]Smelter List'!$S93),"",OFFSET('[1]Smelter Reference List'!$I$4,'[1]Smelter List'!$S93-4,0))</f>
        <v>#VALUE!</v>
      </c>
      <c r="K371" s="402"/>
      <c r="L371" s="402"/>
      <c r="M371" s="402"/>
      <c r="N371" s="402"/>
      <c r="O371" s="402"/>
      <c r="P371" s="402"/>
      <c r="Q371" s="403"/>
      <c r="R371" s="233"/>
      <c r="S371" s="234" t="e">
        <f>IF(#REF!="",NA(),MATCH(#REF!&amp;#REF!,'Smelter Reference List'!$J:$J,0))</f>
        <v>#REF!</v>
      </c>
      <c r="T371" s="235"/>
      <c r="U371" s="235" t="e">
        <f>IF(AND(#REF!="Smelter not listed",OR(LEN(#REF!)=0,LEN(#REF!)=0)),1,0)</f>
        <v>#REF!</v>
      </c>
      <c r="V371" s="235"/>
      <c r="W371" s="235"/>
      <c r="Y371" s="228" t="e">
        <f>#REF!&amp;#REF!</f>
        <v>#REF!</v>
      </c>
    </row>
    <row r="372" spans="1:25" s="228" customFormat="1" ht="20.25">
      <c r="A372" s="257" t="s">
        <v>1342</v>
      </c>
      <c r="B372" s="396" t="str">
        <f>IF(LEN(A372)=0,"",INDEX('[1]Smelter Reference List'!$A$1:$A$65536,MATCH($A372,'[1]Smelter Reference List'!$E$1:$E$65536,0)))</f>
        <v>Tantalum</v>
      </c>
      <c r="C372" s="397" t="str">
        <f>IF(LEN(A372)=0,"",INDEX('[1]Smelter Reference List'!$C$1:$C$65536,MATCH($A372,'[1]Smelter Reference List'!$E$1:$E$65536,0)))</f>
        <v>F&amp;X Electro-Materials Ltd.</v>
      </c>
      <c r="D372" s="396" t="e">
        <f ca="1">IF(ISERROR('[1]Smelter List'!$S94),"",OFFSET('[1]Smelter Reference List'!$C$4,'[1]Smelter List'!$S94-4,0)&amp;"")</f>
        <v>#VALUE!</v>
      </c>
      <c r="E372" s="396" t="e">
        <f ca="1">IF(ISERROR('[1]Smelter List'!$S94),"",OFFSET('[1]Smelter Reference List'!$D$4,'[1]Smelter List'!$S94-4,0)&amp;"")</f>
        <v>#VALUE!</v>
      </c>
      <c r="F372" s="396" t="e">
        <f ca="1">IF(ISERROR('[1]Smelter List'!$S94),"",OFFSET('[1]Smelter Reference List'!$E$4,'[1]Smelter List'!$S94-4,0))</f>
        <v>#VALUE!</v>
      </c>
      <c r="G372" s="396" t="e">
        <f ca="1">IF(C372='[1]Smelter List'!$U$4,"Enter smelter details", IF(ISERROR('[1]Smelter List'!$S94),"",OFFSET('[1]Smelter Reference List'!$F$4,'[1]Smelter List'!$S94-4,0)))</f>
        <v>#VALUE!</v>
      </c>
      <c r="H372" s="398" t="e">
        <f ca="1">IF(ISERROR('[1]Smelter List'!$S94),"",OFFSET('[1]Smelter Reference List'!$G$4,'[1]Smelter List'!$S94-4,0))</f>
        <v>#VALUE!</v>
      </c>
      <c r="I372" s="399" t="e">
        <f ca="1">IF(ISERROR('[1]Smelter List'!$S94),"",OFFSET('[1]Smelter Reference List'!$H$4,'[1]Smelter List'!$S94-4,0))</f>
        <v>#VALUE!</v>
      </c>
      <c r="J372" s="399" t="e">
        <f ca="1">IF(ISERROR('[1]Smelter List'!$S94),"",OFFSET('[1]Smelter Reference List'!$I$4,'[1]Smelter List'!$S94-4,0))</f>
        <v>#VALUE!</v>
      </c>
      <c r="K372" s="402"/>
      <c r="L372" s="402"/>
      <c r="M372" s="402"/>
      <c r="N372" s="402"/>
      <c r="O372" s="402"/>
      <c r="P372" s="402"/>
      <c r="Q372" s="403"/>
      <c r="R372" s="233"/>
      <c r="S372" s="234" t="e">
        <f>IF(#REF!="",NA(),MATCH(#REF!&amp;#REF!,'Smelter Reference List'!$J:$J,0))</f>
        <v>#REF!</v>
      </c>
      <c r="T372" s="235"/>
      <c r="U372" s="235" t="e">
        <f>IF(AND(#REF!="Smelter not listed",OR(LEN(#REF!)=0,LEN(#REF!)=0)),1,0)</f>
        <v>#REF!</v>
      </c>
      <c r="V372" s="235"/>
      <c r="W372" s="235"/>
      <c r="Y372" s="228" t="e">
        <f>#REF!&amp;#REF!</f>
        <v>#REF!</v>
      </c>
    </row>
    <row r="373" spans="1:25" s="228" customFormat="1" ht="20.25">
      <c r="A373" s="257" t="s">
        <v>1344</v>
      </c>
      <c r="B373" s="396" t="str">
        <f>IF(LEN(A373)=0,"",INDEX('[1]Smelter Reference List'!$A$1:$A$65536,MATCH($A373,'[1]Smelter Reference List'!$E$1:$E$65536,0)))</f>
        <v>Tantalum</v>
      </c>
      <c r="C373" s="397" t="str">
        <f>IF(LEN(A373)=0,"",INDEX('[1]Smelter Reference List'!$C$1:$C$65536,MATCH($A373,'[1]Smelter Reference List'!$E$1:$E$65536,0)))</f>
        <v>Guangdong Zhiyuan New Material Co., Ltd.</v>
      </c>
      <c r="D373" s="396" t="e">
        <f ca="1">IF(ISERROR('[1]Smelter List'!$S95),"",OFFSET('[1]Smelter Reference List'!$C$4,'[1]Smelter List'!$S95-4,0)&amp;"")</f>
        <v>#VALUE!</v>
      </c>
      <c r="E373" s="396" t="e">
        <f ca="1">IF(ISERROR('[1]Smelter List'!$S95),"",OFFSET('[1]Smelter Reference List'!$D$4,'[1]Smelter List'!$S95-4,0)&amp;"")</f>
        <v>#VALUE!</v>
      </c>
      <c r="F373" s="396" t="e">
        <f ca="1">IF(ISERROR('[1]Smelter List'!$S95),"",OFFSET('[1]Smelter Reference List'!$E$4,'[1]Smelter List'!$S95-4,0))</f>
        <v>#VALUE!</v>
      </c>
      <c r="G373" s="396" t="e">
        <f ca="1">IF(C373='[1]Smelter List'!$U$4,"Enter smelter details", IF(ISERROR('[1]Smelter List'!$S95),"",OFFSET('[1]Smelter Reference List'!$F$4,'[1]Smelter List'!$S95-4,0)))</f>
        <v>#VALUE!</v>
      </c>
      <c r="H373" s="398" t="e">
        <f ca="1">IF(ISERROR('[1]Smelter List'!$S95),"",OFFSET('[1]Smelter Reference List'!$G$4,'[1]Smelter List'!$S95-4,0))</f>
        <v>#VALUE!</v>
      </c>
      <c r="I373" s="399" t="e">
        <f ca="1">IF(ISERROR('[1]Smelter List'!$S95),"",OFFSET('[1]Smelter Reference List'!$H$4,'[1]Smelter List'!$S95-4,0))</f>
        <v>#VALUE!</v>
      </c>
      <c r="J373" s="399" t="e">
        <f ca="1">IF(ISERROR('[1]Smelter List'!$S95),"",OFFSET('[1]Smelter Reference List'!$I$4,'[1]Smelter List'!$S95-4,0))</f>
        <v>#VALUE!</v>
      </c>
      <c r="K373" s="402"/>
      <c r="L373" s="402"/>
      <c r="M373" s="402"/>
      <c r="N373" s="402"/>
      <c r="O373" s="402"/>
      <c r="P373" s="402"/>
      <c r="Q373" s="403"/>
      <c r="R373" s="233"/>
      <c r="S373" s="234" t="e">
        <f>IF(#REF!="",NA(),MATCH(#REF!&amp;#REF!,'Smelter Reference List'!$J:$J,0))</f>
        <v>#REF!</v>
      </c>
      <c r="T373" s="235"/>
      <c r="U373" s="235" t="e">
        <f>IF(AND(#REF!="Smelter not listed",OR(LEN(#REF!)=0,LEN(#REF!)=0)),1,0)</f>
        <v>#REF!</v>
      </c>
      <c r="V373" s="235"/>
      <c r="W373" s="235"/>
      <c r="Y373" s="228" t="e">
        <f>#REF!&amp;#REF!</f>
        <v>#REF!</v>
      </c>
    </row>
    <row r="374" spans="1:25" s="228" customFormat="1" ht="20.25">
      <c r="A374" s="257" t="s">
        <v>1345</v>
      </c>
      <c r="B374" s="396" t="str">
        <f>IF(LEN(A374)=0,"",INDEX('[1]Smelter Reference List'!$A$1:$A$65536,MATCH($A374,'[1]Smelter Reference List'!$E$1:$E$65536,0)))</f>
        <v>Tantalum</v>
      </c>
      <c r="C374" s="397" t="str">
        <f>IF(LEN(A374)=0,"",INDEX('[1]Smelter Reference List'!$C$1:$C$65536,MATCH($A374,'[1]Smelter Reference List'!$E$1:$E$65536,0)))</f>
        <v>Hi-Temp Specialty Metals, Inc.</v>
      </c>
      <c r="D374" s="396" t="e">
        <f ca="1">IF(ISERROR('[1]Smelter List'!$S96),"",OFFSET('[1]Smelter Reference List'!$C$4,'[1]Smelter List'!$S96-4,0)&amp;"")</f>
        <v>#VALUE!</v>
      </c>
      <c r="E374" s="396" t="e">
        <f ca="1">IF(ISERROR('[1]Smelter List'!$S96),"",OFFSET('[1]Smelter Reference List'!$D$4,'[1]Smelter List'!$S96-4,0)&amp;"")</f>
        <v>#VALUE!</v>
      </c>
      <c r="F374" s="396" t="e">
        <f ca="1">IF(ISERROR('[1]Smelter List'!$S96),"",OFFSET('[1]Smelter Reference List'!$E$4,'[1]Smelter List'!$S96-4,0))</f>
        <v>#VALUE!</v>
      </c>
      <c r="G374" s="396" t="e">
        <f ca="1">IF(C374='[1]Smelter List'!$U$4,"Enter smelter details", IF(ISERROR('[1]Smelter List'!$S96),"",OFFSET('[1]Smelter Reference List'!$F$4,'[1]Smelter List'!$S96-4,0)))</f>
        <v>#VALUE!</v>
      </c>
      <c r="H374" s="398" t="e">
        <f ca="1">IF(ISERROR('[1]Smelter List'!$S96),"",OFFSET('[1]Smelter Reference List'!$G$4,'[1]Smelter List'!$S96-4,0))</f>
        <v>#VALUE!</v>
      </c>
      <c r="I374" s="399" t="e">
        <f ca="1">IF(ISERROR('[1]Smelter List'!$S96),"",OFFSET('[1]Smelter Reference List'!$H$4,'[1]Smelter List'!$S96-4,0))</f>
        <v>#VALUE!</v>
      </c>
      <c r="J374" s="399" t="e">
        <f ca="1">IF(ISERROR('[1]Smelter List'!$S96),"",OFFSET('[1]Smelter Reference List'!$I$4,'[1]Smelter List'!$S96-4,0))</f>
        <v>#VALUE!</v>
      </c>
      <c r="K374" s="402"/>
      <c r="L374" s="402"/>
      <c r="M374" s="402"/>
      <c r="N374" s="402"/>
      <c r="O374" s="402"/>
      <c r="P374" s="402"/>
      <c r="Q374" s="403"/>
      <c r="R374" s="233"/>
      <c r="S374" s="234" t="e">
        <f>IF(#REF!="",NA(),MATCH(#REF!&amp;#REF!,'Smelter Reference List'!$J:$J,0))</f>
        <v>#REF!</v>
      </c>
      <c r="T374" s="235"/>
      <c r="U374" s="235" t="e">
        <f>IF(AND(#REF!="Smelter not listed",OR(LEN(#REF!)=0,LEN(#REF!)=0)),1,0)</f>
        <v>#REF!</v>
      </c>
      <c r="V374" s="235"/>
      <c r="W374" s="235"/>
      <c r="Y374" s="228" t="e">
        <f>#REF!&amp;#REF!</f>
        <v>#REF!</v>
      </c>
    </row>
    <row r="375" spans="1:25" s="228" customFormat="1" ht="20.25">
      <c r="A375" s="257" t="s">
        <v>1346</v>
      </c>
      <c r="B375" s="396" t="str">
        <f>IF(LEN(A375)=0,"",INDEX('[1]Smelter Reference List'!$A$1:$A$65536,MATCH($A375,'[1]Smelter Reference List'!$E$1:$E$65536,0)))</f>
        <v>Tantalum</v>
      </c>
      <c r="C375" s="397" t="str">
        <f>IF(LEN(A375)=0,"",INDEX('[1]Smelter Reference List'!$C$1:$C$65536,MATCH($A375,'[1]Smelter Reference List'!$E$1:$E$65536,0)))</f>
        <v>JiuJiang JinXin Nonferrous Metals Co., Ltd.</v>
      </c>
      <c r="D375" s="396" t="e">
        <f ca="1">IF(ISERROR('[1]Smelter List'!$S97),"",OFFSET('[1]Smelter Reference List'!$C$4,'[1]Smelter List'!$S97-4,0)&amp;"")</f>
        <v>#VALUE!</v>
      </c>
      <c r="E375" s="396" t="e">
        <f ca="1">IF(ISERROR('[1]Smelter List'!$S97),"",OFFSET('[1]Smelter Reference List'!$D$4,'[1]Smelter List'!$S97-4,0)&amp;"")</f>
        <v>#VALUE!</v>
      </c>
      <c r="F375" s="396" t="e">
        <f ca="1">IF(ISERROR('[1]Smelter List'!$S97),"",OFFSET('[1]Smelter Reference List'!$E$4,'[1]Smelter List'!$S97-4,0))</f>
        <v>#VALUE!</v>
      </c>
      <c r="G375" s="396" t="e">
        <f ca="1">IF(C375='[1]Smelter List'!$U$4,"Enter smelter details", IF(ISERROR('[1]Smelter List'!$S97),"",OFFSET('[1]Smelter Reference List'!$F$4,'[1]Smelter List'!$S97-4,0)))</f>
        <v>#VALUE!</v>
      </c>
      <c r="H375" s="398" t="e">
        <f ca="1">IF(ISERROR('[1]Smelter List'!$S97),"",OFFSET('[1]Smelter Reference List'!$G$4,'[1]Smelter List'!$S97-4,0))</f>
        <v>#VALUE!</v>
      </c>
      <c r="I375" s="399" t="e">
        <f ca="1">IF(ISERROR('[1]Smelter List'!$S97),"",OFFSET('[1]Smelter Reference List'!$H$4,'[1]Smelter List'!$S97-4,0))</f>
        <v>#VALUE!</v>
      </c>
      <c r="J375" s="399" t="e">
        <f ca="1">IF(ISERROR('[1]Smelter List'!$S97),"",OFFSET('[1]Smelter Reference List'!$I$4,'[1]Smelter List'!$S97-4,0))</f>
        <v>#VALUE!</v>
      </c>
      <c r="K375" s="402"/>
      <c r="L375" s="402"/>
      <c r="M375" s="402"/>
      <c r="N375" s="402"/>
      <c r="O375" s="402"/>
      <c r="P375" s="402"/>
      <c r="Q375" s="403"/>
      <c r="R375" s="233"/>
      <c r="S375" s="234" t="e">
        <f>IF(#REF!="",NA(),MATCH(#REF!&amp;#REF!,'Smelter Reference List'!$J:$J,0))</f>
        <v>#REF!</v>
      </c>
      <c r="T375" s="235"/>
      <c r="U375" s="235" t="e">
        <f>IF(AND(#REF!="Smelter not listed",OR(LEN(#REF!)=0,LEN(#REF!)=0)),1,0)</f>
        <v>#REF!</v>
      </c>
      <c r="V375" s="235"/>
      <c r="W375" s="235"/>
      <c r="Y375" s="228" t="e">
        <f>#REF!&amp;#REF!</f>
        <v>#REF!</v>
      </c>
    </row>
    <row r="376" spans="1:25" s="228" customFormat="1" ht="20.25">
      <c r="A376" s="257" t="s">
        <v>1347</v>
      </c>
      <c r="B376" s="396" t="str">
        <f>IF(LEN(A376)=0,"",INDEX('[1]Smelter Reference List'!$A$1:$A$65536,MATCH($A376,'[1]Smelter Reference List'!$E$1:$E$65536,0)))</f>
        <v>Tantalum</v>
      </c>
      <c r="C376" s="397" t="str">
        <f>IF(LEN(A376)=0,"",INDEX('[1]Smelter Reference List'!$C$1:$C$65536,MATCH($A376,'[1]Smelter Reference List'!$E$1:$E$65536,0)))</f>
        <v>Jiujiang Tanbre Co., Ltd.</v>
      </c>
      <c r="D376" s="396" t="e">
        <f ca="1">IF(ISERROR('[1]Smelter List'!$S98),"",OFFSET('[1]Smelter Reference List'!$C$4,'[1]Smelter List'!$S98-4,0)&amp;"")</f>
        <v>#VALUE!</v>
      </c>
      <c r="E376" s="396" t="e">
        <f ca="1">IF(ISERROR('[1]Smelter List'!$S98),"",OFFSET('[1]Smelter Reference List'!$D$4,'[1]Smelter List'!$S98-4,0)&amp;"")</f>
        <v>#VALUE!</v>
      </c>
      <c r="F376" s="396" t="e">
        <f ca="1">IF(ISERROR('[1]Smelter List'!$S98),"",OFFSET('[1]Smelter Reference List'!$E$4,'[1]Smelter List'!$S98-4,0))</f>
        <v>#VALUE!</v>
      </c>
      <c r="G376" s="396" t="e">
        <f ca="1">IF(C376='[1]Smelter List'!$U$4,"Enter smelter details", IF(ISERROR('[1]Smelter List'!$S98),"",OFFSET('[1]Smelter Reference List'!$F$4,'[1]Smelter List'!$S98-4,0)))</f>
        <v>#VALUE!</v>
      </c>
      <c r="H376" s="398" t="e">
        <f ca="1">IF(ISERROR('[1]Smelter List'!$S98),"",OFFSET('[1]Smelter Reference List'!$G$4,'[1]Smelter List'!$S98-4,0))</f>
        <v>#VALUE!</v>
      </c>
      <c r="I376" s="399" t="e">
        <f ca="1">IF(ISERROR('[1]Smelter List'!$S98),"",OFFSET('[1]Smelter Reference List'!$H$4,'[1]Smelter List'!$S98-4,0))</f>
        <v>#VALUE!</v>
      </c>
      <c r="J376" s="399" t="e">
        <f ca="1">IF(ISERROR('[1]Smelter List'!$S98),"",OFFSET('[1]Smelter Reference List'!$I$4,'[1]Smelter List'!$S98-4,0))</f>
        <v>#VALUE!</v>
      </c>
      <c r="K376" s="402"/>
      <c r="L376" s="402"/>
      <c r="M376" s="402"/>
      <c r="N376" s="402"/>
      <c r="O376" s="402"/>
      <c r="P376" s="402"/>
      <c r="Q376" s="403"/>
      <c r="R376" s="233"/>
      <c r="S376" s="234" t="e">
        <f>IF(#REF!="",NA(),MATCH(#REF!&amp;#REF!,'Smelter Reference List'!$J:$J,0))</f>
        <v>#REF!</v>
      </c>
      <c r="T376" s="235"/>
      <c r="U376" s="235" t="e">
        <f>IF(AND(#REF!="Smelter not listed",OR(LEN(#REF!)=0,LEN(#REF!)=0)),1,0)</f>
        <v>#REF!</v>
      </c>
      <c r="V376" s="235"/>
      <c r="W376" s="235"/>
      <c r="Y376" s="228" t="e">
        <f>#REF!&amp;#REF!</f>
        <v>#REF!</v>
      </c>
    </row>
    <row r="377" spans="1:25" s="228" customFormat="1" ht="20.25">
      <c r="A377" s="257" t="s">
        <v>1348</v>
      </c>
      <c r="B377" s="396" t="str">
        <f>IF(LEN(A377)=0,"",INDEX('[1]Smelter Reference List'!$A$1:$A$65536,MATCH($A377,'[1]Smelter Reference List'!$E$1:$E$65536,0)))</f>
        <v>Tantalum</v>
      </c>
      <c r="C377" s="397" t="str">
        <f>IF(LEN(A377)=0,"",INDEX('[1]Smelter Reference List'!$C$1:$C$65536,MATCH($A377,'[1]Smelter Reference List'!$E$1:$E$65536,0)))</f>
        <v>King-Tan Tantalum Industry Ltd.</v>
      </c>
      <c r="D377" s="396" t="e">
        <f ca="1">IF(ISERROR('[1]Smelter List'!$S99),"",OFFSET('[1]Smelter Reference List'!$C$4,'[1]Smelter List'!$S99-4,0)&amp;"")</f>
        <v>#VALUE!</v>
      </c>
      <c r="E377" s="396" t="e">
        <f ca="1">IF(ISERROR('[1]Smelter List'!$S99),"",OFFSET('[1]Smelter Reference List'!$D$4,'[1]Smelter List'!$S99-4,0)&amp;"")</f>
        <v>#VALUE!</v>
      </c>
      <c r="F377" s="396" t="e">
        <f ca="1">IF(ISERROR('[1]Smelter List'!$S99),"",OFFSET('[1]Smelter Reference List'!$E$4,'[1]Smelter List'!$S99-4,0))</f>
        <v>#VALUE!</v>
      </c>
      <c r="G377" s="396" t="e">
        <f ca="1">IF(C377='[1]Smelter List'!$U$4,"Enter smelter details", IF(ISERROR('[1]Smelter List'!$S99),"",OFFSET('[1]Smelter Reference List'!$F$4,'[1]Smelter List'!$S99-4,0)))</f>
        <v>#VALUE!</v>
      </c>
      <c r="H377" s="398" t="e">
        <f ca="1">IF(ISERROR('[1]Smelter List'!$S99),"",OFFSET('[1]Smelter Reference List'!$G$4,'[1]Smelter List'!$S99-4,0))</f>
        <v>#VALUE!</v>
      </c>
      <c r="I377" s="399" t="e">
        <f ca="1">IF(ISERROR('[1]Smelter List'!$S99),"",OFFSET('[1]Smelter Reference List'!$H$4,'[1]Smelter List'!$S99-4,0))</f>
        <v>#VALUE!</v>
      </c>
      <c r="J377" s="399" t="e">
        <f ca="1">IF(ISERROR('[1]Smelter List'!$S99),"",OFFSET('[1]Smelter Reference List'!$I$4,'[1]Smelter List'!$S99-4,0))</f>
        <v>#VALUE!</v>
      </c>
      <c r="K377" s="402"/>
      <c r="L377" s="402"/>
      <c r="M377" s="402"/>
      <c r="N377" s="402"/>
      <c r="O377" s="402"/>
      <c r="P377" s="402"/>
      <c r="Q377" s="403"/>
      <c r="R377" s="233"/>
      <c r="S377" s="234" t="e">
        <f>IF(#REF!="",NA(),MATCH(#REF!&amp;#REF!,'Smelter Reference List'!$J:$J,0))</f>
        <v>#REF!</v>
      </c>
      <c r="T377" s="235"/>
      <c r="U377" s="235" t="e">
        <f>IF(AND(#REF!="Smelter not listed",OR(LEN(#REF!)=0,LEN(#REF!)=0)),1,0)</f>
        <v>#REF!</v>
      </c>
      <c r="V377" s="235"/>
      <c r="W377" s="235"/>
      <c r="Y377" s="228" t="e">
        <f>#REF!&amp;#REF!</f>
        <v>#REF!</v>
      </c>
    </row>
    <row r="378" spans="1:25" s="228" customFormat="1" ht="20.25">
      <c r="A378" s="257" t="s">
        <v>1349</v>
      </c>
      <c r="B378" s="396" t="str">
        <f>IF(LEN(A378)=0,"",INDEX('[1]Smelter Reference List'!$A$1:$A$65536,MATCH($A378,'[1]Smelter Reference List'!$E$1:$E$65536,0)))</f>
        <v>Tantalum</v>
      </c>
      <c r="C378" s="397" t="str">
        <f>IF(LEN(A378)=0,"",INDEX('[1]Smelter Reference List'!$C$1:$C$65536,MATCH($A378,'[1]Smelter Reference List'!$E$1:$E$65536,0)))</f>
        <v>LSM Brasil S.A.</v>
      </c>
      <c r="D378" s="396" t="e">
        <f ca="1">IF(ISERROR('[1]Smelter List'!$S100),"",OFFSET('[1]Smelter Reference List'!$C$4,'[1]Smelter List'!$S100-4,0)&amp;"")</f>
        <v>#VALUE!</v>
      </c>
      <c r="E378" s="396" t="e">
        <f ca="1">IF(ISERROR('[1]Smelter List'!$S100),"",OFFSET('[1]Smelter Reference List'!$D$4,'[1]Smelter List'!$S100-4,0)&amp;"")</f>
        <v>#VALUE!</v>
      </c>
      <c r="F378" s="396" t="e">
        <f ca="1">IF(ISERROR('[1]Smelter List'!$S100),"",OFFSET('[1]Smelter Reference List'!$E$4,'[1]Smelter List'!$S100-4,0))</f>
        <v>#VALUE!</v>
      </c>
      <c r="G378" s="396" t="e">
        <f ca="1">IF(C378='[1]Smelter List'!$U$4,"Enter smelter details", IF(ISERROR('[1]Smelter List'!$S100),"",OFFSET('[1]Smelter Reference List'!$F$4,'[1]Smelter List'!$S100-4,0)))</f>
        <v>#VALUE!</v>
      </c>
      <c r="H378" s="398" t="e">
        <f ca="1">IF(ISERROR('[1]Smelter List'!$S100),"",OFFSET('[1]Smelter Reference List'!$G$4,'[1]Smelter List'!$S100-4,0))</f>
        <v>#VALUE!</v>
      </c>
      <c r="I378" s="399" t="e">
        <f ca="1">IF(ISERROR('[1]Smelter List'!$S100),"",OFFSET('[1]Smelter Reference List'!$H$4,'[1]Smelter List'!$S100-4,0))</f>
        <v>#VALUE!</v>
      </c>
      <c r="J378" s="399" t="e">
        <f ca="1">IF(ISERROR('[1]Smelter List'!$S100),"",OFFSET('[1]Smelter Reference List'!$I$4,'[1]Smelter List'!$S100-4,0))</f>
        <v>#VALUE!</v>
      </c>
      <c r="K378" s="402"/>
      <c r="L378" s="402"/>
      <c r="M378" s="402"/>
      <c r="N378" s="402"/>
      <c r="O378" s="402"/>
      <c r="P378" s="402"/>
      <c r="Q378" s="403"/>
      <c r="R378" s="233"/>
      <c r="S378" s="234" t="e">
        <f>IF(#REF!="",NA(),MATCH(#REF!&amp;#REF!,'Smelter Reference List'!$J:$J,0))</f>
        <v>#REF!</v>
      </c>
      <c r="T378" s="235"/>
      <c r="U378" s="235" t="e">
        <f>IF(AND(#REF!="Smelter not listed",OR(LEN(#REF!)=0,LEN(#REF!)=0)),1,0)</f>
        <v>#REF!</v>
      </c>
      <c r="V378" s="235"/>
      <c r="W378" s="235"/>
      <c r="Y378" s="228" t="e">
        <f>#REF!&amp;#REF!</f>
        <v>#REF!</v>
      </c>
    </row>
    <row r="379" spans="1:25" s="228" customFormat="1" ht="20.25">
      <c r="A379" s="257" t="s">
        <v>1350</v>
      </c>
      <c r="B379" s="396" t="str">
        <f>IF(LEN(A379)=0,"",INDEX('[1]Smelter Reference List'!$A$1:$A$65536,MATCH($A379,'[1]Smelter Reference List'!$E$1:$E$65536,0)))</f>
        <v>Tantalum</v>
      </c>
      <c r="C379" s="397" t="str">
        <f>IF(LEN(A379)=0,"",INDEX('[1]Smelter Reference List'!$C$1:$C$65536,MATCH($A379,'[1]Smelter Reference List'!$E$1:$E$65536,0)))</f>
        <v>Metallurgical Products India Pvt., Ltd.</v>
      </c>
      <c r="D379" s="396" t="e">
        <f ca="1">IF(ISERROR('[1]Smelter List'!$S101),"",OFFSET('[1]Smelter Reference List'!$C$4,'[1]Smelter List'!$S101-4,0)&amp;"")</f>
        <v>#VALUE!</v>
      </c>
      <c r="E379" s="396" t="e">
        <f ca="1">IF(ISERROR('[1]Smelter List'!$S101),"",OFFSET('[1]Smelter Reference List'!$D$4,'[1]Smelter List'!$S101-4,0)&amp;"")</f>
        <v>#VALUE!</v>
      </c>
      <c r="F379" s="396" t="e">
        <f ca="1">IF(ISERROR('[1]Smelter List'!$S101),"",OFFSET('[1]Smelter Reference List'!$E$4,'[1]Smelter List'!$S101-4,0))</f>
        <v>#VALUE!</v>
      </c>
      <c r="G379" s="396" t="e">
        <f ca="1">IF(C379='[1]Smelter List'!$U$4,"Enter smelter details", IF(ISERROR('[1]Smelter List'!$S101),"",OFFSET('[1]Smelter Reference List'!$F$4,'[1]Smelter List'!$S101-4,0)))</f>
        <v>#VALUE!</v>
      </c>
      <c r="H379" s="398" t="e">
        <f ca="1">IF(ISERROR('[1]Smelter List'!$S101),"",OFFSET('[1]Smelter Reference List'!$G$4,'[1]Smelter List'!$S101-4,0))</f>
        <v>#VALUE!</v>
      </c>
      <c r="I379" s="399" t="e">
        <f ca="1">IF(ISERROR('[1]Smelter List'!$S101),"",OFFSET('[1]Smelter Reference List'!$H$4,'[1]Smelter List'!$S101-4,0))</f>
        <v>#VALUE!</v>
      </c>
      <c r="J379" s="399" t="e">
        <f ca="1">IF(ISERROR('[1]Smelter List'!$S101),"",OFFSET('[1]Smelter Reference List'!$I$4,'[1]Smelter List'!$S101-4,0))</f>
        <v>#VALUE!</v>
      </c>
      <c r="K379" s="402"/>
      <c r="L379" s="402"/>
      <c r="M379" s="402"/>
      <c r="N379" s="402"/>
      <c r="O379" s="402"/>
      <c r="P379" s="402"/>
      <c r="Q379" s="403"/>
      <c r="R379" s="233"/>
      <c r="S379" s="234" t="e">
        <f>IF(#REF!="",NA(),MATCH(#REF!&amp;#REF!,'Smelter Reference List'!$J:$J,0))</f>
        <v>#REF!</v>
      </c>
      <c r="T379" s="235"/>
      <c r="U379" s="235" t="e">
        <f>IF(AND(#REF!="Smelter not listed",OR(LEN(#REF!)=0,LEN(#REF!)=0)),1,0)</f>
        <v>#REF!</v>
      </c>
      <c r="V379" s="235"/>
      <c r="W379" s="235"/>
      <c r="Y379" s="228" t="e">
        <f>#REF!&amp;#REF!</f>
        <v>#REF!</v>
      </c>
    </row>
    <row r="380" spans="1:25" s="228" customFormat="1" ht="20.25">
      <c r="A380" s="257" t="s">
        <v>1351</v>
      </c>
      <c r="B380" s="396" t="str">
        <f>IF(LEN(A380)=0,"",INDEX('[1]Smelter Reference List'!$A$1:$A$65536,MATCH($A380,'[1]Smelter Reference List'!$E$1:$E$65536,0)))</f>
        <v>Tantalum</v>
      </c>
      <c r="C380" s="397" t="str">
        <f>IF(LEN(A380)=0,"",INDEX('[1]Smelter Reference List'!$C$1:$C$65536,MATCH($A380,'[1]Smelter Reference List'!$E$1:$E$65536,0)))</f>
        <v>Mineração Taboca S.A.</v>
      </c>
      <c r="D380" s="396" t="e">
        <f ca="1">IF(ISERROR('[1]Smelter List'!$S102),"",OFFSET('[1]Smelter Reference List'!$C$4,'[1]Smelter List'!$S102-4,0)&amp;"")</f>
        <v>#VALUE!</v>
      </c>
      <c r="E380" s="396" t="e">
        <f ca="1">IF(ISERROR('[1]Smelter List'!$S102),"",OFFSET('[1]Smelter Reference List'!$D$4,'[1]Smelter List'!$S102-4,0)&amp;"")</f>
        <v>#VALUE!</v>
      </c>
      <c r="F380" s="396" t="e">
        <f ca="1">IF(ISERROR('[1]Smelter List'!$S102),"",OFFSET('[1]Smelter Reference List'!$E$4,'[1]Smelter List'!$S102-4,0))</f>
        <v>#VALUE!</v>
      </c>
      <c r="G380" s="396" t="e">
        <f ca="1">IF(C380='[1]Smelter List'!$U$4,"Enter smelter details", IF(ISERROR('[1]Smelter List'!$S102),"",OFFSET('[1]Smelter Reference List'!$F$4,'[1]Smelter List'!$S102-4,0)))</f>
        <v>#VALUE!</v>
      </c>
      <c r="H380" s="398" t="e">
        <f ca="1">IF(ISERROR('[1]Smelter List'!$S102),"",OFFSET('[1]Smelter Reference List'!$G$4,'[1]Smelter List'!$S102-4,0))</f>
        <v>#VALUE!</v>
      </c>
      <c r="I380" s="399" t="e">
        <f ca="1">IF(ISERROR('[1]Smelter List'!$S102),"",OFFSET('[1]Smelter Reference List'!$H$4,'[1]Smelter List'!$S102-4,0))</f>
        <v>#VALUE!</v>
      </c>
      <c r="J380" s="399" t="e">
        <f ca="1">IF(ISERROR('[1]Smelter List'!$S102),"",OFFSET('[1]Smelter Reference List'!$I$4,'[1]Smelter List'!$S102-4,0))</f>
        <v>#VALUE!</v>
      </c>
      <c r="K380" s="402"/>
      <c r="L380" s="402"/>
      <c r="M380" s="402"/>
      <c r="N380" s="402"/>
      <c r="O380" s="402"/>
      <c r="P380" s="402"/>
      <c r="Q380" s="403"/>
      <c r="R380" s="233"/>
      <c r="S380" s="234" t="e">
        <f>IF(#REF!="",NA(),MATCH(#REF!&amp;#REF!,'Smelter Reference List'!$J:$J,0))</f>
        <v>#REF!</v>
      </c>
      <c r="T380" s="235"/>
      <c r="U380" s="235" t="e">
        <f>IF(AND(#REF!="Smelter not listed",OR(LEN(#REF!)=0,LEN(#REF!)=0)),1,0)</f>
        <v>#REF!</v>
      </c>
      <c r="V380" s="235"/>
      <c r="W380" s="235"/>
      <c r="Y380" s="228" t="e">
        <f>#REF!&amp;#REF!</f>
        <v>#REF!</v>
      </c>
    </row>
    <row r="381" spans="1:25" s="228" customFormat="1" ht="20.25">
      <c r="A381" s="257" t="s">
        <v>1352</v>
      </c>
      <c r="B381" s="396" t="str">
        <f>IF(LEN(A381)=0,"",INDEX('[1]Smelter Reference List'!$A$1:$A$65536,MATCH($A381,'[1]Smelter Reference List'!$E$1:$E$65536,0)))</f>
        <v>Tantalum</v>
      </c>
      <c r="C381" s="397" t="str">
        <f>IF(LEN(A381)=0,"",INDEX('[1]Smelter Reference List'!$C$1:$C$65536,MATCH($A381,'[1]Smelter Reference List'!$E$1:$E$65536,0)))</f>
        <v>Mitsui Mining and Smelting Co., Ltd.</v>
      </c>
      <c r="D381" s="396" t="e">
        <f ca="1">IF(ISERROR('[1]Smelter List'!$S103),"",OFFSET('[1]Smelter Reference List'!$C$4,'[1]Smelter List'!$S103-4,0)&amp;"")</f>
        <v>#VALUE!</v>
      </c>
      <c r="E381" s="396" t="e">
        <f ca="1">IF(ISERROR('[1]Smelter List'!$S103),"",OFFSET('[1]Smelter Reference List'!$D$4,'[1]Smelter List'!$S103-4,0)&amp;"")</f>
        <v>#VALUE!</v>
      </c>
      <c r="F381" s="396" t="e">
        <f ca="1">IF(ISERROR('[1]Smelter List'!$S103),"",OFFSET('[1]Smelter Reference List'!$E$4,'[1]Smelter List'!$S103-4,0))</f>
        <v>#VALUE!</v>
      </c>
      <c r="G381" s="396" t="e">
        <f ca="1">IF(C381='[1]Smelter List'!$U$4,"Enter smelter details", IF(ISERROR('[1]Smelter List'!$S103),"",OFFSET('[1]Smelter Reference List'!$F$4,'[1]Smelter List'!$S103-4,0)))</f>
        <v>#VALUE!</v>
      </c>
      <c r="H381" s="398" t="e">
        <f ca="1">IF(ISERROR('[1]Smelter List'!$S103),"",OFFSET('[1]Smelter Reference List'!$G$4,'[1]Smelter List'!$S103-4,0))</f>
        <v>#VALUE!</v>
      </c>
      <c r="I381" s="399" t="e">
        <f ca="1">IF(ISERROR('[1]Smelter List'!$S103),"",OFFSET('[1]Smelter Reference List'!$H$4,'[1]Smelter List'!$S103-4,0))</f>
        <v>#VALUE!</v>
      </c>
      <c r="J381" s="399" t="e">
        <f ca="1">IF(ISERROR('[1]Smelter List'!$S103),"",OFFSET('[1]Smelter Reference List'!$I$4,'[1]Smelter List'!$S103-4,0))</f>
        <v>#VALUE!</v>
      </c>
      <c r="K381" s="402"/>
      <c r="L381" s="402"/>
      <c r="M381" s="402"/>
      <c r="N381" s="402"/>
      <c r="O381" s="402"/>
      <c r="P381" s="402"/>
      <c r="Q381" s="403"/>
      <c r="R381" s="233"/>
      <c r="S381" s="234" t="e">
        <f>IF(#REF!="",NA(),MATCH(#REF!&amp;#REF!,'Smelter Reference List'!$J:$J,0))</f>
        <v>#REF!</v>
      </c>
      <c r="T381" s="235"/>
      <c r="U381" s="235" t="e">
        <f>IF(AND(#REF!="Smelter not listed",OR(LEN(#REF!)=0,LEN(#REF!)=0)),1,0)</f>
        <v>#REF!</v>
      </c>
      <c r="V381" s="235"/>
      <c r="W381" s="235"/>
      <c r="Y381" s="228" t="e">
        <f>#REF!&amp;#REF!</f>
        <v>#REF!</v>
      </c>
    </row>
    <row r="382" spans="1:25" s="228" customFormat="1" ht="20.25">
      <c r="A382" s="257" t="s">
        <v>1353</v>
      </c>
      <c r="B382" s="396" t="str">
        <f>IF(LEN(A382)=0,"",INDEX('[1]Smelter Reference List'!$A$1:$A$65536,MATCH($A382,'[1]Smelter Reference List'!$E$1:$E$65536,0)))</f>
        <v>Tantalum</v>
      </c>
      <c r="C382" s="397" t="str">
        <f>IF(LEN(A382)=0,"",INDEX('[1]Smelter Reference List'!$C$1:$C$65536,MATCH($A382,'[1]Smelter Reference List'!$E$1:$E$65536,0)))</f>
        <v>Molycorp Silmet A.S.</v>
      </c>
      <c r="D382" s="396" t="e">
        <f ca="1">IF(ISERROR('[1]Smelter List'!$S104),"",OFFSET('[1]Smelter Reference List'!$C$4,'[1]Smelter List'!$S104-4,0)&amp;"")</f>
        <v>#VALUE!</v>
      </c>
      <c r="E382" s="396" t="e">
        <f ca="1">IF(ISERROR('[1]Smelter List'!$S104),"",OFFSET('[1]Smelter Reference List'!$D$4,'[1]Smelter List'!$S104-4,0)&amp;"")</f>
        <v>#VALUE!</v>
      </c>
      <c r="F382" s="396" t="e">
        <f ca="1">IF(ISERROR('[1]Smelter List'!$S104),"",OFFSET('[1]Smelter Reference List'!$E$4,'[1]Smelter List'!$S104-4,0))</f>
        <v>#VALUE!</v>
      </c>
      <c r="G382" s="396" t="e">
        <f ca="1">IF(C382='[1]Smelter List'!$U$4,"Enter smelter details", IF(ISERROR('[1]Smelter List'!$S104),"",OFFSET('[1]Smelter Reference List'!$F$4,'[1]Smelter List'!$S104-4,0)))</f>
        <v>#VALUE!</v>
      </c>
      <c r="H382" s="398" t="e">
        <f ca="1">IF(ISERROR('[1]Smelter List'!$S104),"",OFFSET('[1]Smelter Reference List'!$G$4,'[1]Smelter List'!$S104-4,0))</f>
        <v>#VALUE!</v>
      </c>
      <c r="I382" s="399" t="e">
        <f ca="1">IF(ISERROR('[1]Smelter List'!$S104),"",OFFSET('[1]Smelter Reference List'!$H$4,'[1]Smelter List'!$S104-4,0))</f>
        <v>#VALUE!</v>
      </c>
      <c r="J382" s="399" t="e">
        <f ca="1">IF(ISERROR('[1]Smelter List'!$S104),"",OFFSET('[1]Smelter Reference List'!$I$4,'[1]Smelter List'!$S104-4,0))</f>
        <v>#VALUE!</v>
      </c>
      <c r="K382" s="402"/>
      <c r="L382" s="402"/>
      <c r="M382" s="402"/>
      <c r="N382" s="402"/>
      <c r="O382" s="402"/>
      <c r="P382" s="402"/>
      <c r="Q382" s="403"/>
      <c r="R382" s="233"/>
      <c r="S382" s="234" t="e">
        <f>IF(#REF!="",NA(),MATCH(#REF!&amp;#REF!,'Smelter Reference List'!$J:$J,0))</f>
        <v>#REF!</v>
      </c>
      <c r="T382" s="235"/>
      <c r="U382" s="235" t="e">
        <f>IF(AND(#REF!="Smelter not listed",OR(LEN(#REF!)=0,LEN(#REF!)=0)),1,0)</f>
        <v>#REF!</v>
      </c>
      <c r="V382" s="235"/>
      <c r="W382" s="235"/>
      <c r="Y382" s="228" t="e">
        <f>#REF!&amp;#REF!</f>
        <v>#REF!</v>
      </c>
    </row>
    <row r="383" spans="1:25" s="228" customFormat="1" ht="20.25">
      <c r="A383" s="257" t="s">
        <v>1354</v>
      </c>
      <c r="B383" s="396" t="str">
        <f>IF(LEN(A383)=0,"",INDEX('[1]Smelter Reference List'!$A$1:$A$65536,MATCH($A383,'[1]Smelter Reference List'!$E$1:$E$65536,0)))</f>
        <v>Tantalum</v>
      </c>
      <c r="C383" s="397" t="str">
        <f>IF(LEN(A383)=0,"",INDEX('[1]Smelter Reference List'!$C$1:$C$65536,MATCH($A383,'[1]Smelter Reference List'!$E$1:$E$65536,0)))</f>
        <v>Ningxia Orient Tantalum Industry Co., Ltd.</v>
      </c>
      <c r="D383" s="396" t="e">
        <f ca="1">IF(ISERROR('[1]Smelter List'!$S105),"",OFFSET('[1]Smelter Reference List'!$C$4,'[1]Smelter List'!$S105-4,0)&amp;"")</f>
        <v>#VALUE!</v>
      </c>
      <c r="E383" s="396" t="e">
        <f ca="1">IF(ISERROR('[1]Smelter List'!$S105),"",OFFSET('[1]Smelter Reference List'!$D$4,'[1]Smelter List'!$S105-4,0)&amp;"")</f>
        <v>#VALUE!</v>
      </c>
      <c r="F383" s="396" t="e">
        <f ca="1">IF(ISERROR('[1]Smelter List'!$S105),"",OFFSET('[1]Smelter Reference List'!$E$4,'[1]Smelter List'!$S105-4,0))</f>
        <v>#VALUE!</v>
      </c>
      <c r="G383" s="396" t="e">
        <f ca="1">IF(C383='[1]Smelter List'!$U$4,"Enter smelter details", IF(ISERROR('[1]Smelter List'!$S105),"",OFFSET('[1]Smelter Reference List'!$F$4,'[1]Smelter List'!$S105-4,0)))</f>
        <v>#VALUE!</v>
      </c>
      <c r="H383" s="398" t="e">
        <f ca="1">IF(ISERROR('[1]Smelter List'!$S105),"",OFFSET('[1]Smelter Reference List'!$G$4,'[1]Smelter List'!$S105-4,0))</f>
        <v>#VALUE!</v>
      </c>
      <c r="I383" s="399" t="e">
        <f ca="1">IF(ISERROR('[1]Smelter List'!$S105),"",OFFSET('[1]Smelter Reference List'!$H$4,'[1]Smelter List'!$S105-4,0))</f>
        <v>#VALUE!</v>
      </c>
      <c r="J383" s="399" t="e">
        <f ca="1">IF(ISERROR('[1]Smelter List'!$S105),"",OFFSET('[1]Smelter Reference List'!$I$4,'[1]Smelter List'!$S105-4,0))</f>
        <v>#VALUE!</v>
      </c>
      <c r="K383" s="402"/>
      <c r="L383" s="402"/>
      <c r="M383" s="402"/>
      <c r="N383" s="402"/>
      <c r="O383" s="402"/>
      <c r="P383" s="402"/>
      <c r="Q383" s="403"/>
      <c r="R383" s="233"/>
      <c r="S383" s="234" t="e">
        <f>IF(#REF!="",NA(),MATCH(#REF!&amp;#REF!,'Smelter Reference List'!$J:$J,0))</f>
        <v>#REF!</v>
      </c>
      <c r="T383" s="235"/>
      <c r="U383" s="235" t="e">
        <f>IF(AND(#REF!="Smelter not listed",OR(LEN(#REF!)=0,LEN(#REF!)=0)),1,0)</f>
        <v>#REF!</v>
      </c>
      <c r="V383" s="235"/>
      <c r="W383" s="235"/>
      <c r="Y383" s="228" t="e">
        <f>#REF!&amp;#REF!</f>
        <v>#REF!</v>
      </c>
    </row>
    <row r="384" spans="1:25" s="228" customFormat="1" ht="20.25">
      <c r="A384" s="257" t="s">
        <v>1355</v>
      </c>
      <c r="B384" s="396" t="str">
        <f>IF(LEN(A384)=0,"",INDEX('[1]Smelter Reference List'!$A$1:$A$65536,MATCH($A384,'[1]Smelter Reference List'!$E$1:$E$65536,0)))</f>
        <v>Tantalum</v>
      </c>
      <c r="C384" s="397" t="str">
        <f>IF(LEN(A384)=0,"",INDEX('[1]Smelter Reference List'!$C$1:$C$65536,MATCH($A384,'[1]Smelter Reference List'!$E$1:$E$65536,0)))</f>
        <v>QuantumClean</v>
      </c>
      <c r="D384" s="396" t="e">
        <f ca="1">IF(ISERROR('[1]Smelter List'!$S106),"",OFFSET('[1]Smelter Reference List'!$C$4,'[1]Smelter List'!$S106-4,0)&amp;"")</f>
        <v>#VALUE!</v>
      </c>
      <c r="E384" s="396" t="e">
        <f ca="1">IF(ISERROR('[1]Smelter List'!$S106),"",OFFSET('[1]Smelter Reference List'!$D$4,'[1]Smelter List'!$S106-4,0)&amp;"")</f>
        <v>#VALUE!</v>
      </c>
      <c r="F384" s="396" t="e">
        <f ca="1">IF(ISERROR('[1]Smelter List'!$S106),"",OFFSET('[1]Smelter Reference List'!$E$4,'[1]Smelter List'!$S106-4,0))</f>
        <v>#VALUE!</v>
      </c>
      <c r="G384" s="396" t="e">
        <f ca="1">IF(C384='[1]Smelter List'!$U$4,"Enter smelter details", IF(ISERROR('[1]Smelter List'!$S106),"",OFFSET('[1]Smelter Reference List'!$F$4,'[1]Smelter List'!$S106-4,0)))</f>
        <v>#VALUE!</v>
      </c>
      <c r="H384" s="398" t="e">
        <f ca="1">IF(ISERROR('[1]Smelter List'!$S106),"",OFFSET('[1]Smelter Reference List'!$G$4,'[1]Smelter List'!$S106-4,0))</f>
        <v>#VALUE!</v>
      </c>
      <c r="I384" s="399" t="e">
        <f ca="1">IF(ISERROR('[1]Smelter List'!$S106),"",OFFSET('[1]Smelter Reference List'!$H$4,'[1]Smelter List'!$S106-4,0))</f>
        <v>#VALUE!</v>
      </c>
      <c r="J384" s="399" t="e">
        <f ca="1">IF(ISERROR('[1]Smelter List'!$S106),"",OFFSET('[1]Smelter Reference List'!$I$4,'[1]Smelter List'!$S106-4,0))</f>
        <v>#VALUE!</v>
      </c>
      <c r="K384" s="402"/>
      <c r="L384" s="402"/>
      <c r="M384" s="402"/>
      <c r="N384" s="402"/>
      <c r="O384" s="402"/>
      <c r="P384" s="402"/>
      <c r="Q384" s="403"/>
      <c r="R384" s="233"/>
      <c r="S384" s="234" t="e">
        <f>IF(#REF!="",NA(),MATCH(#REF!&amp;#REF!,'Smelter Reference List'!$J:$J,0))</f>
        <v>#REF!</v>
      </c>
      <c r="T384" s="235"/>
      <c r="U384" s="235" t="e">
        <f>IF(AND(#REF!="Smelter not listed",OR(LEN(#REF!)=0,LEN(#REF!)=0)),1,0)</f>
        <v>#REF!</v>
      </c>
      <c r="V384" s="235"/>
      <c r="W384" s="235"/>
      <c r="Y384" s="228" t="e">
        <f>#REF!&amp;#REF!</f>
        <v>#REF!</v>
      </c>
    </row>
    <row r="385" spans="1:25" s="228" customFormat="1" ht="20.25">
      <c r="A385" s="257" t="s">
        <v>1356</v>
      </c>
      <c r="B385" s="396" t="str">
        <f>IF(LEN(A385)=0,"",INDEX('[1]Smelter Reference List'!$A$1:$A$65536,MATCH($A385,'[1]Smelter Reference List'!$E$1:$E$65536,0)))</f>
        <v>Tantalum</v>
      </c>
      <c r="C385" s="397" t="str">
        <f>IF(LEN(A385)=0,"",INDEX('[1]Smelter Reference List'!$C$1:$C$65536,MATCH($A385,'[1]Smelter Reference List'!$E$1:$E$65536,0)))</f>
        <v>RFH Tantalum Smeltry Co., Ltd.</v>
      </c>
      <c r="D385" s="396" t="e">
        <f ca="1">IF(ISERROR('[1]Smelter List'!$S107),"",OFFSET('[1]Smelter Reference List'!$C$4,'[1]Smelter List'!$S107-4,0)&amp;"")</f>
        <v>#VALUE!</v>
      </c>
      <c r="E385" s="396" t="e">
        <f ca="1">IF(ISERROR('[1]Smelter List'!$S107),"",OFFSET('[1]Smelter Reference List'!$D$4,'[1]Smelter List'!$S107-4,0)&amp;"")</f>
        <v>#VALUE!</v>
      </c>
      <c r="F385" s="396" t="e">
        <f ca="1">IF(ISERROR('[1]Smelter List'!$S107),"",OFFSET('[1]Smelter Reference List'!$E$4,'[1]Smelter List'!$S107-4,0))</f>
        <v>#VALUE!</v>
      </c>
      <c r="G385" s="396" t="e">
        <f ca="1">IF(C385='[1]Smelter List'!$U$4,"Enter smelter details", IF(ISERROR('[1]Smelter List'!$S107),"",OFFSET('[1]Smelter Reference List'!$F$4,'[1]Smelter List'!$S107-4,0)))</f>
        <v>#VALUE!</v>
      </c>
      <c r="H385" s="398" t="e">
        <f ca="1">IF(ISERROR('[1]Smelter List'!$S107),"",OFFSET('[1]Smelter Reference List'!$G$4,'[1]Smelter List'!$S107-4,0))</f>
        <v>#VALUE!</v>
      </c>
      <c r="I385" s="399" t="e">
        <f ca="1">IF(ISERROR('[1]Smelter List'!$S107),"",OFFSET('[1]Smelter Reference List'!$H$4,'[1]Smelter List'!$S107-4,0))</f>
        <v>#VALUE!</v>
      </c>
      <c r="J385" s="399" t="e">
        <f ca="1">IF(ISERROR('[1]Smelter List'!$S107),"",OFFSET('[1]Smelter Reference List'!$I$4,'[1]Smelter List'!$S107-4,0))</f>
        <v>#VALUE!</v>
      </c>
      <c r="K385" s="402"/>
      <c r="L385" s="402"/>
      <c r="M385" s="402"/>
      <c r="N385" s="402"/>
      <c r="O385" s="402"/>
      <c r="P385" s="402"/>
      <c r="Q385" s="403"/>
      <c r="R385" s="233"/>
      <c r="S385" s="234" t="e">
        <f>IF(#REF!="",NA(),MATCH(#REF!&amp;#REF!,'Smelter Reference List'!$J:$J,0))</f>
        <v>#REF!</v>
      </c>
      <c r="T385" s="235"/>
      <c r="U385" s="235" t="e">
        <f>IF(AND(#REF!="Smelter not listed",OR(LEN(#REF!)=0,LEN(#REF!)=0)),1,0)</f>
        <v>#REF!</v>
      </c>
      <c r="V385" s="235"/>
      <c r="W385" s="235"/>
      <c r="Y385" s="228" t="e">
        <f>#REF!&amp;#REF!</f>
        <v>#REF!</v>
      </c>
    </row>
    <row r="386" spans="1:25" s="228" customFormat="1" ht="20.25">
      <c r="A386" s="257" t="s">
        <v>1357</v>
      </c>
      <c r="B386" s="396" t="str">
        <f>IF(LEN(A386)=0,"",INDEX('[1]Smelter Reference List'!$A$1:$A$65536,MATCH($A386,'[1]Smelter Reference List'!$E$1:$E$65536,0)))</f>
        <v>Tantalum</v>
      </c>
      <c r="C386" s="397" t="str">
        <f>IF(LEN(A386)=0,"",INDEX('[1]Smelter Reference List'!$C$1:$C$65536,MATCH($A386,'[1]Smelter Reference List'!$E$1:$E$65536,0)))</f>
        <v>Solikamsk Magnesium Works OAO</v>
      </c>
      <c r="D386" s="396" t="e">
        <f ca="1">IF(ISERROR('[1]Smelter List'!$S108),"",OFFSET('[1]Smelter Reference List'!$C$4,'[1]Smelter List'!$S108-4,0)&amp;"")</f>
        <v>#VALUE!</v>
      </c>
      <c r="E386" s="396" t="e">
        <f ca="1">IF(ISERROR('[1]Smelter List'!$S108),"",OFFSET('[1]Smelter Reference List'!$D$4,'[1]Smelter List'!$S108-4,0)&amp;"")</f>
        <v>#VALUE!</v>
      </c>
      <c r="F386" s="396" t="e">
        <f ca="1">IF(ISERROR('[1]Smelter List'!$S108),"",OFFSET('[1]Smelter Reference List'!$E$4,'[1]Smelter List'!$S108-4,0))</f>
        <v>#VALUE!</v>
      </c>
      <c r="G386" s="396" t="e">
        <f ca="1">IF(C386='[1]Smelter List'!$U$4,"Enter smelter details", IF(ISERROR('[1]Smelter List'!$S108),"",OFFSET('[1]Smelter Reference List'!$F$4,'[1]Smelter List'!$S108-4,0)))</f>
        <v>#VALUE!</v>
      </c>
      <c r="H386" s="398" t="e">
        <f ca="1">IF(ISERROR('[1]Smelter List'!$S108),"",OFFSET('[1]Smelter Reference List'!$G$4,'[1]Smelter List'!$S108-4,0))</f>
        <v>#VALUE!</v>
      </c>
      <c r="I386" s="399" t="e">
        <f ca="1">IF(ISERROR('[1]Smelter List'!$S108),"",OFFSET('[1]Smelter Reference List'!$H$4,'[1]Smelter List'!$S108-4,0))</f>
        <v>#VALUE!</v>
      </c>
      <c r="J386" s="399" t="e">
        <f ca="1">IF(ISERROR('[1]Smelter List'!$S108),"",OFFSET('[1]Smelter Reference List'!$I$4,'[1]Smelter List'!$S108-4,0))</f>
        <v>#VALUE!</v>
      </c>
      <c r="K386" s="402"/>
      <c r="L386" s="402"/>
      <c r="M386" s="402"/>
      <c r="N386" s="402"/>
      <c r="O386" s="402"/>
      <c r="P386" s="402"/>
      <c r="Q386" s="403"/>
      <c r="R386" s="233"/>
      <c r="S386" s="234" t="e">
        <f>IF(#REF!="",NA(),MATCH(#REF!&amp;#REF!,'Smelter Reference List'!$J:$J,0))</f>
        <v>#REF!</v>
      </c>
      <c r="T386" s="235"/>
      <c r="U386" s="235" t="e">
        <f>IF(AND(#REF!="Smelter not listed",OR(LEN(#REF!)=0,LEN(#REF!)=0)),1,0)</f>
        <v>#REF!</v>
      </c>
      <c r="V386" s="235"/>
      <c r="W386" s="235"/>
      <c r="Y386" s="228" t="e">
        <f>#REF!&amp;#REF!</f>
        <v>#REF!</v>
      </c>
    </row>
    <row r="387" spans="1:25" s="228" customFormat="1" ht="20.25">
      <c r="A387" s="257" t="s">
        <v>1358</v>
      </c>
      <c r="B387" s="396" t="str">
        <f>IF(LEN(A387)=0,"",INDEX('[1]Smelter Reference List'!$A$1:$A$65536,MATCH($A387,'[1]Smelter Reference List'!$E$1:$E$65536,0)))</f>
        <v>Tantalum</v>
      </c>
      <c r="C387" s="397" t="str">
        <f>IF(LEN(A387)=0,"",INDEX('[1]Smelter Reference List'!$C$1:$C$65536,MATCH($A387,'[1]Smelter Reference List'!$E$1:$E$65536,0)))</f>
        <v>Taki Chemical Co., Ltd.</v>
      </c>
      <c r="D387" s="396" t="e">
        <f ca="1">IF(ISERROR('[1]Smelter List'!$S109),"",OFFSET('[1]Smelter Reference List'!$C$4,'[1]Smelter List'!$S109-4,0)&amp;"")</f>
        <v>#VALUE!</v>
      </c>
      <c r="E387" s="396" t="e">
        <f ca="1">IF(ISERROR('[1]Smelter List'!$S109),"",OFFSET('[1]Smelter Reference List'!$D$4,'[1]Smelter List'!$S109-4,0)&amp;"")</f>
        <v>#VALUE!</v>
      </c>
      <c r="F387" s="396" t="e">
        <f ca="1">IF(ISERROR('[1]Smelter List'!$S109),"",OFFSET('[1]Smelter Reference List'!$E$4,'[1]Smelter List'!$S109-4,0))</f>
        <v>#VALUE!</v>
      </c>
      <c r="G387" s="396" t="e">
        <f ca="1">IF(C387='[1]Smelter List'!$U$4,"Enter smelter details", IF(ISERROR('[1]Smelter List'!$S109),"",OFFSET('[1]Smelter Reference List'!$F$4,'[1]Smelter List'!$S109-4,0)))</f>
        <v>#VALUE!</v>
      </c>
      <c r="H387" s="398" t="e">
        <f ca="1">IF(ISERROR('[1]Smelter List'!$S109),"",OFFSET('[1]Smelter Reference List'!$G$4,'[1]Smelter List'!$S109-4,0))</f>
        <v>#VALUE!</v>
      </c>
      <c r="I387" s="399" t="e">
        <f ca="1">IF(ISERROR('[1]Smelter List'!$S109),"",OFFSET('[1]Smelter Reference List'!$H$4,'[1]Smelter List'!$S109-4,0))</f>
        <v>#VALUE!</v>
      </c>
      <c r="J387" s="399" t="e">
        <f ca="1">IF(ISERROR('[1]Smelter List'!$S109),"",OFFSET('[1]Smelter Reference List'!$I$4,'[1]Smelter List'!$S109-4,0))</f>
        <v>#VALUE!</v>
      </c>
      <c r="K387" s="402"/>
      <c r="L387" s="402"/>
      <c r="M387" s="402"/>
      <c r="N387" s="402"/>
      <c r="O387" s="402"/>
      <c r="P387" s="402"/>
      <c r="Q387" s="403"/>
      <c r="R387" s="233"/>
      <c r="S387" s="234" t="e">
        <f>IF(#REF!="",NA(),MATCH(#REF!&amp;#REF!,'Smelter Reference List'!$J:$J,0))</f>
        <v>#REF!</v>
      </c>
      <c r="T387" s="235"/>
      <c r="U387" s="235" t="e">
        <f>IF(AND(#REF!="Smelter not listed",OR(LEN(#REF!)=0,LEN(#REF!)=0)),1,0)</f>
        <v>#REF!</v>
      </c>
      <c r="V387" s="235"/>
      <c r="W387" s="235"/>
      <c r="Y387" s="228" t="e">
        <f>#REF!&amp;#REF!</f>
        <v>#REF!</v>
      </c>
    </row>
    <row r="388" spans="1:25" s="228" customFormat="1" ht="20.25">
      <c r="A388" s="257" t="s">
        <v>1359</v>
      </c>
      <c r="B388" s="396" t="str">
        <f>IF(LEN(A388)=0,"",INDEX('[1]Smelter Reference List'!$A$1:$A$65536,MATCH($A388,'[1]Smelter Reference List'!$E$1:$E$65536,0)))</f>
        <v>Tantalum</v>
      </c>
      <c r="C388" s="397" t="str">
        <f>IF(LEN(A388)=0,"",INDEX('[1]Smelter Reference List'!$C$1:$C$65536,MATCH($A388,'[1]Smelter Reference List'!$E$1:$E$65536,0)))</f>
        <v>Telex Metals</v>
      </c>
      <c r="D388" s="396" t="e">
        <f ca="1">IF(ISERROR('[1]Smelter List'!$S110),"",OFFSET('[1]Smelter Reference List'!$C$4,'[1]Smelter List'!$S110-4,0)&amp;"")</f>
        <v>#VALUE!</v>
      </c>
      <c r="E388" s="396" t="e">
        <f ca="1">IF(ISERROR('[1]Smelter List'!$S110),"",OFFSET('[1]Smelter Reference List'!$D$4,'[1]Smelter List'!$S110-4,0)&amp;"")</f>
        <v>#VALUE!</v>
      </c>
      <c r="F388" s="396" t="e">
        <f ca="1">IF(ISERROR('[1]Smelter List'!$S110),"",OFFSET('[1]Smelter Reference List'!$E$4,'[1]Smelter List'!$S110-4,0))</f>
        <v>#VALUE!</v>
      </c>
      <c r="G388" s="396" t="e">
        <f ca="1">IF(C388='[1]Smelter List'!$U$4,"Enter smelter details", IF(ISERROR('[1]Smelter List'!$S110),"",OFFSET('[1]Smelter Reference List'!$F$4,'[1]Smelter List'!$S110-4,0)))</f>
        <v>#VALUE!</v>
      </c>
      <c r="H388" s="398" t="e">
        <f ca="1">IF(ISERROR('[1]Smelter List'!$S110),"",OFFSET('[1]Smelter Reference List'!$G$4,'[1]Smelter List'!$S110-4,0))</f>
        <v>#VALUE!</v>
      </c>
      <c r="I388" s="399" t="e">
        <f ca="1">IF(ISERROR('[1]Smelter List'!$S110),"",OFFSET('[1]Smelter Reference List'!$H$4,'[1]Smelter List'!$S110-4,0))</f>
        <v>#VALUE!</v>
      </c>
      <c r="J388" s="399" t="e">
        <f ca="1">IF(ISERROR('[1]Smelter List'!$S110),"",OFFSET('[1]Smelter Reference List'!$I$4,'[1]Smelter List'!$S110-4,0))</f>
        <v>#VALUE!</v>
      </c>
      <c r="K388" s="402"/>
      <c r="L388" s="402"/>
      <c r="M388" s="402"/>
      <c r="N388" s="402"/>
      <c r="O388" s="402"/>
      <c r="P388" s="402"/>
      <c r="Q388" s="403"/>
      <c r="R388" s="233"/>
      <c r="S388" s="234" t="e">
        <f>IF(#REF!="",NA(),MATCH(#REF!&amp;#REF!,'Smelter Reference List'!$J:$J,0))</f>
        <v>#REF!</v>
      </c>
      <c r="T388" s="235"/>
      <c r="U388" s="235" t="e">
        <f>IF(AND(#REF!="Smelter not listed",OR(LEN(#REF!)=0,LEN(#REF!)=0)),1,0)</f>
        <v>#REF!</v>
      </c>
      <c r="V388" s="235"/>
      <c r="W388" s="235"/>
      <c r="Y388" s="228" t="e">
        <f>#REF!&amp;#REF!</f>
        <v>#REF!</v>
      </c>
    </row>
    <row r="389" spans="1:25" s="228" customFormat="1" ht="20.25">
      <c r="A389" s="257" t="s">
        <v>1360</v>
      </c>
      <c r="B389" s="396" t="str">
        <f>IF(LEN(A389)=0,"",INDEX('[1]Smelter Reference List'!$A$1:$A$65536,MATCH($A389,'[1]Smelter Reference List'!$E$1:$E$65536,0)))</f>
        <v>Tantalum</v>
      </c>
      <c r="C389" s="397" t="str">
        <f>IF(LEN(A389)=0,"",INDEX('[1]Smelter Reference List'!$C$1:$C$65536,MATCH($A389,'[1]Smelter Reference List'!$E$1:$E$65536,0)))</f>
        <v>Ulba Metallurgical Plant JSC</v>
      </c>
      <c r="D389" s="396" t="e">
        <f ca="1">IF(ISERROR('[1]Smelter List'!$S111),"",OFFSET('[1]Smelter Reference List'!$C$4,'[1]Smelter List'!$S111-4,0)&amp;"")</f>
        <v>#VALUE!</v>
      </c>
      <c r="E389" s="396" t="e">
        <f ca="1">IF(ISERROR('[1]Smelter List'!$S111),"",OFFSET('[1]Smelter Reference List'!$D$4,'[1]Smelter List'!$S111-4,0)&amp;"")</f>
        <v>#VALUE!</v>
      </c>
      <c r="F389" s="396" t="e">
        <f ca="1">IF(ISERROR('[1]Smelter List'!$S111),"",OFFSET('[1]Smelter Reference List'!$E$4,'[1]Smelter List'!$S111-4,0))</f>
        <v>#VALUE!</v>
      </c>
      <c r="G389" s="396" t="e">
        <f ca="1">IF(C389='[1]Smelter List'!$U$4,"Enter smelter details", IF(ISERROR('[1]Smelter List'!$S111),"",OFFSET('[1]Smelter Reference List'!$F$4,'[1]Smelter List'!$S111-4,0)))</f>
        <v>#VALUE!</v>
      </c>
      <c r="H389" s="398" t="e">
        <f ca="1">IF(ISERROR('[1]Smelter List'!$S111),"",OFFSET('[1]Smelter Reference List'!$G$4,'[1]Smelter List'!$S111-4,0))</f>
        <v>#VALUE!</v>
      </c>
      <c r="I389" s="399" t="e">
        <f ca="1">IF(ISERROR('[1]Smelter List'!$S111),"",OFFSET('[1]Smelter Reference List'!$H$4,'[1]Smelter List'!$S111-4,0))</f>
        <v>#VALUE!</v>
      </c>
      <c r="J389" s="399" t="e">
        <f ca="1">IF(ISERROR('[1]Smelter List'!$S111),"",OFFSET('[1]Smelter Reference List'!$I$4,'[1]Smelter List'!$S111-4,0))</f>
        <v>#VALUE!</v>
      </c>
      <c r="K389" s="402"/>
      <c r="L389" s="402"/>
      <c r="M389" s="402"/>
      <c r="N389" s="402"/>
      <c r="O389" s="402"/>
      <c r="P389" s="402"/>
      <c r="Q389" s="403"/>
      <c r="R389" s="233"/>
      <c r="S389" s="234" t="e">
        <f>IF(#REF!="",NA(),MATCH(#REF!&amp;#REF!,'Smelter Reference List'!$J:$J,0))</f>
        <v>#REF!</v>
      </c>
      <c r="T389" s="235"/>
      <c r="U389" s="235" t="e">
        <f>IF(AND(#REF!="Smelter not listed",OR(LEN(#REF!)=0,LEN(#REF!)=0)),1,0)</f>
        <v>#REF!</v>
      </c>
      <c r="V389" s="235"/>
      <c r="W389" s="235"/>
      <c r="Y389" s="228" t="e">
        <f>#REF!&amp;#REF!</f>
        <v>#REF!</v>
      </c>
    </row>
    <row r="390" spans="1:25" s="228" customFormat="1" ht="20.25">
      <c r="A390" s="257" t="s">
        <v>1361</v>
      </c>
      <c r="B390" s="396" t="str">
        <f>IF(LEN(A390)=0,"",INDEX('[1]Smelter Reference List'!$A$1:$A$65536,MATCH($A390,'[1]Smelter Reference List'!$E$1:$E$65536,0)))</f>
        <v>Tantalum</v>
      </c>
      <c r="C390" s="397" t="str">
        <f>IF(LEN(A390)=0,"",INDEX('[1]Smelter Reference List'!$C$1:$C$65536,MATCH($A390,'[1]Smelter Reference List'!$E$1:$E$65536,0)))</f>
        <v>Zhuzhou Cemented Carbide Group Co., Ltd.</v>
      </c>
      <c r="D390" s="396" t="e">
        <f ca="1">IF(ISERROR('[1]Smelter List'!$S112),"",OFFSET('[1]Smelter Reference List'!$C$4,'[1]Smelter List'!$S112-4,0)&amp;"")</f>
        <v>#VALUE!</v>
      </c>
      <c r="E390" s="396" t="e">
        <f ca="1">IF(ISERROR('[1]Smelter List'!$S112),"",OFFSET('[1]Smelter Reference List'!$D$4,'[1]Smelter List'!$S112-4,0)&amp;"")</f>
        <v>#VALUE!</v>
      </c>
      <c r="F390" s="396" t="e">
        <f ca="1">IF(ISERROR('[1]Smelter List'!$S112),"",OFFSET('[1]Smelter Reference List'!$E$4,'[1]Smelter List'!$S112-4,0))</f>
        <v>#VALUE!</v>
      </c>
      <c r="G390" s="396" t="e">
        <f ca="1">IF(C390='[1]Smelter List'!$U$4,"Enter smelter details", IF(ISERROR('[1]Smelter List'!$S112),"",OFFSET('[1]Smelter Reference List'!$F$4,'[1]Smelter List'!$S112-4,0)))</f>
        <v>#VALUE!</v>
      </c>
      <c r="H390" s="398" t="e">
        <f ca="1">IF(ISERROR('[1]Smelter List'!$S112),"",OFFSET('[1]Smelter Reference List'!$G$4,'[1]Smelter List'!$S112-4,0))</f>
        <v>#VALUE!</v>
      </c>
      <c r="I390" s="399" t="e">
        <f ca="1">IF(ISERROR('[1]Smelter List'!$S112),"",OFFSET('[1]Smelter Reference List'!$H$4,'[1]Smelter List'!$S112-4,0))</f>
        <v>#VALUE!</v>
      </c>
      <c r="J390" s="399" t="e">
        <f ca="1">IF(ISERROR('[1]Smelter List'!$S112),"",OFFSET('[1]Smelter Reference List'!$I$4,'[1]Smelter List'!$S112-4,0))</f>
        <v>#VALUE!</v>
      </c>
      <c r="K390" s="402"/>
      <c r="L390" s="402"/>
      <c r="M390" s="402"/>
      <c r="N390" s="402"/>
      <c r="O390" s="402"/>
      <c r="P390" s="402"/>
      <c r="Q390" s="403"/>
      <c r="R390" s="233"/>
      <c r="S390" s="234" t="e">
        <f>IF(#REF!="",NA(),MATCH(#REF!&amp;#REF!,'Smelter Reference List'!$J:$J,0))</f>
        <v>#REF!</v>
      </c>
      <c r="T390" s="235"/>
      <c r="U390" s="235" t="e">
        <f>IF(AND(#REF!="Smelter not listed",OR(LEN(#REF!)=0,LEN(#REF!)=0)),1,0)</f>
        <v>#REF!</v>
      </c>
      <c r="V390" s="235"/>
      <c r="W390" s="235"/>
      <c r="Y390" s="228" t="e">
        <f>#REF!&amp;#REF!</f>
        <v>#REF!</v>
      </c>
    </row>
    <row r="391" spans="1:25" s="228" customFormat="1" ht="20.25">
      <c r="A391" s="257" t="s">
        <v>78</v>
      </c>
      <c r="B391" s="396" t="str">
        <f>IF(LEN(A391)=0,"",INDEX('[1]Smelter Reference List'!$A$1:$A$65536,MATCH($A391,'[1]Smelter Reference List'!$E$1:$E$65536,0)))</f>
        <v>Tantalum</v>
      </c>
      <c r="C391" s="397" t="str">
        <f>IF(LEN(A391)=0,"",INDEX('[1]Smelter Reference List'!$C$1:$C$65536,MATCH($A391,'[1]Smelter Reference List'!$E$1:$E$65536,0)))</f>
        <v>Yichun Jin Yang Rare Metal Co., Ltd.</v>
      </c>
      <c r="D391" s="396" t="e">
        <f ca="1">IF(ISERROR('[1]Smelter List'!$S113),"",OFFSET('[1]Smelter Reference List'!$C$4,'[1]Smelter List'!$S113-4,0)&amp;"")</f>
        <v>#VALUE!</v>
      </c>
      <c r="E391" s="396" t="e">
        <f ca="1">IF(ISERROR('[1]Smelter List'!$S113),"",OFFSET('[1]Smelter Reference List'!$D$4,'[1]Smelter List'!$S113-4,0)&amp;"")</f>
        <v>#VALUE!</v>
      </c>
      <c r="F391" s="396" t="e">
        <f ca="1">IF(ISERROR('[1]Smelter List'!$S113),"",OFFSET('[1]Smelter Reference List'!$E$4,'[1]Smelter List'!$S113-4,0))</f>
        <v>#VALUE!</v>
      </c>
      <c r="G391" s="396" t="e">
        <f ca="1">IF(C391='[1]Smelter List'!$U$4,"Enter smelter details", IF(ISERROR('[1]Smelter List'!$S113),"",OFFSET('[1]Smelter Reference List'!$F$4,'[1]Smelter List'!$S113-4,0)))</f>
        <v>#VALUE!</v>
      </c>
      <c r="H391" s="398" t="e">
        <f ca="1">IF(ISERROR('[1]Smelter List'!$S113),"",OFFSET('[1]Smelter Reference List'!$G$4,'[1]Smelter List'!$S113-4,0))</f>
        <v>#VALUE!</v>
      </c>
      <c r="I391" s="399" t="e">
        <f ca="1">IF(ISERROR('[1]Smelter List'!$S113),"",OFFSET('[1]Smelter Reference List'!$H$4,'[1]Smelter List'!$S113-4,0))</f>
        <v>#VALUE!</v>
      </c>
      <c r="J391" s="399" t="e">
        <f ca="1">IF(ISERROR('[1]Smelter List'!$S113),"",OFFSET('[1]Smelter Reference List'!$I$4,'[1]Smelter List'!$S113-4,0))</f>
        <v>#VALUE!</v>
      </c>
      <c r="K391" s="402"/>
      <c r="L391" s="402"/>
      <c r="M391" s="402"/>
      <c r="N391" s="402"/>
      <c r="O391" s="402"/>
      <c r="P391" s="402"/>
      <c r="Q391" s="403"/>
      <c r="R391" s="233"/>
      <c r="S391" s="234" t="e">
        <f>IF(#REF!="",NA(),MATCH(#REF!&amp;#REF!,'Smelter Reference List'!$J:$J,0))</f>
        <v>#REF!</v>
      </c>
      <c r="T391" s="235"/>
      <c r="U391" s="235" t="e">
        <f>IF(AND(#REF!="Smelter not listed",OR(LEN(#REF!)=0,LEN(#REF!)=0)),1,0)</f>
        <v>#REF!</v>
      </c>
      <c r="V391" s="235"/>
      <c r="W391" s="235"/>
      <c r="Y391" s="228" t="e">
        <f>#REF!&amp;#REF!</f>
        <v>#REF!</v>
      </c>
    </row>
    <row r="392" spans="1:25" s="228" customFormat="1" ht="25.5">
      <c r="A392" s="257" t="s">
        <v>725</v>
      </c>
      <c r="B392" s="396" t="str">
        <f>IF(LEN(A392)=0,"",INDEX('[1]Smelter Reference List'!$A$1:$A$65536,MATCH($A392,'[1]Smelter Reference List'!$E$1:$E$65536,0)))</f>
        <v>Tantalum</v>
      </c>
      <c r="C392" s="397" t="str">
        <f>IF(LEN(A392)=0,"",INDEX('[1]Smelter Reference List'!$C$1:$C$65536,MATCH($A392,'[1]Smelter Reference List'!$E$1:$E$65536,0)))</f>
        <v>Hengyang King Xing Lifeng New Materials Co., Ltd.</v>
      </c>
      <c r="D392" s="396" t="e">
        <f ca="1">IF(ISERROR('[1]Smelter List'!$S114),"",OFFSET('[1]Smelter Reference List'!$C$4,'[1]Smelter List'!$S114-4,0)&amp;"")</f>
        <v>#VALUE!</v>
      </c>
      <c r="E392" s="396" t="e">
        <f ca="1">IF(ISERROR('[1]Smelter List'!$S114),"",OFFSET('[1]Smelter Reference List'!$D$4,'[1]Smelter List'!$S114-4,0)&amp;"")</f>
        <v>#VALUE!</v>
      </c>
      <c r="F392" s="396" t="e">
        <f ca="1">IF(ISERROR('[1]Smelter List'!$S114),"",OFFSET('[1]Smelter Reference List'!$E$4,'[1]Smelter List'!$S114-4,0))</f>
        <v>#VALUE!</v>
      </c>
      <c r="G392" s="396" t="e">
        <f ca="1">IF(C392='[1]Smelter List'!$U$4,"Enter smelter details", IF(ISERROR('[1]Smelter List'!$S114),"",OFFSET('[1]Smelter Reference List'!$F$4,'[1]Smelter List'!$S114-4,0)))</f>
        <v>#VALUE!</v>
      </c>
      <c r="H392" s="398" t="e">
        <f ca="1">IF(ISERROR('[1]Smelter List'!$S114),"",OFFSET('[1]Smelter Reference List'!$G$4,'[1]Smelter List'!$S114-4,0))</f>
        <v>#VALUE!</v>
      </c>
      <c r="I392" s="399" t="e">
        <f ca="1">IF(ISERROR('[1]Smelter List'!$S114),"",OFFSET('[1]Smelter Reference List'!$H$4,'[1]Smelter List'!$S114-4,0))</f>
        <v>#VALUE!</v>
      </c>
      <c r="J392" s="399" t="e">
        <f ca="1">IF(ISERROR('[1]Smelter List'!$S114),"",OFFSET('[1]Smelter Reference List'!$I$4,'[1]Smelter List'!$S114-4,0))</f>
        <v>#VALUE!</v>
      </c>
      <c r="K392" s="402"/>
      <c r="L392" s="402"/>
      <c r="M392" s="402"/>
      <c r="N392" s="402"/>
      <c r="O392" s="402"/>
      <c r="P392" s="402"/>
      <c r="Q392" s="403"/>
      <c r="R392" s="233"/>
      <c r="S392" s="234" t="e">
        <f>IF(#REF!="",NA(),MATCH(#REF!&amp;#REF!,'Smelter Reference List'!$J:$J,0))</f>
        <v>#REF!</v>
      </c>
      <c r="T392" s="235"/>
      <c r="U392" s="235" t="e">
        <f>IF(AND(#REF!="Smelter not listed",OR(LEN(#REF!)=0,LEN(#REF!)=0)),1,0)</f>
        <v>#REF!</v>
      </c>
      <c r="V392" s="235"/>
      <c r="W392" s="235"/>
      <c r="Y392" s="228" t="e">
        <f>#REF!&amp;#REF!</f>
        <v>#REF!</v>
      </c>
    </row>
    <row r="393" spans="1:25" s="228" customFormat="1" ht="20.25">
      <c r="A393" s="257" t="s">
        <v>2698</v>
      </c>
      <c r="B393" s="396" t="str">
        <f>IF(LEN(A393)=0,"",INDEX('[1]Smelter Reference List'!$A$1:$A$65536,MATCH($A393,'[1]Smelter Reference List'!$E$1:$E$65536,0)))</f>
        <v>Tantalum</v>
      </c>
      <c r="C393" s="397" t="str">
        <f>IF(LEN(A393)=0,"",INDEX('[1]Smelter Reference List'!$C$1:$C$65536,MATCH($A393,'[1]Smelter Reference List'!$E$1:$E$65536,0)))</f>
        <v>D Block Metals, LLC</v>
      </c>
      <c r="D393" s="396" t="e">
        <f ca="1">IF(ISERROR('[1]Smelter List'!$S115),"",OFFSET('[1]Smelter Reference List'!$C$4,'[1]Smelter List'!$S115-4,0)&amp;"")</f>
        <v>#VALUE!</v>
      </c>
      <c r="E393" s="396" t="e">
        <f ca="1">IF(ISERROR('[1]Smelter List'!$S115),"",OFFSET('[1]Smelter Reference List'!$D$4,'[1]Smelter List'!$S115-4,0)&amp;"")</f>
        <v>#VALUE!</v>
      </c>
      <c r="F393" s="396" t="e">
        <f ca="1">IF(ISERROR('[1]Smelter List'!$S115),"",OFFSET('[1]Smelter Reference List'!$E$4,'[1]Smelter List'!$S115-4,0))</f>
        <v>#VALUE!</v>
      </c>
      <c r="G393" s="396" t="e">
        <f ca="1">IF(C393='[1]Smelter List'!$U$4,"Enter smelter details", IF(ISERROR('[1]Smelter List'!$S115),"",OFFSET('[1]Smelter Reference List'!$F$4,'[1]Smelter List'!$S115-4,0)))</f>
        <v>#VALUE!</v>
      </c>
      <c r="H393" s="398" t="e">
        <f ca="1">IF(ISERROR('[1]Smelter List'!$S115),"",OFFSET('[1]Smelter Reference List'!$G$4,'[1]Smelter List'!$S115-4,0))</f>
        <v>#VALUE!</v>
      </c>
      <c r="I393" s="399" t="e">
        <f ca="1">IF(ISERROR('[1]Smelter List'!$S115),"",OFFSET('[1]Smelter Reference List'!$H$4,'[1]Smelter List'!$S115-4,0))</f>
        <v>#VALUE!</v>
      </c>
      <c r="J393" s="399" t="e">
        <f ca="1">IF(ISERROR('[1]Smelter List'!$S115),"",OFFSET('[1]Smelter Reference List'!$I$4,'[1]Smelter List'!$S115-4,0))</f>
        <v>#VALUE!</v>
      </c>
      <c r="K393" s="402"/>
      <c r="L393" s="402"/>
      <c r="M393" s="402"/>
      <c r="N393" s="402"/>
      <c r="O393" s="402"/>
      <c r="P393" s="402"/>
      <c r="Q393" s="403"/>
      <c r="R393" s="233"/>
      <c r="S393" s="234" t="e">
        <f>IF(#REF!="",NA(),MATCH(#REF!&amp;#REF!,'Smelter Reference List'!$J:$J,0))</f>
        <v>#REF!</v>
      </c>
      <c r="T393" s="235"/>
      <c r="U393" s="235" t="e">
        <f>IF(AND(#REF!="Smelter not listed",OR(LEN(#REF!)=0,LEN(#REF!)=0)),1,0)</f>
        <v>#REF!</v>
      </c>
      <c r="V393" s="235"/>
      <c r="W393" s="235"/>
      <c r="Y393" s="228" t="e">
        <f>#REF!&amp;#REF!</f>
        <v>#REF!</v>
      </c>
    </row>
    <row r="394" spans="1:25" s="228" customFormat="1" ht="20.25">
      <c r="A394" s="257" t="s">
        <v>2699</v>
      </c>
      <c r="B394" s="396" t="str">
        <f>IF(LEN(A394)=0,"",INDEX('[1]Smelter Reference List'!$A$1:$A$65536,MATCH($A394,'[1]Smelter Reference List'!$E$1:$E$65536,0)))</f>
        <v>Tantalum</v>
      </c>
      <c r="C394" s="397" t="str">
        <f>IF(LEN(A394)=0,"",INDEX('[1]Smelter Reference List'!$C$1:$C$65536,MATCH($A394,'[1]Smelter Reference List'!$E$1:$E$65536,0)))</f>
        <v>FIR Metals &amp; Resource Ltd.</v>
      </c>
      <c r="D394" s="396" t="e">
        <f ca="1">IF(ISERROR('[1]Smelter List'!$S116),"",OFFSET('[1]Smelter Reference List'!$C$4,'[1]Smelter List'!$S116-4,0)&amp;"")</f>
        <v>#VALUE!</v>
      </c>
      <c r="E394" s="396" t="e">
        <f ca="1">IF(ISERROR('[1]Smelter List'!$S116),"",OFFSET('[1]Smelter Reference List'!$D$4,'[1]Smelter List'!$S116-4,0)&amp;"")</f>
        <v>#VALUE!</v>
      </c>
      <c r="F394" s="396" t="e">
        <f ca="1">IF(ISERROR('[1]Smelter List'!$S116),"",OFFSET('[1]Smelter Reference List'!$E$4,'[1]Smelter List'!$S116-4,0))</f>
        <v>#VALUE!</v>
      </c>
      <c r="G394" s="396" t="e">
        <f ca="1">IF(C394='[1]Smelter List'!$U$4,"Enter smelter details", IF(ISERROR('[1]Smelter List'!$S116),"",OFFSET('[1]Smelter Reference List'!$F$4,'[1]Smelter List'!$S116-4,0)))</f>
        <v>#VALUE!</v>
      </c>
      <c r="H394" s="398" t="e">
        <f ca="1">IF(ISERROR('[1]Smelter List'!$S116),"",OFFSET('[1]Smelter Reference List'!$G$4,'[1]Smelter List'!$S116-4,0))</f>
        <v>#VALUE!</v>
      </c>
      <c r="I394" s="399" t="e">
        <f ca="1">IF(ISERROR('[1]Smelter List'!$S116),"",OFFSET('[1]Smelter Reference List'!$H$4,'[1]Smelter List'!$S116-4,0))</f>
        <v>#VALUE!</v>
      </c>
      <c r="J394" s="399" t="e">
        <f ca="1">IF(ISERROR('[1]Smelter List'!$S116),"",OFFSET('[1]Smelter Reference List'!$I$4,'[1]Smelter List'!$S116-4,0))</f>
        <v>#VALUE!</v>
      </c>
      <c r="K394" s="402"/>
      <c r="L394" s="402"/>
      <c r="M394" s="402"/>
      <c r="N394" s="402"/>
      <c r="O394" s="402"/>
      <c r="P394" s="402"/>
      <c r="Q394" s="403"/>
      <c r="R394" s="233"/>
      <c r="S394" s="234" t="e">
        <f>IF(#REF!="",NA(),MATCH(#REF!&amp;#REF!,'Smelter Reference List'!$J:$J,0))</f>
        <v>#REF!</v>
      </c>
      <c r="T394" s="235"/>
      <c r="U394" s="235" t="e">
        <f>IF(AND(#REF!="Smelter not listed",OR(LEN(#REF!)=0,LEN(#REF!)=0)),1,0)</f>
        <v>#REF!</v>
      </c>
      <c r="V394" s="235"/>
      <c r="W394" s="235"/>
      <c r="Y394" s="228" t="e">
        <f>#REF!&amp;#REF!</f>
        <v>#REF!</v>
      </c>
    </row>
    <row r="395" spans="1:25" s="228" customFormat="1" ht="20.25">
      <c r="A395" s="257" t="s">
        <v>2701</v>
      </c>
      <c r="B395" s="396" t="str">
        <f>IF(LEN(A395)=0,"",INDEX('[1]Smelter Reference List'!$A$1:$A$65536,MATCH($A395,'[1]Smelter Reference List'!$E$1:$E$65536,0)))</f>
        <v>Tantalum</v>
      </c>
      <c r="C395" s="397" t="str">
        <f>IF(LEN(A395)=0,"",INDEX('[1]Smelter Reference List'!$C$1:$C$65536,MATCH($A395,'[1]Smelter Reference List'!$E$1:$E$65536,0)))</f>
        <v>Jiujiang Zhongao Tantalum &amp; Niobium Co., Ltd.</v>
      </c>
      <c r="D395" s="396" t="e">
        <f ca="1">IF(ISERROR('[1]Smelter List'!$S117),"",OFFSET('[1]Smelter Reference List'!$C$4,'[1]Smelter List'!$S117-4,0)&amp;"")</f>
        <v>#VALUE!</v>
      </c>
      <c r="E395" s="396" t="e">
        <f ca="1">IF(ISERROR('[1]Smelter List'!$S117),"",OFFSET('[1]Smelter Reference List'!$D$4,'[1]Smelter List'!$S117-4,0)&amp;"")</f>
        <v>#VALUE!</v>
      </c>
      <c r="F395" s="396" t="e">
        <f ca="1">IF(ISERROR('[1]Smelter List'!$S117),"",OFFSET('[1]Smelter Reference List'!$E$4,'[1]Smelter List'!$S117-4,0))</f>
        <v>#VALUE!</v>
      </c>
      <c r="G395" s="396" t="e">
        <f ca="1">IF(C395='[1]Smelter List'!$U$4,"Enter smelter details", IF(ISERROR('[1]Smelter List'!$S117),"",OFFSET('[1]Smelter Reference List'!$F$4,'[1]Smelter List'!$S117-4,0)))</f>
        <v>#VALUE!</v>
      </c>
      <c r="H395" s="398" t="e">
        <f ca="1">IF(ISERROR('[1]Smelter List'!$S117),"",OFFSET('[1]Smelter Reference List'!$G$4,'[1]Smelter List'!$S117-4,0))</f>
        <v>#VALUE!</v>
      </c>
      <c r="I395" s="399" t="e">
        <f ca="1">IF(ISERROR('[1]Smelter List'!$S117),"",OFFSET('[1]Smelter Reference List'!$H$4,'[1]Smelter List'!$S117-4,0))</f>
        <v>#VALUE!</v>
      </c>
      <c r="J395" s="399" t="e">
        <f ca="1">IF(ISERROR('[1]Smelter List'!$S117),"",OFFSET('[1]Smelter Reference List'!$I$4,'[1]Smelter List'!$S117-4,0))</f>
        <v>#VALUE!</v>
      </c>
      <c r="K395" s="402"/>
      <c r="L395" s="402"/>
      <c r="M395" s="402"/>
      <c r="N395" s="402"/>
      <c r="O395" s="402"/>
      <c r="P395" s="402"/>
      <c r="Q395" s="403"/>
      <c r="R395" s="233"/>
      <c r="S395" s="234" t="e">
        <f>IF(#REF!="",NA(),MATCH(#REF!&amp;#REF!,'Smelter Reference List'!$J:$J,0))</f>
        <v>#REF!</v>
      </c>
      <c r="T395" s="235"/>
      <c r="U395" s="235" t="e">
        <f>IF(AND(#REF!="Smelter not listed",OR(LEN(#REF!)=0,LEN(#REF!)=0)),1,0)</f>
        <v>#REF!</v>
      </c>
      <c r="V395" s="235"/>
      <c r="W395" s="235"/>
      <c r="Y395" s="228" t="e">
        <f>#REF!&amp;#REF!</f>
        <v>#REF!</v>
      </c>
    </row>
    <row r="396" spans="1:25" s="228" customFormat="1" ht="20.25">
      <c r="A396" s="257" t="s">
        <v>2703</v>
      </c>
      <c r="B396" s="396" t="str">
        <f>IF(LEN(A396)=0,"",INDEX('[1]Smelter Reference List'!$A$1:$A$65536,MATCH($A396,'[1]Smelter Reference List'!$E$1:$E$65536,0)))</f>
        <v>Tantalum</v>
      </c>
      <c r="C396" s="397" t="str">
        <f>IF(LEN(A396)=0,"",INDEX('[1]Smelter Reference List'!$C$1:$C$65536,MATCH($A396,'[1]Smelter Reference List'!$E$1:$E$65536,0)))</f>
        <v>XinXing HaoRong Electronic Material Co., Ltd.</v>
      </c>
      <c r="D396" s="396" t="e">
        <f ca="1">IF(ISERROR('[1]Smelter List'!$S118),"",OFFSET('[1]Smelter Reference List'!$C$4,'[1]Smelter List'!$S118-4,0)&amp;"")</f>
        <v>#VALUE!</v>
      </c>
      <c r="E396" s="396" t="e">
        <f ca="1">IF(ISERROR('[1]Smelter List'!$S118),"",OFFSET('[1]Smelter Reference List'!$D$4,'[1]Smelter List'!$S118-4,0)&amp;"")</f>
        <v>#VALUE!</v>
      </c>
      <c r="F396" s="396" t="e">
        <f ca="1">IF(ISERROR('[1]Smelter List'!$S118),"",OFFSET('[1]Smelter Reference List'!$E$4,'[1]Smelter List'!$S118-4,0))</f>
        <v>#VALUE!</v>
      </c>
      <c r="G396" s="396" t="e">
        <f ca="1">IF(C396='[1]Smelter List'!$U$4,"Enter smelter details", IF(ISERROR('[1]Smelter List'!$S118),"",OFFSET('[1]Smelter Reference List'!$F$4,'[1]Smelter List'!$S118-4,0)))</f>
        <v>#VALUE!</v>
      </c>
      <c r="H396" s="398" t="e">
        <f ca="1">IF(ISERROR('[1]Smelter List'!$S118),"",OFFSET('[1]Smelter Reference List'!$G$4,'[1]Smelter List'!$S118-4,0))</f>
        <v>#VALUE!</v>
      </c>
      <c r="I396" s="399" t="e">
        <f ca="1">IF(ISERROR('[1]Smelter List'!$S118),"",OFFSET('[1]Smelter Reference List'!$H$4,'[1]Smelter List'!$S118-4,0))</f>
        <v>#VALUE!</v>
      </c>
      <c r="J396" s="399" t="e">
        <f ca="1">IF(ISERROR('[1]Smelter List'!$S118),"",OFFSET('[1]Smelter Reference List'!$I$4,'[1]Smelter List'!$S118-4,0))</f>
        <v>#VALUE!</v>
      </c>
      <c r="K396" s="402"/>
      <c r="L396" s="402"/>
      <c r="M396" s="402"/>
      <c r="N396" s="402"/>
      <c r="O396" s="402"/>
      <c r="P396" s="402"/>
      <c r="Q396" s="403"/>
      <c r="R396" s="233"/>
      <c r="S396" s="234" t="e">
        <f>IF(#REF!="",NA(),MATCH(#REF!&amp;#REF!,'Smelter Reference List'!$J:$J,0))</f>
        <v>#REF!</v>
      </c>
      <c r="T396" s="235"/>
      <c r="U396" s="235" t="e">
        <f>IF(AND(#REF!="Smelter not listed",OR(LEN(#REF!)=0,LEN(#REF!)=0)),1,0)</f>
        <v>#REF!</v>
      </c>
      <c r="V396" s="235"/>
      <c r="W396" s="235"/>
      <c r="Y396" s="228" t="e">
        <f>#REF!&amp;#REF!</f>
        <v>#REF!</v>
      </c>
    </row>
    <row r="397" spans="1:25" s="228" customFormat="1" ht="20.25">
      <c r="A397" s="257" t="s">
        <v>2700</v>
      </c>
      <c r="B397" s="396" t="str">
        <f>IF(LEN(A397)=0,"",INDEX('[1]Smelter Reference List'!$A$1:$A$65536,MATCH($A397,'[1]Smelter Reference List'!$E$1:$E$65536,0)))</f>
        <v>Tantalum</v>
      </c>
      <c r="C397" s="397" t="str">
        <f>IF(LEN(A397)=0,"",INDEX('[1]Smelter Reference List'!$C$1:$C$65536,MATCH($A397,'[1]Smelter Reference List'!$E$1:$E$65536,0)))</f>
        <v>Jiangxi Dinghai Tantalum &amp; Niobium Co., Ltd.</v>
      </c>
      <c r="D397" s="396" t="e">
        <f ca="1">IF(ISERROR('[1]Smelter List'!$S119),"",OFFSET('[1]Smelter Reference List'!$C$4,'[1]Smelter List'!$S119-4,0)&amp;"")</f>
        <v>#VALUE!</v>
      </c>
      <c r="E397" s="396" t="e">
        <f ca="1">IF(ISERROR('[1]Smelter List'!$S119),"",OFFSET('[1]Smelter Reference List'!$D$4,'[1]Smelter List'!$S119-4,0)&amp;"")</f>
        <v>#VALUE!</v>
      </c>
      <c r="F397" s="396" t="e">
        <f ca="1">IF(ISERROR('[1]Smelter List'!$S119),"",OFFSET('[1]Smelter Reference List'!$E$4,'[1]Smelter List'!$S119-4,0))</f>
        <v>#VALUE!</v>
      </c>
      <c r="G397" s="396" t="e">
        <f ca="1">IF(C397='[1]Smelter List'!$U$4,"Enter smelter details", IF(ISERROR('[1]Smelter List'!$S119),"",OFFSET('[1]Smelter Reference List'!$F$4,'[1]Smelter List'!$S119-4,0)))</f>
        <v>#VALUE!</v>
      </c>
      <c r="H397" s="398" t="e">
        <f ca="1">IF(ISERROR('[1]Smelter List'!$S119),"",OFFSET('[1]Smelter Reference List'!$G$4,'[1]Smelter List'!$S119-4,0))</f>
        <v>#VALUE!</v>
      </c>
      <c r="I397" s="399" t="e">
        <f ca="1">IF(ISERROR('[1]Smelter List'!$S119),"",OFFSET('[1]Smelter Reference List'!$H$4,'[1]Smelter List'!$S119-4,0))</f>
        <v>#VALUE!</v>
      </c>
      <c r="J397" s="399" t="e">
        <f ca="1">IF(ISERROR('[1]Smelter List'!$S119),"",OFFSET('[1]Smelter Reference List'!$I$4,'[1]Smelter List'!$S119-4,0))</f>
        <v>#VALUE!</v>
      </c>
      <c r="K397" s="402"/>
      <c r="L397" s="402"/>
      <c r="M397" s="402"/>
      <c r="N397" s="402"/>
      <c r="O397" s="402"/>
      <c r="P397" s="402"/>
      <c r="Q397" s="403"/>
      <c r="R397" s="233"/>
      <c r="S397" s="234" t="e">
        <f>IF(#REF!="",NA(),MATCH(#REF!&amp;#REF!,'Smelter Reference List'!$J:$J,0))</f>
        <v>#REF!</v>
      </c>
      <c r="T397" s="235"/>
      <c r="U397" s="235" t="e">
        <f>IF(AND(#REF!="Smelter not listed",OR(LEN(#REF!)=0,LEN(#REF!)=0)),1,0)</f>
        <v>#REF!</v>
      </c>
      <c r="V397" s="235"/>
      <c r="W397" s="235"/>
      <c r="Y397" s="228" t="e">
        <f>#REF!&amp;#REF!</f>
        <v>#REF!</v>
      </c>
    </row>
    <row r="398" spans="1:25" s="228" customFormat="1" ht="20.25">
      <c r="A398" s="257" t="s">
        <v>2752</v>
      </c>
      <c r="B398" s="396" t="str">
        <f>IF(LEN(A398)=0,"",INDEX('[1]Smelter Reference List'!$A$1:$A$65536,MATCH($A398,'[1]Smelter Reference List'!$E$1:$E$65536,0)))</f>
        <v>Tantalum</v>
      </c>
      <c r="C398" s="397" t="str">
        <f>IF(LEN(A398)=0,"",INDEX('[1]Smelter Reference List'!$C$1:$C$65536,MATCH($A398,'[1]Smelter Reference List'!$E$1:$E$65536,0)))</f>
        <v>KEMET Blue Metals</v>
      </c>
      <c r="D398" s="396" t="e">
        <f ca="1">IF(ISERROR('[1]Smelter List'!$S120),"",OFFSET('[1]Smelter Reference List'!$C$4,'[1]Smelter List'!$S120-4,0)&amp;"")</f>
        <v>#VALUE!</v>
      </c>
      <c r="E398" s="396" t="e">
        <f ca="1">IF(ISERROR('[1]Smelter List'!$S120),"",OFFSET('[1]Smelter Reference List'!$D$4,'[1]Smelter List'!$S120-4,0)&amp;"")</f>
        <v>#VALUE!</v>
      </c>
      <c r="F398" s="396" t="e">
        <f ca="1">IF(ISERROR('[1]Smelter List'!$S120),"",OFFSET('[1]Smelter Reference List'!$E$4,'[1]Smelter List'!$S120-4,0))</f>
        <v>#VALUE!</v>
      </c>
      <c r="G398" s="396" t="e">
        <f ca="1">IF(C398='[1]Smelter List'!$U$4,"Enter smelter details", IF(ISERROR('[1]Smelter List'!$S120),"",OFFSET('[1]Smelter Reference List'!$F$4,'[1]Smelter List'!$S120-4,0)))</f>
        <v>#VALUE!</v>
      </c>
      <c r="H398" s="398" t="e">
        <f ca="1">IF(ISERROR('[1]Smelter List'!$S120),"",OFFSET('[1]Smelter Reference List'!$G$4,'[1]Smelter List'!$S120-4,0))</f>
        <v>#VALUE!</v>
      </c>
      <c r="I398" s="399" t="e">
        <f ca="1">IF(ISERROR('[1]Smelter List'!$S120),"",OFFSET('[1]Smelter Reference List'!$H$4,'[1]Smelter List'!$S120-4,0))</f>
        <v>#VALUE!</v>
      </c>
      <c r="J398" s="399" t="e">
        <f ca="1">IF(ISERROR('[1]Smelter List'!$S120),"",OFFSET('[1]Smelter Reference List'!$I$4,'[1]Smelter List'!$S120-4,0))</f>
        <v>#VALUE!</v>
      </c>
      <c r="K398" s="402"/>
      <c r="L398" s="402"/>
      <c r="M398" s="402"/>
      <c r="N398" s="402"/>
      <c r="O398" s="402"/>
      <c r="P398" s="402"/>
      <c r="Q398" s="403"/>
      <c r="R398" s="233"/>
      <c r="S398" s="234" t="e">
        <f>IF(#REF!="",NA(),MATCH(#REF!&amp;#REF!,'Smelter Reference List'!$J:$J,0))</f>
        <v>#REF!</v>
      </c>
      <c r="T398" s="235"/>
      <c r="U398" s="235" t="e">
        <f>IF(AND(#REF!="Smelter not listed",OR(LEN(#REF!)=0,LEN(#REF!)=0)),1,0)</f>
        <v>#REF!</v>
      </c>
      <c r="V398" s="235"/>
      <c r="W398" s="235"/>
      <c r="Y398" s="228" t="e">
        <f>#REF!&amp;#REF!</f>
        <v>#REF!</v>
      </c>
    </row>
    <row r="399" spans="1:25" s="228" customFormat="1" ht="20.25">
      <c r="A399" s="257" t="s">
        <v>2754</v>
      </c>
      <c r="B399" s="396" t="str">
        <f>IF(LEN(A399)=0,"",INDEX('[1]Smelter Reference List'!$A$1:$A$65536,MATCH($A399,'[1]Smelter Reference List'!$E$1:$E$65536,0)))</f>
        <v>Tantalum</v>
      </c>
      <c r="C399" s="397" t="str">
        <f>IF(LEN(A399)=0,"",INDEX('[1]Smelter Reference List'!$C$1:$C$65536,MATCH($A399,'[1]Smelter Reference List'!$E$1:$E$65536,0)))</f>
        <v>Plansee SE Liezen</v>
      </c>
      <c r="D399" s="396" t="e">
        <f ca="1">IF(ISERROR('[1]Smelter List'!$S121),"",OFFSET('[1]Smelter Reference List'!$C$4,'[1]Smelter List'!$S121-4,0)&amp;"")</f>
        <v>#VALUE!</v>
      </c>
      <c r="E399" s="396" t="e">
        <f ca="1">IF(ISERROR('[1]Smelter List'!$S121),"",OFFSET('[1]Smelter Reference List'!$D$4,'[1]Smelter List'!$S121-4,0)&amp;"")</f>
        <v>#VALUE!</v>
      </c>
      <c r="F399" s="396" t="e">
        <f ca="1">IF(ISERROR('[1]Smelter List'!$S121),"",OFFSET('[1]Smelter Reference List'!$E$4,'[1]Smelter List'!$S121-4,0))</f>
        <v>#VALUE!</v>
      </c>
      <c r="G399" s="396" t="e">
        <f ca="1">IF(C399='[1]Smelter List'!$U$4,"Enter smelter details", IF(ISERROR('[1]Smelter List'!$S121),"",OFFSET('[1]Smelter Reference List'!$F$4,'[1]Smelter List'!$S121-4,0)))</f>
        <v>#VALUE!</v>
      </c>
      <c r="H399" s="398" t="e">
        <f ca="1">IF(ISERROR('[1]Smelter List'!$S121),"",OFFSET('[1]Smelter Reference List'!$G$4,'[1]Smelter List'!$S121-4,0))</f>
        <v>#VALUE!</v>
      </c>
      <c r="I399" s="399" t="e">
        <f ca="1">IF(ISERROR('[1]Smelter List'!$S121),"",OFFSET('[1]Smelter Reference List'!$H$4,'[1]Smelter List'!$S121-4,0))</f>
        <v>#VALUE!</v>
      </c>
      <c r="J399" s="399" t="e">
        <f ca="1">IF(ISERROR('[1]Smelter List'!$S121),"",OFFSET('[1]Smelter Reference List'!$I$4,'[1]Smelter List'!$S121-4,0))</f>
        <v>#VALUE!</v>
      </c>
      <c r="K399" s="402"/>
      <c r="L399" s="402"/>
      <c r="M399" s="402"/>
      <c r="N399" s="402"/>
      <c r="O399" s="402"/>
      <c r="P399" s="402"/>
      <c r="Q399" s="403"/>
      <c r="R399" s="233"/>
      <c r="S399" s="234" t="e">
        <f>IF(#REF!="",NA(),MATCH(#REF!&amp;#REF!,'Smelter Reference List'!$J:$J,0))</f>
        <v>#REF!</v>
      </c>
      <c r="T399" s="235"/>
      <c r="U399" s="235" t="e">
        <f>IF(AND(#REF!="Smelter not listed",OR(LEN(#REF!)=0,LEN(#REF!)=0)),1,0)</f>
        <v>#REF!</v>
      </c>
      <c r="V399" s="235"/>
      <c r="W399" s="235"/>
      <c r="Y399" s="228" t="e">
        <f>#REF!&amp;#REF!</f>
        <v>#REF!</v>
      </c>
    </row>
    <row r="400" spans="1:25" s="228" customFormat="1" ht="20.25">
      <c r="A400" s="257" t="s">
        <v>2738</v>
      </c>
      <c r="B400" s="396" t="str">
        <f>IF(LEN(A400)=0,"",INDEX('[1]Smelter Reference List'!$A$1:$A$65536,MATCH($A400,'[1]Smelter Reference List'!$E$1:$E$65536,0)))</f>
        <v>Tantalum</v>
      </c>
      <c r="C400" s="397" t="str">
        <f>IF(LEN(A400)=0,"",INDEX('[1]Smelter Reference List'!$C$1:$C$65536,MATCH($A400,'[1]Smelter Reference List'!$E$1:$E$65536,0)))</f>
        <v>H.C. Starck Co., Ltd.</v>
      </c>
      <c r="D400" s="396" t="e">
        <f ca="1">IF(ISERROR('[1]Smelter List'!$S122),"",OFFSET('[1]Smelter Reference List'!$C$4,'[1]Smelter List'!$S122-4,0)&amp;"")</f>
        <v>#VALUE!</v>
      </c>
      <c r="E400" s="396" t="e">
        <f ca="1">IF(ISERROR('[1]Smelter List'!$S122),"",OFFSET('[1]Smelter Reference List'!$D$4,'[1]Smelter List'!$S122-4,0)&amp;"")</f>
        <v>#VALUE!</v>
      </c>
      <c r="F400" s="396" t="e">
        <f ca="1">IF(ISERROR('[1]Smelter List'!$S122),"",OFFSET('[1]Smelter Reference List'!$E$4,'[1]Smelter List'!$S122-4,0))</f>
        <v>#VALUE!</v>
      </c>
      <c r="G400" s="396" t="e">
        <f ca="1">IF(C400='[1]Smelter List'!$U$4,"Enter smelter details", IF(ISERROR('[1]Smelter List'!$S122),"",OFFSET('[1]Smelter Reference List'!$F$4,'[1]Smelter List'!$S122-4,0)))</f>
        <v>#VALUE!</v>
      </c>
      <c r="H400" s="398" t="e">
        <f ca="1">IF(ISERROR('[1]Smelter List'!$S122),"",OFFSET('[1]Smelter Reference List'!$G$4,'[1]Smelter List'!$S122-4,0))</f>
        <v>#VALUE!</v>
      </c>
      <c r="I400" s="399" t="e">
        <f ca="1">IF(ISERROR('[1]Smelter List'!$S122),"",OFFSET('[1]Smelter Reference List'!$H$4,'[1]Smelter List'!$S122-4,0))</f>
        <v>#VALUE!</v>
      </c>
      <c r="J400" s="399" t="e">
        <f ca="1">IF(ISERROR('[1]Smelter List'!$S122),"",OFFSET('[1]Smelter Reference List'!$I$4,'[1]Smelter List'!$S122-4,0))</f>
        <v>#VALUE!</v>
      </c>
      <c r="K400" s="402"/>
      <c r="L400" s="402"/>
      <c r="M400" s="402"/>
      <c r="N400" s="402"/>
      <c r="O400" s="402"/>
      <c r="P400" s="402"/>
      <c r="Q400" s="403"/>
      <c r="R400" s="233"/>
      <c r="S400" s="234" t="e">
        <f>IF(#REF!="",NA(),MATCH(#REF!&amp;#REF!,'Smelter Reference List'!$J:$J,0))</f>
        <v>#REF!</v>
      </c>
      <c r="T400" s="235"/>
      <c r="U400" s="235" t="e">
        <f>IF(AND(#REF!="Smelter not listed",OR(LEN(#REF!)=0,LEN(#REF!)=0)),1,0)</f>
        <v>#REF!</v>
      </c>
      <c r="V400" s="235"/>
      <c r="W400" s="235"/>
      <c r="Y400" s="228" t="e">
        <f>#REF!&amp;#REF!</f>
        <v>#REF!</v>
      </c>
    </row>
    <row r="401" spans="1:25" s="228" customFormat="1" ht="20.25">
      <c r="A401" s="257" t="s">
        <v>2740</v>
      </c>
      <c r="B401" s="396" t="str">
        <f>IF(LEN(A401)=0,"",INDEX('[1]Smelter Reference List'!$A$1:$A$65536,MATCH($A401,'[1]Smelter Reference List'!$E$1:$E$65536,0)))</f>
        <v>Tantalum</v>
      </c>
      <c r="C401" s="397" t="str">
        <f>IF(LEN(A401)=0,"",INDEX('[1]Smelter Reference List'!$C$1:$C$65536,MATCH($A401,'[1]Smelter Reference List'!$E$1:$E$65536,0)))</f>
        <v>H.C. Starck GmbH Goslar</v>
      </c>
      <c r="D401" s="396" t="e">
        <f ca="1">IF(ISERROR('[1]Smelter List'!$S123),"",OFFSET('[1]Smelter Reference List'!$C$4,'[1]Smelter List'!$S123-4,0)&amp;"")</f>
        <v>#VALUE!</v>
      </c>
      <c r="E401" s="396" t="e">
        <f ca="1">IF(ISERROR('[1]Smelter List'!$S123),"",OFFSET('[1]Smelter Reference List'!$D$4,'[1]Smelter List'!$S123-4,0)&amp;"")</f>
        <v>#VALUE!</v>
      </c>
      <c r="F401" s="396" t="e">
        <f ca="1">IF(ISERROR('[1]Smelter List'!$S123),"",OFFSET('[1]Smelter Reference List'!$E$4,'[1]Smelter List'!$S123-4,0))</f>
        <v>#VALUE!</v>
      </c>
      <c r="G401" s="396" t="e">
        <f ca="1">IF(C401='[1]Smelter List'!$U$4,"Enter smelter details", IF(ISERROR('[1]Smelter List'!$S123),"",OFFSET('[1]Smelter Reference List'!$F$4,'[1]Smelter List'!$S123-4,0)))</f>
        <v>#VALUE!</v>
      </c>
      <c r="H401" s="398" t="e">
        <f ca="1">IF(ISERROR('[1]Smelter List'!$S123),"",OFFSET('[1]Smelter Reference List'!$G$4,'[1]Smelter List'!$S123-4,0))</f>
        <v>#VALUE!</v>
      </c>
      <c r="I401" s="399" t="e">
        <f ca="1">IF(ISERROR('[1]Smelter List'!$S123),"",OFFSET('[1]Smelter Reference List'!$H$4,'[1]Smelter List'!$S123-4,0))</f>
        <v>#VALUE!</v>
      </c>
      <c r="J401" s="399" t="e">
        <f ca="1">IF(ISERROR('[1]Smelter List'!$S123),"",OFFSET('[1]Smelter Reference List'!$I$4,'[1]Smelter List'!$S123-4,0))</f>
        <v>#VALUE!</v>
      </c>
      <c r="K401" s="402"/>
      <c r="L401" s="402"/>
      <c r="M401" s="402"/>
      <c r="N401" s="402"/>
      <c r="O401" s="402"/>
      <c r="P401" s="402"/>
      <c r="Q401" s="403"/>
      <c r="R401" s="233"/>
      <c r="S401" s="234" t="e">
        <f>IF(#REF!="",NA(),MATCH(#REF!&amp;#REF!,'Smelter Reference List'!$J:$J,0))</f>
        <v>#REF!</v>
      </c>
      <c r="T401" s="235"/>
      <c r="U401" s="235" t="e">
        <f>IF(AND(#REF!="Smelter not listed",OR(LEN(#REF!)=0,LEN(#REF!)=0)),1,0)</f>
        <v>#REF!</v>
      </c>
      <c r="V401" s="235"/>
      <c r="W401" s="235"/>
      <c r="Y401" s="228" t="e">
        <f>#REF!&amp;#REF!</f>
        <v>#REF!</v>
      </c>
    </row>
    <row r="402" spans="1:25" s="228" customFormat="1" ht="20.25">
      <c r="A402" s="257" t="s">
        <v>2744</v>
      </c>
      <c r="B402" s="396" t="str">
        <f>IF(LEN(A402)=0,"",INDEX('[1]Smelter Reference List'!$A$1:$A$65536,MATCH($A402,'[1]Smelter Reference List'!$E$1:$E$65536,0)))</f>
        <v>Tantalum</v>
      </c>
      <c r="C402" s="397" t="str">
        <f>IF(LEN(A402)=0,"",INDEX('[1]Smelter Reference List'!$C$1:$C$65536,MATCH($A402,'[1]Smelter Reference List'!$E$1:$E$65536,0)))</f>
        <v>H.C. Starck Hermsdorf GmbH</v>
      </c>
      <c r="D402" s="396" t="e">
        <f ca="1">IF(ISERROR('[1]Smelter List'!$S124),"",OFFSET('[1]Smelter Reference List'!$C$4,'[1]Smelter List'!$S124-4,0)&amp;"")</f>
        <v>#VALUE!</v>
      </c>
      <c r="E402" s="396" t="e">
        <f ca="1">IF(ISERROR('[1]Smelter List'!$S124),"",OFFSET('[1]Smelter Reference List'!$D$4,'[1]Smelter List'!$S124-4,0)&amp;"")</f>
        <v>#VALUE!</v>
      </c>
      <c r="F402" s="396" t="e">
        <f ca="1">IF(ISERROR('[1]Smelter List'!$S124),"",OFFSET('[1]Smelter Reference List'!$E$4,'[1]Smelter List'!$S124-4,0))</f>
        <v>#VALUE!</v>
      </c>
      <c r="G402" s="396" t="e">
        <f ca="1">IF(C402='[1]Smelter List'!$U$4,"Enter smelter details", IF(ISERROR('[1]Smelter List'!$S124),"",OFFSET('[1]Smelter Reference List'!$F$4,'[1]Smelter List'!$S124-4,0)))</f>
        <v>#VALUE!</v>
      </c>
      <c r="H402" s="398" t="e">
        <f ca="1">IF(ISERROR('[1]Smelter List'!$S124),"",OFFSET('[1]Smelter Reference List'!$G$4,'[1]Smelter List'!$S124-4,0))</f>
        <v>#VALUE!</v>
      </c>
      <c r="I402" s="399" t="e">
        <f ca="1">IF(ISERROR('[1]Smelter List'!$S124),"",OFFSET('[1]Smelter Reference List'!$H$4,'[1]Smelter List'!$S124-4,0))</f>
        <v>#VALUE!</v>
      </c>
      <c r="J402" s="399" t="e">
        <f ca="1">IF(ISERROR('[1]Smelter List'!$S124),"",OFFSET('[1]Smelter Reference List'!$I$4,'[1]Smelter List'!$S124-4,0))</f>
        <v>#VALUE!</v>
      </c>
      <c r="K402" s="402"/>
      <c r="L402" s="402"/>
      <c r="M402" s="402"/>
      <c r="N402" s="402"/>
      <c r="O402" s="402"/>
      <c r="P402" s="402"/>
      <c r="Q402" s="403"/>
      <c r="R402" s="233"/>
      <c r="S402" s="234" t="e">
        <f>IF(#REF!="",NA(),MATCH(#REF!&amp;#REF!,'Smelter Reference List'!$J:$J,0))</f>
        <v>#REF!</v>
      </c>
      <c r="T402" s="235"/>
      <c r="U402" s="235" t="e">
        <f>IF(AND(#REF!="Smelter not listed",OR(LEN(#REF!)=0,LEN(#REF!)=0)),1,0)</f>
        <v>#REF!</v>
      </c>
      <c r="V402" s="235"/>
      <c r="W402" s="235"/>
      <c r="Y402" s="228" t="e">
        <f>#REF!&amp;#REF!</f>
        <v>#REF!</v>
      </c>
    </row>
    <row r="403" spans="1:25" s="228" customFormat="1" ht="20.25">
      <c r="A403" s="257" t="s">
        <v>2746</v>
      </c>
      <c r="B403" s="396" t="str">
        <f>IF(LEN(A403)=0,"",INDEX('[1]Smelter Reference List'!$A$1:$A$65536,MATCH($A403,'[1]Smelter Reference List'!$E$1:$E$65536,0)))</f>
        <v>Tantalum</v>
      </c>
      <c r="C403" s="397" t="str">
        <f>IF(LEN(A403)=0,"",INDEX('[1]Smelter Reference List'!$C$1:$C$65536,MATCH($A403,'[1]Smelter Reference List'!$E$1:$E$65536,0)))</f>
        <v>H.C. Starck Inc.</v>
      </c>
      <c r="D403" s="396" t="e">
        <f ca="1">IF(ISERROR('[1]Smelter List'!$S125),"",OFFSET('[1]Smelter Reference List'!$C$4,'[1]Smelter List'!$S125-4,0)&amp;"")</f>
        <v>#VALUE!</v>
      </c>
      <c r="E403" s="396" t="e">
        <f ca="1">IF(ISERROR('[1]Smelter List'!$S125),"",OFFSET('[1]Smelter Reference List'!$D$4,'[1]Smelter List'!$S125-4,0)&amp;"")</f>
        <v>#VALUE!</v>
      </c>
      <c r="F403" s="396" t="e">
        <f ca="1">IF(ISERROR('[1]Smelter List'!$S125),"",OFFSET('[1]Smelter Reference List'!$E$4,'[1]Smelter List'!$S125-4,0))</f>
        <v>#VALUE!</v>
      </c>
      <c r="G403" s="396" t="e">
        <f ca="1">IF(C403='[1]Smelter List'!$U$4,"Enter smelter details", IF(ISERROR('[1]Smelter List'!$S125),"",OFFSET('[1]Smelter Reference List'!$F$4,'[1]Smelter List'!$S125-4,0)))</f>
        <v>#VALUE!</v>
      </c>
      <c r="H403" s="398" t="e">
        <f ca="1">IF(ISERROR('[1]Smelter List'!$S125),"",OFFSET('[1]Smelter Reference List'!$G$4,'[1]Smelter List'!$S125-4,0))</f>
        <v>#VALUE!</v>
      </c>
      <c r="I403" s="399" t="e">
        <f ca="1">IF(ISERROR('[1]Smelter List'!$S125),"",OFFSET('[1]Smelter Reference List'!$H$4,'[1]Smelter List'!$S125-4,0))</f>
        <v>#VALUE!</v>
      </c>
      <c r="J403" s="399" t="e">
        <f ca="1">IF(ISERROR('[1]Smelter List'!$S125),"",OFFSET('[1]Smelter Reference List'!$I$4,'[1]Smelter List'!$S125-4,0))</f>
        <v>#VALUE!</v>
      </c>
      <c r="K403" s="402"/>
      <c r="L403" s="402"/>
      <c r="M403" s="402"/>
      <c r="N403" s="402"/>
      <c r="O403" s="402"/>
      <c r="P403" s="402"/>
      <c r="Q403" s="403"/>
      <c r="R403" s="233"/>
      <c r="S403" s="234" t="e">
        <f>IF(#REF!="",NA(),MATCH(#REF!&amp;#REF!,'Smelter Reference List'!$J:$J,0))</f>
        <v>#REF!</v>
      </c>
      <c r="T403" s="235"/>
      <c r="U403" s="235" t="e">
        <f>IF(AND(#REF!="Smelter not listed",OR(LEN(#REF!)=0,LEN(#REF!)=0)),1,0)</f>
        <v>#REF!</v>
      </c>
      <c r="V403" s="235"/>
      <c r="W403" s="235"/>
      <c r="Y403" s="228" t="e">
        <f>#REF!&amp;#REF!</f>
        <v>#REF!</v>
      </c>
    </row>
    <row r="404" spans="1:25" s="228" customFormat="1" ht="20.25">
      <c r="A404" s="257" t="s">
        <v>2748</v>
      </c>
      <c r="B404" s="396" t="str">
        <f>IF(LEN(A404)=0,"",INDEX('[1]Smelter Reference List'!$A$1:$A$65536,MATCH($A404,'[1]Smelter Reference List'!$E$1:$E$65536,0)))</f>
        <v>Tantalum</v>
      </c>
      <c r="C404" s="397" t="str">
        <f>IF(LEN(A404)=0,"",INDEX('[1]Smelter Reference List'!$C$1:$C$65536,MATCH($A404,'[1]Smelter Reference List'!$E$1:$E$65536,0)))</f>
        <v>H.C. Starck Ltd.</v>
      </c>
      <c r="D404" s="396" t="e">
        <f ca="1">IF(ISERROR('[1]Smelter List'!$S126),"",OFFSET('[1]Smelter Reference List'!$C$4,'[1]Smelter List'!$S126-4,0)&amp;"")</f>
        <v>#VALUE!</v>
      </c>
      <c r="E404" s="396" t="e">
        <f ca="1">IF(ISERROR('[1]Smelter List'!$S126),"",OFFSET('[1]Smelter Reference List'!$D$4,'[1]Smelter List'!$S126-4,0)&amp;"")</f>
        <v>#VALUE!</v>
      </c>
      <c r="F404" s="396" t="e">
        <f ca="1">IF(ISERROR('[1]Smelter List'!$S126),"",OFFSET('[1]Smelter Reference List'!$E$4,'[1]Smelter List'!$S126-4,0))</f>
        <v>#VALUE!</v>
      </c>
      <c r="G404" s="396" t="e">
        <f ca="1">IF(C404='[1]Smelter List'!$U$4,"Enter smelter details", IF(ISERROR('[1]Smelter List'!$S126),"",OFFSET('[1]Smelter Reference List'!$F$4,'[1]Smelter List'!$S126-4,0)))</f>
        <v>#VALUE!</v>
      </c>
      <c r="H404" s="398" t="e">
        <f ca="1">IF(ISERROR('[1]Smelter List'!$S126),"",OFFSET('[1]Smelter Reference List'!$G$4,'[1]Smelter List'!$S126-4,0))</f>
        <v>#VALUE!</v>
      </c>
      <c r="I404" s="399" t="e">
        <f ca="1">IF(ISERROR('[1]Smelter List'!$S126),"",OFFSET('[1]Smelter Reference List'!$H$4,'[1]Smelter List'!$S126-4,0))</f>
        <v>#VALUE!</v>
      </c>
      <c r="J404" s="399" t="e">
        <f ca="1">IF(ISERROR('[1]Smelter List'!$S126),"",OFFSET('[1]Smelter Reference List'!$I$4,'[1]Smelter List'!$S126-4,0))</f>
        <v>#VALUE!</v>
      </c>
      <c r="K404" s="402"/>
      <c r="L404" s="402"/>
      <c r="M404" s="402"/>
      <c r="N404" s="402"/>
      <c r="O404" s="402"/>
      <c r="P404" s="402"/>
      <c r="Q404" s="403"/>
      <c r="R404" s="233"/>
      <c r="S404" s="234" t="e">
        <f>IF(#REF!="",NA(),MATCH(#REF!&amp;#REF!,'Smelter Reference List'!$J:$J,0))</f>
        <v>#REF!</v>
      </c>
      <c r="T404" s="235"/>
      <c r="U404" s="235" t="e">
        <f>IF(AND(#REF!="Smelter not listed",OR(LEN(#REF!)=0,LEN(#REF!)=0)),1,0)</f>
        <v>#REF!</v>
      </c>
      <c r="V404" s="235"/>
      <c r="W404" s="235"/>
      <c r="Y404" s="228" t="e">
        <f>#REF!&amp;#REF!</f>
        <v>#REF!</v>
      </c>
    </row>
    <row r="405" spans="1:25" s="228" customFormat="1" ht="20.25">
      <c r="A405" s="257" t="s">
        <v>2750</v>
      </c>
      <c r="B405" s="396" t="str">
        <f>IF(LEN(A405)=0,"",INDEX('[1]Smelter Reference List'!$A$1:$A$65536,MATCH($A405,'[1]Smelter Reference List'!$E$1:$E$65536,0)))</f>
        <v>Tantalum</v>
      </c>
      <c r="C405" s="397" t="str">
        <f>IF(LEN(A405)=0,"",INDEX('[1]Smelter Reference List'!$C$1:$C$65536,MATCH($A405,'[1]Smelter Reference List'!$E$1:$E$65536,0)))</f>
        <v>H.C. Starck Smelting GmbH &amp; Co. KG</v>
      </c>
      <c r="D405" s="396" t="e">
        <f ca="1">IF(ISERROR('[1]Smelter List'!$S127),"",OFFSET('[1]Smelter Reference List'!$C$4,'[1]Smelter List'!$S127-4,0)&amp;"")</f>
        <v>#VALUE!</v>
      </c>
      <c r="E405" s="396" t="e">
        <f ca="1">IF(ISERROR('[1]Smelter List'!$S127),"",OFFSET('[1]Smelter Reference List'!$D$4,'[1]Smelter List'!$S127-4,0)&amp;"")</f>
        <v>#VALUE!</v>
      </c>
      <c r="F405" s="396" t="e">
        <f ca="1">IF(ISERROR('[1]Smelter List'!$S127),"",OFFSET('[1]Smelter Reference List'!$E$4,'[1]Smelter List'!$S127-4,0))</f>
        <v>#VALUE!</v>
      </c>
      <c r="G405" s="396" t="e">
        <f ca="1">IF(C405='[1]Smelter List'!$U$4,"Enter smelter details", IF(ISERROR('[1]Smelter List'!$S127),"",OFFSET('[1]Smelter Reference List'!$F$4,'[1]Smelter List'!$S127-4,0)))</f>
        <v>#VALUE!</v>
      </c>
      <c r="H405" s="398" t="e">
        <f ca="1">IF(ISERROR('[1]Smelter List'!$S127),"",OFFSET('[1]Smelter Reference List'!$G$4,'[1]Smelter List'!$S127-4,0))</f>
        <v>#VALUE!</v>
      </c>
      <c r="I405" s="399" t="e">
        <f ca="1">IF(ISERROR('[1]Smelter List'!$S127),"",OFFSET('[1]Smelter Reference List'!$H$4,'[1]Smelter List'!$S127-4,0))</f>
        <v>#VALUE!</v>
      </c>
      <c r="J405" s="399" t="e">
        <f ca="1">IF(ISERROR('[1]Smelter List'!$S127),"",OFFSET('[1]Smelter Reference List'!$I$4,'[1]Smelter List'!$S127-4,0))</f>
        <v>#VALUE!</v>
      </c>
      <c r="K405" s="402"/>
      <c r="L405" s="402"/>
      <c r="M405" s="402"/>
      <c r="N405" s="402"/>
      <c r="O405" s="402"/>
      <c r="P405" s="402"/>
      <c r="Q405" s="403"/>
      <c r="R405" s="233"/>
      <c r="S405" s="234" t="e">
        <f>IF(#REF!="",NA(),MATCH(#REF!&amp;#REF!,'Smelter Reference List'!$J:$J,0))</f>
        <v>#REF!</v>
      </c>
      <c r="T405" s="235"/>
      <c r="U405" s="235" t="e">
        <f>IF(AND(#REF!="Smelter not listed",OR(LEN(#REF!)=0,LEN(#REF!)=0)),1,0)</f>
        <v>#REF!</v>
      </c>
      <c r="V405" s="235"/>
      <c r="W405" s="235"/>
      <c r="Y405" s="228" t="e">
        <f>#REF!&amp;#REF!</f>
        <v>#REF!</v>
      </c>
    </row>
    <row r="406" spans="1:25" s="228" customFormat="1" ht="20.25">
      <c r="A406" s="257" t="s">
        <v>2756</v>
      </c>
      <c r="B406" s="396" t="str">
        <f>IF(LEN(A406)=0,"",INDEX('[1]Smelter Reference List'!$A$1:$A$65536,MATCH($A406,'[1]Smelter Reference List'!$E$1:$E$65536,0)))</f>
        <v>Tantalum</v>
      </c>
      <c r="C406" s="397" t="str">
        <f>IF(LEN(A406)=0,"",INDEX('[1]Smelter Reference List'!$C$1:$C$65536,MATCH($A406,'[1]Smelter Reference List'!$E$1:$E$65536,0)))</f>
        <v>Plansee SE Reutte</v>
      </c>
      <c r="D406" s="396" t="e">
        <f ca="1">IF(ISERROR('[1]Smelter List'!$S128),"",OFFSET('[1]Smelter Reference List'!$C$4,'[1]Smelter List'!$S128-4,0)&amp;"")</f>
        <v>#VALUE!</v>
      </c>
      <c r="E406" s="396" t="e">
        <f ca="1">IF(ISERROR('[1]Smelter List'!$S128),"",OFFSET('[1]Smelter Reference List'!$D$4,'[1]Smelter List'!$S128-4,0)&amp;"")</f>
        <v>#VALUE!</v>
      </c>
      <c r="F406" s="396" t="e">
        <f ca="1">IF(ISERROR('[1]Smelter List'!$S128),"",OFFSET('[1]Smelter Reference List'!$E$4,'[1]Smelter List'!$S128-4,0))</f>
        <v>#VALUE!</v>
      </c>
      <c r="G406" s="396" t="e">
        <f ca="1">IF(C406='[1]Smelter List'!$U$4,"Enter smelter details", IF(ISERROR('[1]Smelter List'!$S128),"",OFFSET('[1]Smelter Reference List'!$F$4,'[1]Smelter List'!$S128-4,0)))</f>
        <v>#VALUE!</v>
      </c>
      <c r="H406" s="398" t="e">
        <f ca="1">IF(ISERROR('[1]Smelter List'!$S128),"",OFFSET('[1]Smelter Reference List'!$G$4,'[1]Smelter List'!$S128-4,0))</f>
        <v>#VALUE!</v>
      </c>
      <c r="I406" s="399" t="e">
        <f ca="1">IF(ISERROR('[1]Smelter List'!$S128),"",OFFSET('[1]Smelter Reference List'!$H$4,'[1]Smelter List'!$S128-4,0))</f>
        <v>#VALUE!</v>
      </c>
      <c r="J406" s="399" t="e">
        <f ca="1">IF(ISERROR('[1]Smelter List'!$S128),"",OFFSET('[1]Smelter Reference List'!$I$4,'[1]Smelter List'!$S128-4,0))</f>
        <v>#VALUE!</v>
      </c>
      <c r="K406" s="402"/>
      <c r="L406" s="402"/>
      <c r="M406" s="402"/>
      <c r="N406" s="402"/>
      <c r="O406" s="402"/>
      <c r="P406" s="402"/>
      <c r="Q406" s="403"/>
      <c r="R406" s="233"/>
      <c r="S406" s="234" t="e">
        <f>IF(#REF!="",NA(),MATCH(#REF!&amp;#REF!,'Smelter Reference List'!$J:$J,0))</f>
        <v>#REF!</v>
      </c>
      <c r="T406" s="235"/>
      <c r="U406" s="235" t="e">
        <f>IF(AND(#REF!="Smelter not listed",OR(LEN(#REF!)=0,LEN(#REF!)=0)),1,0)</f>
        <v>#REF!</v>
      </c>
      <c r="V406" s="235"/>
      <c r="W406" s="235"/>
      <c r="Y406" s="228" t="e">
        <f>#REF!&amp;#REF!</f>
        <v>#REF!</v>
      </c>
    </row>
    <row r="407" spans="1:25" s="228" customFormat="1" ht="20.25">
      <c r="A407" s="257" t="s">
        <v>2736</v>
      </c>
      <c r="B407" s="396" t="str">
        <f>IF(LEN(A407)=0,"",INDEX('[1]Smelter Reference List'!$A$1:$A$65536,MATCH($A407,'[1]Smelter Reference List'!$E$1:$E$65536,0)))</f>
        <v>Tantalum</v>
      </c>
      <c r="C407" s="397" t="str">
        <f>IF(LEN(A407)=0,"",INDEX('[1]Smelter Reference List'!$C$1:$C$65536,MATCH($A407,'[1]Smelter Reference List'!$E$1:$E$65536,0)))</f>
        <v>Global Advanced Metals Boyertown</v>
      </c>
      <c r="D407" s="396" t="e">
        <f ca="1">IF(ISERROR('[1]Smelter List'!$S129),"",OFFSET('[1]Smelter Reference List'!$C$4,'[1]Smelter List'!$S129-4,0)&amp;"")</f>
        <v>#VALUE!</v>
      </c>
      <c r="E407" s="396" t="e">
        <f ca="1">IF(ISERROR('[1]Smelter List'!$S129),"",OFFSET('[1]Smelter Reference List'!$D$4,'[1]Smelter List'!$S129-4,0)&amp;"")</f>
        <v>#VALUE!</v>
      </c>
      <c r="F407" s="396" t="e">
        <f ca="1">IF(ISERROR('[1]Smelter List'!$S129),"",OFFSET('[1]Smelter Reference List'!$E$4,'[1]Smelter List'!$S129-4,0))</f>
        <v>#VALUE!</v>
      </c>
      <c r="G407" s="396" t="e">
        <f ca="1">IF(C407='[1]Smelter List'!$U$4,"Enter smelter details", IF(ISERROR('[1]Smelter List'!$S129),"",OFFSET('[1]Smelter Reference List'!$F$4,'[1]Smelter List'!$S129-4,0)))</f>
        <v>#VALUE!</v>
      </c>
      <c r="H407" s="398" t="e">
        <f ca="1">IF(ISERROR('[1]Smelter List'!$S129),"",OFFSET('[1]Smelter Reference List'!$G$4,'[1]Smelter List'!$S129-4,0))</f>
        <v>#VALUE!</v>
      </c>
      <c r="I407" s="399" t="e">
        <f ca="1">IF(ISERROR('[1]Smelter List'!$S129),"",OFFSET('[1]Smelter Reference List'!$H$4,'[1]Smelter List'!$S129-4,0))</f>
        <v>#VALUE!</v>
      </c>
      <c r="J407" s="399" t="e">
        <f ca="1">IF(ISERROR('[1]Smelter List'!$S129),"",OFFSET('[1]Smelter Reference List'!$I$4,'[1]Smelter List'!$S129-4,0))</f>
        <v>#VALUE!</v>
      </c>
      <c r="K407" s="402"/>
      <c r="L407" s="402"/>
      <c r="M407" s="402"/>
      <c r="N407" s="402"/>
      <c r="O407" s="402"/>
      <c r="P407" s="402"/>
      <c r="Q407" s="403"/>
      <c r="R407" s="233"/>
      <c r="S407" s="234" t="e">
        <f>IF(#REF!="",NA(),MATCH(#REF!&amp;#REF!,'Smelter Reference List'!$J:$J,0))</f>
        <v>#REF!</v>
      </c>
      <c r="T407" s="235"/>
      <c r="U407" s="235" t="e">
        <f>IF(AND(#REF!="Smelter not listed",OR(LEN(#REF!)=0,LEN(#REF!)=0)),1,0)</f>
        <v>#REF!</v>
      </c>
      <c r="V407" s="235"/>
      <c r="W407" s="235"/>
      <c r="Y407" s="228" t="e">
        <f>#REF!&amp;#REF!</f>
        <v>#REF!</v>
      </c>
    </row>
    <row r="408" spans="1:25" s="228" customFormat="1" ht="20.25">
      <c r="A408" s="257" t="s">
        <v>2734</v>
      </c>
      <c r="B408" s="396" t="str">
        <f>IF(LEN(A408)=0,"",INDEX('[1]Smelter Reference List'!$A$1:$A$65536,MATCH($A408,'[1]Smelter Reference List'!$E$1:$E$65536,0)))</f>
        <v>Tantalum</v>
      </c>
      <c r="C408" s="397" t="str">
        <f>IF(LEN(A408)=0,"",INDEX('[1]Smelter Reference List'!$C$1:$C$65536,MATCH($A408,'[1]Smelter Reference List'!$E$1:$E$65536,0)))</f>
        <v>Global Advanced Metals Aizu</v>
      </c>
      <c r="D408" s="396" t="e">
        <f ca="1">IF(ISERROR('[1]Smelter List'!$S130),"",OFFSET('[1]Smelter Reference List'!$C$4,'[1]Smelter List'!$S130-4,0)&amp;"")</f>
        <v>#VALUE!</v>
      </c>
      <c r="E408" s="396" t="e">
        <f ca="1">IF(ISERROR('[1]Smelter List'!$S130),"",OFFSET('[1]Smelter Reference List'!$D$4,'[1]Smelter List'!$S130-4,0)&amp;"")</f>
        <v>#VALUE!</v>
      </c>
      <c r="F408" s="396" t="e">
        <f ca="1">IF(ISERROR('[1]Smelter List'!$S130),"",OFFSET('[1]Smelter Reference List'!$E$4,'[1]Smelter List'!$S130-4,0))</f>
        <v>#VALUE!</v>
      </c>
      <c r="G408" s="396" t="e">
        <f ca="1">IF(C408='[1]Smelter List'!$U$4,"Enter smelter details", IF(ISERROR('[1]Smelter List'!$S130),"",OFFSET('[1]Smelter Reference List'!$F$4,'[1]Smelter List'!$S130-4,0)))</f>
        <v>#VALUE!</v>
      </c>
      <c r="H408" s="398" t="e">
        <f ca="1">IF(ISERROR('[1]Smelter List'!$S130),"",OFFSET('[1]Smelter Reference List'!$G$4,'[1]Smelter List'!$S130-4,0))</f>
        <v>#VALUE!</v>
      </c>
      <c r="I408" s="399" t="e">
        <f ca="1">IF(ISERROR('[1]Smelter List'!$S130),"",OFFSET('[1]Smelter Reference List'!$H$4,'[1]Smelter List'!$S130-4,0))</f>
        <v>#VALUE!</v>
      </c>
      <c r="J408" s="399" t="e">
        <f ca="1">IF(ISERROR('[1]Smelter List'!$S130),"",OFFSET('[1]Smelter Reference List'!$I$4,'[1]Smelter List'!$S130-4,0))</f>
        <v>#VALUE!</v>
      </c>
      <c r="K408" s="402"/>
      <c r="L408" s="402"/>
      <c r="M408" s="402"/>
      <c r="N408" s="402"/>
      <c r="O408" s="402"/>
      <c r="P408" s="402"/>
      <c r="Q408" s="403"/>
      <c r="R408" s="233"/>
      <c r="S408" s="234" t="e">
        <f>IF(#REF!="",NA(),MATCH(#REF!&amp;#REF!,'Smelter Reference List'!$J:$J,0))</f>
        <v>#REF!</v>
      </c>
      <c r="T408" s="235"/>
      <c r="U408" s="235" t="e">
        <f>IF(AND(#REF!="Smelter not listed",OR(LEN(#REF!)=0,LEN(#REF!)=0)),1,0)</f>
        <v>#REF!</v>
      </c>
      <c r="V408" s="235"/>
      <c r="W408" s="235"/>
      <c r="Y408" s="228" t="e">
        <f>#REF!&amp;#REF!</f>
        <v>#REF!</v>
      </c>
    </row>
    <row r="409" spans="1:25" s="228" customFormat="1" ht="20.25">
      <c r="A409" s="257" t="s">
        <v>2769</v>
      </c>
      <c r="B409" s="396" t="str">
        <f>IF(LEN(A409)=0,"",INDEX('[1]Smelter Reference List'!$A$1:$A$65536,MATCH($A409,'[1]Smelter Reference List'!$E$1:$E$65536,0)))</f>
        <v>Tantalum</v>
      </c>
      <c r="C409" s="397" t="str">
        <f>IF(LEN(A409)=0,"",INDEX('[1]Smelter Reference List'!$C$1:$C$65536,MATCH($A409,'[1]Smelter Reference List'!$E$1:$E$65536,0)))</f>
        <v>KEMET Blue Powder</v>
      </c>
      <c r="D409" s="396" t="e">
        <f ca="1">IF(ISERROR('[1]Smelter List'!$S131),"",OFFSET('[1]Smelter Reference List'!$C$4,'[1]Smelter List'!$S131-4,0)&amp;"")</f>
        <v>#VALUE!</v>
      </c>
      <c r="E409" s="396" t="e">
        <f ca="1">IF(ISERROR('[1]Smelter List'!$S131),"",OFFSET('[1]Smelter Reference List'!$D$4,'[1]Smelter List'!$S131-4,0)&amp;"")</f>
        <v>#VALUE!</v>
      </c>
      <c r="F409" s="396" t="e">
        <f ca="1">IF(ISERROR('[1]Smelter List'!$S131),"",OFFSET('[1]Smelter Reference List'!$E$4,'[1]Smelter List'!$S131-4,0))</f>
        <v>#VALUE!</v>
      </c>
      <c r="G409" s="396" t="e">
        <f ca="1">IF(C409='[1]Smelter List'!$U$4,"Enter smelter details", IF(ISERROR('[1]Smelter List'!$S131),"",OFFSET('[1]Smelter Reference List'!$F$4,'[1]Smelter List'!$S131-4,0)))</f>
        <v>#VALUE!</v>
      </c>
      <c r="H409" s="398" t="e">
        <f ca="1">IF(ISERROR('[1]Smelter List'!$S131),"",OFFSET('[1]Smelter Reference List'!$G$4,'[1]Smelter List'!$S131-4,0))</f>
        <v>#VALUE!</v>
      </c>
      <c r="I409" s="399" t="e">
        <f ca="1">IF(ISERROR('[1]Smelter List'!$S131),"",OFFSET('[1]Smelter Reference List'!$H$4,'[1]Smelter List'!$S131-4,0))</f>
        <v>#VALUE!</v>
      </c>
      <c r="J409" s="399" t="e">
        <f ca="1">IF(ISERROR('[1]Smelter List'!$S131),"",OFFSET('[1]Smelter Reference List'!$I$4,'[1]Smelter List'!$S131-4,0))</f>
        <v>#VALUE!</v>
      </c>
      <c r="K409" s="402"/>
      <c r="L409" s="402"/>
      <c r="M409" s="402"/>
      <c r="N409" s="402"/>
      <c r="O409" s="402"/>
      <c r="P409" s="402"/>
      <c r="Q409" s="403"/>
      <c r="R409" s="233"/>
      <c r="S409" s="234" t="e">
        <f>IF(#REF!="",NA(),MATCH(#REF!&amp;#REF!,'Smelter Reference List'!$J:$J,0))</f>
        <v>#REF!</v>
      </c>
      <c r="T409" s="235"/>
      <c r="U409" s="235" t="e">
        <f>IF(AND(#REF!="Smelter not listed",OR(LEN(#REF!)=0,LEN(#REF!)=0)),1,0)</f>
        <v>#REF!</v>
      </c>
      <c r="V409" s="235"/>
      <c r="W409" s="235"/>
      <c r="Y409" s="228" t="e">
        <f>#REF!&amp;#REF!</f>
        <v>#REF!</v>
      </c>
    </row>
    <row r="410" spans="1:25" s="228" customFormat="1" ht="20.25">
      <c r="A410" s="257" t="s">
        <v>3433</v>
      </c>
      <c r="B410" s="396" t="str">
        <f>IF(LEN(A410)=0,"",INDEX('[1]Smelter Reference List'!$A$1:$A$65536,MATCH($A410,'[1]Smelter Reference List'!$E$1:$E$65536,0)))</f>
        <v>Tantalum</v>
      </c>
      <c r="C410" s="397" t="str">
        <f>IF(LEN(A410)=0,"",INDEX('[1]Smelter Reference List'!$C$1:$C$65536,MATCH($A410,'[1]Smelter Reference List'!$E$1:$E$65536,0)))</f>
        <v>Tranzact, Inc.</v>
      </c>
      <c r="D410" s="396" t="e">
        <f ca="1">IF(ISERROR('[1]Smelter List'!$S132),"",OFFSET('[1]Smelter Reference List'!$C$4,'[1]Smelter List'!$S132-4,0)&amp;"")</f>
        <v>#VALUE!</v>
      </c>
      <c r="E410" s="396" t="e">
        <f ca="1">IF(ISERROR('[1]Smelter List'!$S132),"",OFFSET('[1]Smelter Reference List'!$D$4,'[1]Smelter List'!$S132-4,0)&amp;"")</f>
        <v>#VALUE!</v>
      </c>
      <c r="F410" s="396" t="e">
        <f ca="1">IF(ISERROR('[1]Smelter List'!$S132),"",OFFSET('[1]Smelter Reference List'!$E$4,'[1]Smelter List'!$S132-4,0))</f>
        <v>#VALUE!</v>
      </c>
      <c r="G410" s="396" t="e">
        <f ca="1">IF(C410='[1]Smelter List'!$U$4,"Enter smelter details", IF(ISERROR('[1]Smelter List'!$S132),"",OFFSET('[1]Smelter Reference List'!$F$4,'[1]Smelter List'!$S132-4,0)))</f>
        <v>#VALUE!</v>
      </c>
      <c r="H410" s="398" t="e">
        <f ca="1">IF(ISERROR('[1]Smelter List'!$S132),"",OFFSET('[1]Smelter Reference List'!$G$4,'[1]Smelter List'!$S132-4,0))</f>
        <v>#VALUE!</v>
      </c>
      <c r="I410" s="399" t="e">
        <f ca="1">IF(ISERROR('[1]Smelter List'!$S132),"",OFFSET('[1]Smelter Reference List'!$H$4,'[1]Smelter List'!$S132-4,0))</f>
        <v>#VALUE!</v>
      </c>
      <c r="J410" s="399" t="e">
        <f ca="1">IF(ISERROR('[1]Smelter List'!$S132),"",OFFSET('[1]Smelter Reference List'!$I$4,'[1]Smelter List'!$S132-4,0))</f>
        <v>#VALUE!</v>
      </c>
      <c r="K410" s="402"/>
      <c r="L410" s="402"/>
      <c r="M410" s="402"/>
      <c r="N410" s="402"/>
      <c r="O410" s="402"/>
      <c r="P410" s="402"/>
      <c r="Q410" s="403"/>
      <c r="R410" s="233"/>
      <c r="S410" s="234" t="e">
        <f>IF(#REF!="",NA(),MATCH(#REF!&amp;#REF!,'Smelter Reference List'!$J:$J,0))</f>
        <v>#REF!</v>
      </c>
      <c r="T410" s="235"/>
      <c r="U410" s="235" t="e">
        <f>IF(AND(#REF!="Smelter not listed",OR(LEN(#REF!)=0,LEN(#REF!)=0)),1,0)</f>
        <v>#REF!</v>
      </c>
      <c r="V410" s="235"/>
      <c r="W410" s="235"/>
      <c r="Y410" s="228" t="e">
        <f>#REF!&amp;#REF!</f>
        <v>#REF!</v>
      </c>
    </row>
    <row r="411" spans="1:25" s="228" customFormat="1" ht="20.25">
      <c r="A411" s="257" t="s">
        <v>3435</v>
      </c>
      <c r="B411" s="396" t="str">
        <f>IF(LEN(A411)=0,"",INDEX('[1]Smelter Reference List'!$A$1:$A$65536,MATCH($A411,'[1]Smelter Reference List'!$E$1:$E$65536,0)))</f>
        <v>Tantalum</v>
      </c>
      <c r="C411" s="397" t="str">
        <f>IF(LEN(A411)=0,"",INDEX('[1]Smelter Reference List'!$C$1:$C$65536,MATCH($A411,'[1]Smelter Reference List'!$E$1:$E$65536,0)))</f>
        <v>Resind Indústria e Comércio Ltda.</v>
      </c>
      <c r="D411" s="396" t="e">
        <f ca="1">IF(ISERROR('[1]Smelter List'!$S133),"",OFFSET('[1]Smelter Reference List'!$C$4,'[1]Smelter List'!$S133-4,0)&amp;"")</f>
        <v>#VALUE!</v>
      </c>
      <c r="E411" s="396" t="e">
        <f ca="1">IF(ISERROR('[1]Smelter List'!$S133),"",OFFSET('[1]Smelter Reference List'!$D$4,'[1]Smelter List'!$S133-4,0)&amp;"")</f>
        <v>#VALUE!</v>
      </c>
      <c r="F411" s="396" t="e">
        <f ca="1">IF(ISERROR('[1]Smelter List'!$S133),"",OFFSET('[1]Smelter Reference List'!$E$4,'[1]Smelter List'!$S133-4,0))</f>
        <v>#VALUE!</v>
      </c>
      <c r="G411" s="396" t="e">
        <f ca="1">IF(C411='[1]Smelter List'!$U$4,"Enter smelter details", IF(ISERROR('[1]Smelter List'!$S133),"",OFFSET('[1]Smelter Reference List'!$F$4,'[1]Smelter List'!$S133-4,0)))</f>
        <v>#VALUE!</v>
      </c>
      <c r="H411" s="398" t="e">
        <f ca="1">IF(ISERROR('[1]Smelter List'!$S133),"",OFFSET('[1]Smelter Reference List'!$G$4,'[1]Smelter List'!$S133-4,0))</f>
        <v>#VALUE!</v>
      </c>
      <c r="I411" s="399" t="e">
        <f ca="1">IF(ISERROR('[1]Smelter List'!$S133),"",OFFSET('[1]Smelter Reference List'!$H$4,'[1]Smelter List'!$S133-4,0))</f>
        <v>#VALUE!</v>
      </c>
      <c r="J411" s="399" t="e">
        <f ca="1">IF(ISERROR('[1]Smelter List'!$S133),"",OFFSET('[1]Smelter Reference List'!$I$4,'[1]Smelter List'!$S133-4,0))</f>
        <v>#VALUE!</v>
      </c>
      <c r="K411" s="402"/>
      <c r="L411" s="402"/>
      <c r="M411" s="402"/>
      <c r="N411" s="402"/>
      <c r="O411" s="402"/>
      <c r="P411" s="402"/>
      <c r="Q411" s="403"/>
      <c r="R411" s="233"/>
      <c r="S411" s="234" t="e">
        <f>IF(#REF!="",NA(),MATCH(#REF!&amp;#REF!,'Smelter Reference List'!$J:$J,0))</f>
        <v>#REF!</v>
      </c>
      <c r="T411" s="235"/>
      <c r="U411" s="235" t="e">
        <f>IF(AND(#REF!="Smelter not listed",OR(LEN(#REF!)=0,LEN(#REF!)=0)),1,0)</f>
        <v>#REF!</v>
      </c>
      <c r="V411" s="235"/>
      <c r="W411" s="235"/>
      <c r="Y411" s="228" t="e">
        <f>#REF!&amp;#REF!</f>
        <v>#REF!</v>
      </c>
    </row>
    <row r="412" spans="1:25" s="228" customFormat="1" ht="20.25">
      <c r="A412" s="257" t="s">
        <v>1362</v>
      </c>
      <c r="B412" s="396" t="str">
        <f>IF(LEN(A412)=0,"",INDEX('[1]Smelter Reference List'!$A$1:$A$65536,MATCH($A412,'[1]Smelter Reference List'!$E$1:$E$65536,0)))</f>
        <v>Tin</v>
      </c>
      <c r="C412" s="397" t="str">
        <f>IF(LEN(A412)=0,"",INDEX('[1]Smelter Reference List'!$C$1:$C$65536,MATCH($A412,'[1]Smelter Reference List'!$E$1:$E$65536,0)))</f>
        <v>Jiangxi Ketai Advanced Material Co., Ltd.</v>
      </c>
      <c r="D412" s="396" t="e">
        <f ca="1">IF(ISERROR('[1]Smelter List'!$S134),"",OFFSET('[1]Smelter Reference List'!$C$4,'[1]Smelter List'!$S134-4,0)&amp;"")</f>
        <v>#VALUE!</v>
      </c>
      <c r="E412" s="396" t="e">
        <f ca="1">IF(ISERROR('[1]Smelter List'!$S134),"",OFFSET('[1]Smelter Reference List'!$D$4,'[1]Smelter List'!$S134-4,0)&amp;"")</f>
        <v>#VALUE!</v>
      </c>
      <c r="F412" s="396" t="e">
        <f ca="1">IF(ISERROR('[1]Smelter List'!$S134),"",OFFSET('[1]Smelter Reference List'!$E$4,'[1]Smelter List'!$S134-4,0))</f>
        <v>#VALUE!</v>
      </c>
      <c r="G412" s="396" t="e">
        <f ca="1">IF(C412='[1]Smelter List'!$U$4,"Enter smelter details", IF(ISERROR('[1]Smelter List'!$S134),"",OFFSET('[1]Smelter Reference List'!$F$4,'[1]Smelter List'!$S134-4,0)))</f>
        <v>#VALUE!</v>
      </c>
      <c r="H412" s="398" t="e">
        <f ca="1">IF(ISERROR('[1]Smelter List'!$S134),"",OFFSET('[1]Smelter Reference List'!$G$4,'[1]Smelter List'!$S134-4,0))</f>
        <v>#VALUE!</v>
      </c>
      <c r="I412" s="399" t="e">
        <f ca="1">IF(ISERROR('[1]Smelter List'!$S134),"",OFFSET('[1]Smelter Reference List'!$H$4,'[1]Smelter List'!$S134-4,0))</f>
        <v>#VALUE!</v>
      </c>
      <c r="J412" s="399" t="e">
        <f ca="1">IF(ISERROR('[1]Smelter List'!$S134),"",OFFSET('[1]Smelter Reference List'!$I$4,'[1]Smelter List'!$S134-4,0))</f>
        <v>#VALUE!</v>
      </c>
      <c r="K412" s="402"/>
      <c r="L412" s="402"/>
      <c r="M412" s="402"/>
      <c r="N412" s="402"/>
      <c r="O412" s="402"/>
      <c r="P412" s="402"/>
      <c r="Q412" s="403"/>
      <c r="R412" s="233"/>
      <c r="S412" s="234" t="e">
        <f>IF(#REF!="",NA(),MATCH(#REF!&amp;#REF!,'Smelter Reference List'!$J:$J,0))</f>
        <v>#REF!</v>
      </c>
      <c r="T412" s="235"/>
      <c r="U412" s="235" t="e">
        <f>IF(AND(#REF!="Smelter not listed",OR(LEN(#REF!)=0,LEN(#REF!)=0)),1,0)</f>
        <v>#REF!</v>
      </c>
      <c r="V412" s="235"/>
      <c r="W412" s="235"/>
      <c r="Y412" s="228" t="e">
        <f>#REF!&amp;#REF!</f>
        <v>#REF!</v>
      </c>
    </row>
    <row r="413" spans="1:25" s="228" customFormat="1" ht="20.25">
      <c r="A413" s="257" t="s">
        <v>1364</v>
      </c>
      <c r="B413" s="396" t="str">
        <f>IF(LEN(A413)=0,"",INDEX('[1]Smelter Reference List'!$A$1:$A$65536,MATCH($A413,'[1]Smelter Reference List'!$E$1:$E$65536,0)))</f>
        <v>Tin</v>
      </c>
      <c r="C413" s="397" t="str">
        <f>IF(LEN(A413)=0,"",INDEX('[1]Smelter Reference List'!$C$1:$C$65536,MATCH($A413,'[1]Smelter Reference List'!$E$1:$E$65536,0)))</f>
        <v>Alpha</v>
      </c>
      <c r="D413" s="396" t="e">
        <f ca="1">IF(ISERROR('[1]Smelter List'!$S135),"",OFFSET('[1]Smelter Reference List'!$C$4,'[1]Smelter List'!$S135-4,0)&amp;"")</f>
        <v>#VALUE!</v>
      </c>
      <c r="E413" s="396" t="e">
        <f ca="1">IF(ISERROR('[1]Smelter List'!$S135),"",OFFSET('[1]Smelter Reference List'!$D$4,'[1]Smelter List'!$S135-4,0)&amp;"")</f>
        <v>#VALUE!</v>
      </c>
      <c r="F413" s="396" t="e">
        <f ca="1">IF(ISERROR('[1]Smelter List'!$S135),"",OFFSET('[1]Smelter Reference List'!$E$4,'[1]Smelter List'!$S135-4,0))</f>
        <v>#VALUE!</v>
      </c>
      <c r="G413" s="396" t="e">
        <f ca="1">IF(C413='[1]Smelter List'!$U$4,"Enter smelter details", IF(ISERROR('[1]Smelter List'!$S135),"",OFFSET('[1]Smelter Reference List'!$F$4,'[1]Smelter List'!$S135-4,0)))</f>
        <v>#VALUE!</v>
      </c>
      <c r="H413" s="398" t="e">
        <f ca="1">IF(ISERROR('[1]Smelter List'!$S135),"",OFFSET('[1]Smelter Reference List'!$G$4,'[1]Smelter List'!$S135-4,0))</f>
        <v>#VALUE!</v>
      </c>
      <c r="I413" s="399" t="e">
        <f ca="1">IF(ISERROR('[1]Smelter List'!$S135),"",OFFSET('[1]Smelter Reference List'!$H$4,'[1]Smelter List'!$S135-4,0))</f>
        <v>#VALUE!</v>
      </c>
      <c r="J413" s="399" t="e">
        <f ca="1">IF(ISERROR('[1]Smelter List'!$S135),"",OFFSET('[1]Smelter Reference List'!$I$4,'[1]Smelter List'!$S135-4,0))</f>
        <v>#VALUE!</v>
      </c>
      <c r="K413" s="402"/>
      <c r="L413" s="402"/>
      <c r="M413" s="402"/>
      <c r="N413" s="402"/>
      <c r="O413" s="402"/>
      <c r="P413" s="402"/>
      <c r="Q413" s="403"/>
      <c r="R413" s="233"/>
      <c r="S413" s="234" t="e">
        <f>IF(#REF!="",NA(),MATCH(#REF!&amp;#REF!,'Smelter Reference List'!$J:$J,0))</f>
        <v>#REF!</v>
      </c>
      <c r="T413" s="235"/>
      <c r="U413" s="235" t="e">
        <f>IF(AND(#REF!="Smelter not listed",OR(LEN(#REF!)=0,LEN(#REF!)=0)),1,0)</f>
        <v>#REF!</v>
      </c>
      <c r="V413" s="235"/>
      <c r="W413" s="235"/>
      <c r="Y413" s="228" t="e">
        <f>#REF!&amp;#REF!</f>
        <v>#REF!</v>
      </c>
    </row>
    <row r="414" spans="1:25" s="228" customFormat="1" ht="20.25">
      <c r="A414" s="257" t="s">
        <v>1365</v>
      </c>
      <c r="B414" s="396" t="str">
        <f>IF(LEN(A414)=0,"",INDEX('[1]Smelter Reference List'!$A$1:$A$65536,MATCH($A414,'[1]Smelter Reference List'!$E$1:$E$65536,0)))</f>
        <v>Tin</v>
      </c>
      <c r="C414" s="397" t="str">
        <f>IF(LEN(A414)=0,"",INDEX('[1]Smelter Reference List'!$C$1:$C$65536,MATCH($A414,'[1]Smelter Reference List'!$E$1:$E$65536,0)))</f>
        <v>Cooperativa Metalurgica de Rondônia Ltda.</v>
      </c>
      <c r="D414" s="396" t="e">
        <f ca="1">IF(ISERROR('[1]Smelter List'!$S136),"",OFFSET('[1]Smelter Reference List'!$C$4,'[1]Smelter List'!$S136-4,0)&amp;"")</f>
        <v>#VALUE!</v>
      </c>
      <c r="E414" s="396" t="e">
        <f ca="1">IF(ISERROR('[1]Smelter List'!$S136),"",OFFSET('[1]Smelter Reference List'!$D$4,'[1]Smelter List'!$S136-4,0)&amp;"")</f>
        <v>#VALUE!</v>
      </c>
      <c r="F414" s="396" t="e">
        <f ca="1">IF(ISERROR('[1]Smelter List'!$S136),"",OFFSET('[1]Smelter Reference List'!$E$4,'[1]Smelter List'!$S136-4,0))</f>
        <v>#VALUE!</v>
      </c>
      <c r="G414" s="396" t="e">
        <f ca="1">IF(C414='[1]Smelter List'!$U$4,"Enter smelter details", IF(ISERROR('[1]Smelter List'!$S136),"",OFFSET('[1]Smelter Reference List'!$F$4,'[1]Smelter List'!$S136-4,0)))</f>
        <v>#VALUE!</v>
      </c>
      <c r="H414" s="398" t="e">
        <f ca="1">IF(ISERROR('[1]Smelter List'!$S136),"",OFFSET('[1]Smelter Reference List'!$G$4,'[1]Smelter List'!$S136-4,0))</f>
        <v>#VALUE!</v>
      </c>
      <c r="I414" s="399" t="e">
        <f ca="1">IF(ISERROR('[1]Smelter List'!$S136),"",OFFSET('[1]Smelter Reference List'!$H$4,'[1]Smelter List'!$S136-4,0))</f>
        <v>#VALUE!</v>
      </c>
      <c r="J414" s="399" t="e">
        <f ca="1">IF(ISERROR('[1]Smelter List'!$S136),"",OFFSET('[1]Smelter Reference List'!$I$4,'[1]Smelter List'!$S136-4,0))</f>
        <v>#VALUE!</v>
      </c>
      <c r="K414" s="402"/>
      <c r="L414" s="402"/>
      <c r="M414" s="402"/>
      <c r="N414" s="402"/>
      <c r="O414" s="402"/>
      <c r="P414" s="402"/>
      <c r="Q414" s="403"/>
      <c r="R414" s="233"/>
      <c r="S414" s="234" t="e">
        <f>IF(#REF!="",NA(),MATCH(#REF!&amp;#REF!,'Smelter Reference List'!$J:$J,0))</f>
        <v>#REF!</v>
      </c>
      <c r="T414" s="235"/>
      <c r="U414" s="235" t="e">
        <f>IF(AND(#REF!="Smelter not listed",OR(LEN(#REF!)=0,LEN(#REF!)=0)),1,0)</f>
        <v>#REF!</v>
      </c>
      <c r="V414" s="235"/>
      <c r="W414" s="235"/>
      <c r="Y414" s="228" t="e">
        <f>#REF!&amp;#REF!</f>
        <v>#REF!</v>
      </c>
    </row>
    <row r="415" spans="1:25" s="228" customFormat="1" ht="20.25">
      <c r="A415" s="257" t="s">
        <v>2665</v>
      </c>
      <c r="B415" s="396" t="str">
        <f>IF(LEN(A415)=0,"",INDEX('[1]Smelter Reference List'!$A$1:$A$65536,MATCH($A415,'[1]Smelter Reference List'!$E$1:$E$65536,0)))</f>
        <v>Tin</v>
      </c>
      <c r="C415" s="397" t="str">
        <f>IF(LEN(A415)=0,"",INDEX('[1]Smelter Reference List'!$C$1:$C$65536,MATCH($A415,'[1]Smelter Reference List'!$E$1:$E$65536,0)))</f>
        <v>CV Gita Pesona</v>
      </c>
      <c r="D415" s="396" t="e">
        <f ca="1">IF(ISERROR('[1]Smelter List'!$S137),"",OFFSET('[1]Smelter Reference List'!$C$4,'[1]Smelter List'!$S137-4,0)&amp;"")</f>
        <v>#VALUE!</v>
      </c>
      <c r="E415" s="396" t="e">
        <f ca="1">IF(ISERROR('[1]Smelter List'!$S137),"",OFFSET('[1]Smelter Reference List'!$D$4,'[1]Smelter List'!$S137-4,0)&amp;"")</f>
        <v>#VALUE!</v>
      </c>
      <c r="F415" s="396" t="e">
        <f ca="1">IF(ISERROR('[1]Smelter List'!$S137),"",OFFSET('[1]Smelter Reference List'!$E$4,'[1]Smelter List'!$S137-4,0))</f>
        <v>#VALUE!</v>
      </c>
      <c r="G415" s="396" t="e">
        <f ca="1">IF(C415='[1]Smelter List'!$U$4,"Enter smelter details", IF(ISERROR('[1]Smelter List'!$S137),"",OFFSET('[1]Smelter Reference List'!$F$4,'[1]Smelter List'!$S137-4,0)))</f>
        <v>#VALUE!</v>
      </c>
      <c r="H415" s="398" t="e">
        <f ca="1">IF(ISERROR('[1]Smelter List'!$S137),"",OFFSET('[1]Smelter Reference List'!$G$4,'[1]Smelter List'!$S137-4,0))</f>
        <v>#VALUE!</v>
      </c>
      <c r="I415" s="399" t="e">
        <f ca="1">IF(ISERROR('[1]Smelter List'!$S137),"",OFFSET('[1]Smelter Reference List'!$H$4,'[1]Smelter List'!$S137-4,0))</f>
        <v>#VALUE!</v>
      </c>
      <c r="J415" s="399" t="e">
        <f ca="1">IF(ISERROR('[1]Smelter List'!$S137),"",OFFSET('[1]Smelter Reference List'!$I$4,'[1]Smelter List'!$S137-4,0))</f>
        <v>#VALUE!</v>
      </c>
      <c r="K415" s="402"/>
      <c r="L415" s="402"/>
      <c r="M415" s="402"/>
      <c r="N415" s="402"/>
      <c r="O415" s="402"/>
      <c r="P415" s="402"/>
      <c r="Q415" s="403"/>
      <c r="R415" s="233"/>
      <c r="S415" s="234" t="e">
        <f>IF(#REF!="",NA(),MATCH(#REF!&amp;#REF!,'Smelter Reference List'!$J:$J,0))</f>
        <v>#REF!</v>
      </c>
      <c r="T415" s="235"/>
      <c r="U415" s="235" t="e">
        <f>IF(AND(#REF!="Smelter not listed",OR(LEN(#REF!)=0,LEN(#REF!)=0)),1,0)</f>
        <v>#REF!</v>
      </c>
      <c r="V415" s="235"/>
      <c r="W415" s="235"/>
      <c r="Y415" s="228" t="e">
        <f>#REF!&amp;#REF!</f>
        <v>#REF!</v>
      </c>
    </row>
    <row r="416" spans="1:25" s="228" customFormat="1" ht="20.25">
      <c r="A416" s="257" t="s">
        <v>2666</v>
      </c>
      <c r="B416" s="396" t="str">
        <f>IF(LEN(A416)=0,"",INDEX('[1]Smelter Reference List'!$A$1:$A$65536,MATCH($A416,'[1]Smelter Reference List'!$E$1:$E$65536,0)))</f>
        <v>Tin</v>
      </c>
      <c r="C416" s="397" t="str">
        <f>IF(LEN(A416)=0,"",INDEX('[1]Smelter Reference List'!$C$1:$C$65536,MATCH($A416,'[1]Smelter Reference List'!$E$1:$E$65536,0)))</f>
        <v>PT Justindo</v>
      </c>
      <c r="D416" s="396" t="e">
        <f ca="1">IF(ISERROR('[1]Smelter List'!$S138),"",OFFSET('[1]Smelter Reference List'!$C$4,'[1]Smelter List'!$S138-4,0)&amp;"")</f>
        <v>#VALUE!</v>
      </c>
      <c r="E416" s="396" t="e">
        <f ca="1">IF(ISERROR('[1]Smelter List'!$S138),"",OFFSET('[1]Smelter Reference List'!$D$4,'[1]Smelter List'!$S138-4,0)&amp;"")</f>
        <v>#VALUE!</v>
      </c>
      <c r="F416" s="396" t="e">
        <f ca="1">IF(ISERROR('[1]Smelter List'!$S138),"",OFFSET('[1]Smelter Reference List'!$E$4,'[1]Smelter List'!$S138-4,0))</f>
        <v>#VALUE!</v>
      </c>
      <c r="G416" s="396" t="e">
        <f ca="1">IF(C416='[1]Smelter List'!$U$4,"Enter smelter details", IF(ISERROR('[1]Smelter List'!$S138),"",OFFSET('[1]Smelter Reference List'!$F$4,'[1]Smelter List'!$S138-4,0)))</f>
        <v>#VALUE!</v>
      </c>
      <c r="H416" s="398" t="e">
        <f ca="1">IF(ISERROR('[1]Smelter List'!$S138),"",OFFSET('[1]Smelter Reference List'!$G$4,'[1]Smelter List'!$S138-4,0))</f>
        <v>#VALUE!</v>
      </c>
      <c r="I416" s="399" t="e">
        <f ca="1">IF(ISERROR('[1]Smelter List'!$S138),"",OFFSET('[1]Smelter Reference List'!$H$4,'[1]Smelter List'!$S138-4,0))</f>
        <v>#VALUE!</v>
      </c>
      <c r="J416" s="399" t="e">
        <f ca="1">IF(ISERROR('[1]Smelter List'!$S138),"",OFFSET('[1]Smelter Reference List'!$I$4,'[1]Smelter List'!$S138-4,0))</f>
        <v>#VALUE!</v>
      </c>
      <c r="K416" s="402"/>
      <c r="L416" s="402"/>
      <c r="M416" s="402"/>
      <c r="N416" s="402"/>
      <c r="O416" s="402"/>
      <c r="P416" s="402"/>
      <c r="Q416" s="403"/>
      <c r="R416" s="233"/>
      <c r="S416" s="234" t="e">
        <f>IF(#REF!="",NA(),MATCH(#REF!&amp;#REF!,'Smelter Reference List'!$J:$J,0))</f>
        <v>#REF!</v>
      </c>
      <c r="T416" s="235"/>
      <c r="U416" s="235" t="e">
        <f>IF(AND(#REF!="Smelter not listed",OR(LEN(#REF!)=0,LEN(#REF!)=0)),1,0)</f>
        <v>#REF!</v>
      </c>
      <c r="V416" s="235"/>
      <c r="W416" s="235"/>
      <c r="Y416" s="228" t="e">
        <f>#REF!&amp;#REF!</f>
        <v>#REF!</v>
      </c>
    </row>
    <row r="417" spans="1:25" s="228" customFormat="1" ht="20.25">
      <c r="A417" s="257" t="s">
        <v>2667</v>
      </c>
      <c r="B417" s="396" t="str">
        <f>IF(LEN(A417)=0,"",INDEX('[1]Smelter Reference List'!$A$1:$A$65536,MATCH($A417,'[1]Smelter Reference List'!$E$1:$E$65536,0)))</f>
        <v>Tin</v>
      </c>
      <c r="C417" s="397" t="str">
        <f>IF(LEN(A417)=0,"",INDEX('[1]Smelter Reference List'!$C$1:$C$65536,MATCH($A417,'[1]Smelter Reference List'!$E$1:$E$65536,0)))</f>
        <v>PT Aries Kencana Sejahtera</v>
      </c>
      <c r="D417" s="396" t="e">
        <f ca="1">IF(ISERROR('[1]Smelter List'!$S139),"",OFFSET('[1]Smelter Reference List'!$C$4,'[1]Smelter List'!$S139-4,0)&amp;"")</f>
        <v>#VALUE!</v>
      </c>
      <c r="E417" s="396" t="e">
        <f ca="1">IF(ISERROR('[1]Smelter List'!$S139),"",OFFSET('[1]Smelter Reference List'!$D$4,'[1]Smelter List'!$S139-4,0)&amp;"")</f>
        <v>#VALUE!</v>
      </c>
      <c r="F417" s="396" t="e">
        <f ca="1">IF(ISERROR('[1]Smelter List'!$S139),"",OFFSET('[1]Smelter Reference List'!$E$4,'[1]Smelter List'!$S139-4,0))</f>
        <v>#VALUE!</v>
      </c>
      <c r="G417" s="396" t="e">
        <f ca="1">IF(C417='[1]Smelter List'!$U$4,"Enter smelter details", IF(ISERROR('[1]Smelter List'!$S139),"",OFFSET('[1]Smelter Reference List'!$F$4,'[1]Smelter List'!$S139-4,0)))</f>
        <v>#VALUE!</v>
      </c>
      <c r="H417" s="398" t="e">
        <f ca="1">IF(ISERROR('[1]Smelter List'!$S139),"",OFFSET('[1]Smelter Reference List'!$G$4,'[1]Smelter List'!$S139-4,0))</f>
        <v>#VALUE!</v>
      </c>
      <c r="I417" s="399" t="e">
        <f ca="1">IF(ISERROR('[1]Smelter List'!$S139),"",OFFSET('[1]Smelter Reference List'!$H$4,'[1]Smelter List'!$S139-4,0))</f>
        <v>#VALUE!</v>
      </c>
      <c r="J417" s="399" t="e">
        <f ca="1">IF(ISERROR('[1]Smelter List'!$S139),"",OFFSET('[1]Smelter Reference List'!$I$4,'[1]Smelter List'!$S139-4,0))</f>
        <v>#VALUE!</v>
      </c>
      <c r="K417" s="402"/>
      <c r="L417" s="402"/>
      <c r="M417" s="402"/>
      <c r="N417" s="402"/>
      <c r="O417" s="402"/>
      <c r="P417" s="402"/>
      <c r="Q417" s="403"/>
      <c r="R417" s="233"/>
      <c r="S417" s="234" t="e">
        <f>IF(#REF!="",NA(),MATCH(#REF!&amp;#REF!,'Smelter Reference List'!$J:$J,0))</f>
        <v>#REF!</v>
      </c>
      <c r="T417" s="235"/>
      <c r="U417" s="235" t="e">
        <f>IF(AND(#REF!="Smelter not listed",OR(LEN(#REF!)=0,LEN(#REF!)=0)),1,0)</f>
        <v>#REF!</v>
      </c>
      <c r="V417" s="235"/>
      <c r="W417" s="235"/>
      <c r="Y417" s="228" t="e">
        <f>#REF!&amp;#REF!</f>
        <v>#REF!</v>
      </c>
    </row>
    <row r="418" spans="1:25" s="228" customFormat="1" ht="20.25">
      <c r="A418" s="257" t="s">
        <v>1366</v>
      </c>
      <c r="B418" s="396" t="str">
        <f>IF(LEN(A418)=0,"",INDEX('[1]Smelter Reference List'!$A$1:$A$65536,MATCH($A418,'[1]Smelter Reference List'!$E$1:$E$65536,0)))</f>
        <v>Tin</v>
      </c>
      <c r="C418" s="397" t="str">
        <f>IF(LEN(A418)=0,"",INDEX('[1]Smelter Reference List'!$C$1:$C$65536,MATCH($A418,'[1]Smelter Reference List'!$E$1:$E$65536,0)))</f>
        <v>CV Serumpun Sebalai</v>
      </c>
      <c r="D418" s="396" t="e">
        <f ca="1">IF(ISERROR('[1]Smelter List'!$S140),"",OFFSET('[1]Smelter Reference List'!$C$4,'[1]Smelter List'!$S140-4,0)&amp;"")</f>
        <v>#VALUE!</v>
      </c>
      <c r="E418" s="396" t="e">
        <f ca="1">IF(ISERROR('[1]Smelter List'!$S140),"",OFFSET('[1]Smelter Reference List'!$D$4,'[1]Smelter List'!$S140-4,0)&amp;"")</f>
        <v>#VALUE!</v>
      </c>
      <c r="F418" s="396" t="e">
        <f ca="1">IF(ISERROR('[1]Smelter List'!$S140),"",OFFSET('[1]Smelter Reference List'!$E$4,'[1]Smelter List'!$S140-4,0))</f>
        <v>#VALUE!</v>
      </c>
      <c r="G418" s="396" t="e">
        <f ca="1">IF(C418='[1]Smelter List'!$U$4,"Enter smelter details", IF(ISERROR('[1]Smelter List'!$S140),"",OFFSET('[1]Smelter Reference List'!$F$4,'[1]Smelter List'!$S140-4,0)))</f>
        <v>#VALUE!</v>
      </c>
      <c r="H418" s="398" t="e">
        <f ca="1">IF(ISERROR('[1]Smelter List'!$S140),"",OFFSET('[1]Smelter Reference List'!$G$4,'[1]Smelter List'!$S140-4,0))</f>
        <v>#VALUE!</v>
      </c>
      <c r="I418" s="399" t="e">
        <f ca="1">IF(ISERROR('[1]Smelter List'!$S140),"",OFFSET('[1]Smelter Reference List'!$H$4,'[1]Smelter List'!$S140-4,0))</f>
        <v>#VALUE!</v>
      </c>
      <c r="J418" s="399" t="e">
        <f ca="1">IF(ISERROR('[1]Smelter List'!$S140),"",OFFSET('[1]Smelter Reference List'!$I$4,'[1]Smelter List'!$S140-4,0))</f>
        <v>#VALUE!</v>
      </c>
      <c r="K418" s="402"/>
      <c r="L418" s="402"/>
      <c r="M418" s="402"/>
      <c r="N418" s="402"/>
      <c r="O418" s="402"/>
      <c r="P418" s="402"/>
      <c r="Q418" s="403"/>
      <c r="R418" s="233"/>
      <c r="S418" s="234" t="e">
        <f>IF(#REF!="",NA(),MATCH(#REF!&amp;#REF!,'Smelter Reference List'!$J:$J,0))</f>
        <v>#REF!</v>
      </c>
      <c r="T418" s="235"/>
      <c r="U418" s="235" t="e">
        <f>IF(AND(#REF!="Smelter not listed",OR(LEN(#REF!)=0,LEN(#REF!)=0)),1,0)</f>
        <v>#REF!</v>
      </c>
      <c r="V418" s="235"/>
      <c r="W418" s="235"/>
      <c r="Y418" s="228" t="e">
        <f>#REF!&amp;#REF!</f>
        <v>#REF!</v>
      </c>
    </row>
    <row r="419" spans="1:25" s="228" customFormat="1" ht="20.25">
      <c r="A419" s="257" t="s">
        <v>1367</v>
      </c>
      <c r="B419" s="396" t="str">
        <f>IF(LEN(A419)=0,"",INDEX('[1]Smelter Reference List'!$A$1:$A$65536,MATCH($A419,'[1]Smelter Reference List'!$E$1:$E$65536,0)))</f>
        <v>Tin</v>
      </c>
      <c r="C419" s="397" t="str">
        <f>IF(LEN(A419)=0,"",INDEX('[1]Smelter Reference List'!$C$1:$C$65536,MATCH($A419,'[1]Smelter Reference List'!$E$1:$E$65536,0)))</f>
        <v>CV United Smelting</v>
      </c>
      <c r="D419" s="396" t="e">
        <f ca="1">IF(ISERROR('[1]Smelter List'!$S141),"",OFFSET('[1]Smelter Reference List'!$C$4,'[1]Smelter List'!$S141-4,0)&amp;"")</f>
        <v>#VALUE!</v>
      </c>
      <c r="E419" s="396" t="e">
        <f ca="1">IF(ISERROR('[1]Smelter List'!$S141),"",OFFSET('[1]Smelter Reference List'!$D$4,'[1]Smelter List'!$S141-4,0)&amp;"")</f>
        <v>#VALUE!</v>
      </c>
      <c r="F419" s="396" t="e">
        <f ca="1">IF(ISERROR('[1]Smelter List'!$S141),"",OFFSET('[1]Smelter Reference List'!$E$4,'[1]Smelter List'!$S141-4,0))</f>
        <v>#VALUE!</v>
      </c>
      <c r="G419" s="396" t="e">
        <f ca="1">IF(C419='[1]Smelter List'!$U$4,"Enter smelter details", IF(ISERROR('[1]Smelter List'!$S141),"",OFFSET('[1]Smelter Reference List'!$F$4,'[1]Smelter List'!$S141-4,0)))</f>
        <v>#VALUE!</v>
      </c>
      <c r="H419" s="398" t="e">
        <f ca="1">IF(ISERROR('[1]Smelter List'!$S141),"",OFFSET('[1]Smelter Reference List'!$G$4,'[1]Smelter List'!$S141-4,0))</f>
        <v>#VALUE!</v>
      </c>
      <c r="I419" s="399" t="e">
        <f ca="1">IF(ISERROR('[1]Smelter List'!$S141),"",OFFSET('[1]Smelter Reference List'!$H$4,'[1]Smelter List'!$S141-4,0))</f>
        <v>#VALUE!</v>
      </c>
      <c r="J419" s="399" t="e">
        <f ca="1">IF(ISERROR('[1]Smelter List'!$S141),"",OFFSET('[1]Smelter Reference List'!$I$4,'[1]Smelter List'!$S141-4,0))</f>
        <v>#VALUE!</v>
      </c>
      <c r="K419" s="402"/>
      <c r="L419" s="402"/>
      <c r="M419" s="402"/>
      <c r="N419" s="402"/>
      <c r="O419" s="402"/>
      <c r="P419" s="402"/>
      <c r="Q419" s="403"/>
      <c r="R419" s="233"/>
      <c r="S419" s="234" t="e">
        <f>IF(#REF!="",NA(),MATCH(#REF!&amp;#REF!,'Smelter Reference List'!$J:$J,0))</f>
        <v>#REF!</v>
      </c>
      <c r="T419" s="235"/>
      <c r="U419" s="235" t="e">
        <f>IF(AND(#REF!="Smelter not listed",OR(LEN(#REF!)=0,LEN(#REF!)=0)),1,0)</f>
        <v>#REF!</v>
      </c>
      <c r="V419" s="235"/>
      <c r="W419" s="235"/>
      <c r="Y419" s="228" t="e">
        <f>#REF!&amp;#REF!</f>
        <v>#REF!</v>
      </c>
    </row>
    <row r="420" spans="1:25" s="228" customFormat="1" ht="20.25">
      <c r="A420" s="257" t="s">
        <v>2732</v>
      </c>
      <c r="B420" s="396" t="str">
        <f>IF(LEN(A420)=0,"",INDEX('[1]Smelter Reference List'!$A$1:$A$65536,MATCH($A420,'[1]Smelter Reference List'!$E$1:$E$65536,0)))</f>
        <v>Tin</v>
      </c>
      <c r="C420" s="397" t="str">
        <f>IF(LEN(A420)=0,"",INDEX('[1]Smelter Reference List'!$C$1:$C$65536,MATCH($A420,'[1]Smelter Reference List'!$E$1:$E$65536,0)))</f>
        <v>Dowa</v>
      </c>
      <c r="D420" s="396" t="e">
        <f ca="1">IF(ISERROR('[1]Smelter List'!$S142),"",OFFSET('[1]Smelter Reference List'!$C$4,'[1]Smelter List'!$S142-4,0)&amp;"")</f>
        <v>#VALUE!</v>
      </c>
      <c r="E420" s="396" t="e">
        <f ca="1">IF(ISERROR('[1]Smelter List'!$S142),"",OFFSET('[1]Smelter Reference List'!$D$4,'[1]Smelter List'!$S142-4,0)&amp;"")</f>
        <v>#VALUE!</v>
      </c>
      <c r="F420" s="396" t="e">
        <f ca="1">IF(ISERROR('[1]Smelter List'!$S142),"",OFFSET('[1]Smelter Reference List'!$E$4,'[1]Smelter List'!$S142-4,0))</f>
        <v>#VALUE!</v>
      </c>
      <c r="G420" s="396" t="e">
        <f ca="1">IF(C420='[1]Smelter List'!$U$4,"Enter smelter details", IF(ISERROR('[1]Smelter List'!$S142),"",OFFSET('[1]Smelter Reference List'!$F$4,'[1]Smelter List'!$S142-4,0)))</f>
        <v>#VALUE!</v>
      </c>
      <c r="H420" s="398" t="e">
        <f ca="1">IF(ISERROR('[1]Smelter List'!$S142),"",OFFSET('[1]Smelter Reference List'!$G$4,'[1]Smelter List'!$S142-4,0))</f>
        <v>#VALUE!</v>
      </c>
      <c r="I420" s="399" t="e">
        <f ca="1">IF(ISERROR('[1]Smelter List'!$S142),"",OFFSET('[1]Smelter Reference List'!$H$4,'[1]Smelter List'!$S142-4,0))</f>
        <v>#VALUE!</v>
      </c>
      <c r="J420" s="399" t="e">
        <f ca="1">IF(ISERROR('[1]Smelter List'!$S142),"",OFFSET('[1]Smelter Reference List'!$I$4,'[1]Smelter List'!$S142-4,0))</f>
        <v>#VALUE!</v>
      </c>
      <c r="K420" s="402"/>
      <c r="L420" s="402"/>
      <c r="M420" s="402"/>
      <c r="N420" s="402"/>
      <c r="O420" s="402"/>
      <c r="P420" s="402"/>
      <c r="Q420" s="403"/>
      <c r="R420" s="233"/>
      <c r="S420" s="234" t="e">
        <f>IF(#REF!="",NA(),MATCH(#REF!&amp;#REF!,'Smelter Reference List'!$J:$J,0))</f>
        <v>#REF!</v>
      </c>
      <c r="T420" s="235"/>
      <c r="U420" s="235" t="e">
        <f>IF(AND(#REF!="Smelter not listed",OR(LEN(#REF!)=0,LEN(#REF!)=0)),1,0)</f>
        <v>#REF!</v>
      </c>
      <c r="V420" s="235"/>
      <c r="W420" s="235"/>
      <c r="Y420" s="228" t="e">
        <f>#REF!&amp;#REF!</f>
        <v>#REF!</v>
      </c>
    </row>
    <row r="421" spans="1:25" s="228" customFormat="1" ht="25.5">
      <c r="A421" s="257" t="s">
        <v>1368</v>
      </c>
      <c r="B421" s="396" t="str">
        <f>IF(LEN(A421)=0,"",INDEX('[1]Smelter Reference List'!$A$1:$A$65536,MATCH($A421,'[1]Smelter Reference List'!$E$1:$E$65536,0)))</f>
        <v>Tin</v>
      </c>
      <c r="C421" s="397" t="str">
        <f>IF(LEN(A421)=0,"",INDEX('[1]Smelter Reference List'!$C$1:$C$65536,MATCH($A421,'[1]Smelter Reference List'!$E$1:$E$65536,0)))</f>
        <v>EM Vinto</v>
      </c>
      <c r="D421" s="396" t="e">
        <f ca="1">IF(ISERROR('[1]Smelter List'!$S143),"",OFFSET('[1]Smelter Reference List'!$C$4,'[1]Smelter List'!$S143-4,0)&amp;"")</f>
        <v>#VALUE!</v>
      </c>
      <c r="E421" s="396" t="e">
        <f ca="1">IF(ISERROR('[1]Smelter List'!$S143),"",OFFSET('[1]Smelter Reference List'!$D$4,'[1]Smelter List'!$S143-4,0)&amp;"")</f>
        <v>#VALUE!</v>
      </c>
      <c r="F421" s="396" t="e">
        <f ca="1">IF(ISERROR('[1]Smelter List'!$S143),"",OFFSET('[1]Smelter Reference List'!$E$4,'[1]Smelter List'!$S143-4,0))</f>
        <v>#VALUE!</v>
      </c>
      <c r="G421" s="396" t="e">
        <f ca="1">IF(C421='[1]Smelter List'!$U$4,"Enter smelter details", IF(ISERROR('[1]Smelter List'!$S143),"",OFFSET('[1]Smelter Reference List'!$F$4,'[1]Smelter List'!$S143-4,0)))</f>
        <v>#VALUE!</v>
      </c>
      <c r="H421" s="398" t="e">
        <f ca="1">IF(ISERROR('[1]Smelter List'!$S143),"",OFFSET('[1]Smelter Reference List'!$G$4,'[1]Smelter List'!$S143-4,0))</f>
        <v>#VALUE!</v>
      </c>
      <c r="I421" s="399" t="e">
        <f ca="1">IF(ISERROR('[1]Smelter List'!$S143),"",OFFSET('[1]Smelter Reference List'!$H$4,'[1]Smelter List'!$S143-4,0))</f>
        <v>#VALUE!</v>
      </c>
      <c r="J421" s="399" t="e">
        <f ca="1">IF(ISERROR('[1]Smelter List'!$S143),"",OFFSET('[1]Smelter Reference List'!$I$4,'[1]Smelter List'!$S143-4,0))</f>
        <v>#VALUE!</v>
      </c>
      <c r="K421" s="402"/>
      <c r="L421" s="402"/>
      <c r="M421" s="402"/>
      <c r="N421" s="402"/>
      <c r="O421" s="402"/>
      <c r="P421" s="402"/>
      <c r="Q421" s="403"/>
      <c r="R421" s="233"/>
      <c r="S421" s="234" t="e">
        <f>IF(#REF!="",NA(),MATCH(#REF!&amp;#REF!,'Smelter Reference List'!$J:$J,0))</f>
        <v>#REF!</v>
      </c>
      <c r="T421" s="235"/>
      <c r="U421" s="235" t="e">
        <f>IF(AND(#REF!="Smelter not listed",OR(LEN(#REF!)=0,LEN(#REF!)=0)),1,0)</f>
        <v>#REF!</v>
      </c>
      <c r="V421" s="235"/>
      <c r="W421" s="235"/>
      <c r="Y421" s="228" t="e">
        <f>#REF!&amp;#REF!</f>
        <v>#REF!</v>
      </c>
    </row>
    <row r="422" spans="1:25" s="228" customFormat="1" ht="25.5">
      <c r="A422" s="257" t="s">
        <v>1371</v>
      </c>
      <c r="B422" s="396" t="str">
        <f>IF(LEN(A422)=0,"",INDEX('[1]Smelter Reference List'!$A$1:$A$65536,MATCH($A422,'[1]Smelter Reference List'!$E$1:$E$65536,0)))</f>
        <v>Tin</v>
      </c>
      <c r="C422" s="397" t="str">
        <f>IF(LEN(A422)=0,"",INDEX('[1]Smelter Reference List'!$C$1:$C$65536,MATCH($A422,'[1]Smelter Reference List'!$E$1:$E$65536,0)))</f>
        <v>Fenix Metals</v>
      </c>
      <c r="D422" s="396" t="e">
        <f ca="1">IF(ISERROR('[1]Smelter List'!$S144),"",OFFSET('[1]Smelter Reference List'!$C$4,'[1]Smelter List'!$S144-4,0)&amp;"")</f>
        <v>#VALUE!</v>
      </c>
      <c r="E422" s="396" t="e">
        <f ca="1">IF(ISERROR('[1]Smelter List'!$S144),"",OFFSET('[1]Smelter Reference List'!$D$4,'[1]Smelter List'!$S144-4,0)&amp;"")</f>
        <v>#VALUE!</v>
      </c>
      <c r="F422" s="396" t="e">
        <f ca="1">IF(ISERROR('[1]Smelter List'!$S144),"",OFFSET('[1]Smelter Reference List'!$E$4,'[1]Smelter List'!$S144-4,0))</f>
        <v>#VALUE!</v>
      </c>
      <c r="G422" s="396" t="e">
        <f ca="1">IF(C422='[1]Smelter List'!$U$4,"Enter smelter details", IF(ISERROR('[1]Smelter List'!$S144),"",OFFSET('[1]Smelter Reference List'!$F$4,'[1]Smelter List'!$S144-4,0)))</f>
        <v>#VALUE!</v>
      </c>
      <c r="H422" s="398" t="e">
        <f ca="1">IF(ISERROR('[1]Smelter List'!$S144),"",OFFSET('[1]Smelter Reference List'!$G$4,'[1]Smelter List'!$S144-4,0))</f>
        <v>#VALUE!</v>
      </c>
      <c r="I422" s="399" t="e">
        <f ca="1">IF(ISERROR('[1]Smelter List'!$S144),"",OFFSET('[1]Smelter Reference List'!$H$4,'[1]Smelter List'!$S144-4,0))</f>
        <v>#VALUE!</v>
      </c>
      <c r="J422" s="399" t="e">
        <f ca="1">IF(ISERROR('[1]Smelter List'!$S144),"",OFFSET('[1]Smelter Reference List'!$I$4,'[1]Smelter List'!$S144-4,0))</f>
        <v>#VALUE!</v>
      </c>
      <c r="K422" s="402"/>
      <c r="L422" s="402"/>
      <c r="M422" s="402"/>
      <c r="N422" s="402"/>
      <c r="O422" s="402"/>
      <c r="P422" s="402"/>
      <c r="Q422" s="403"/>
      <c r="R422" s="233"/>
      <c r="S422" s="234" t="e">
        <f>IF(#REF!="",NA(),MATCH(#REF!&amp;#REF!,'Smelter Reference List'!$J:$J,0))</f>
        <v>#REF!</v>
      </c>
      <c r="T422" s="235"/>
      <c r="U422" s="235" t="e">
        <f>IF(AND(#REF!="Smelter not listed",OR(LEN(#REF!)=0,LEN(#REF!)=0)),1,0)</f>
        <v>#REF!</v>
      </c>
      <c r="V422" s="235"/>
      <c r="W422" s="235"/>
      <c r="Y422" s="228" t="e">
        <f>#REF!&amp;#REF!</f>
        <v>#REF!</v>
      </c>
    </row>
    <row r="423" spans="1:25" s="228" customFormat="1" ht="20.25">
      <c r="A423" s="257" t="s">
        <v>1372</v>
      </c>
      <c r="B423" s="396" t="str">
        <f>IF(LEN(A423)=0,"",INDEX('[1]Smelter Reference List'!$A$1:$A$65536,MATCH($A423,'[1]Smelter Reference List'!$E$1:$E$65536,0)))</f>
        <v>Tin</v>
      </c>
      <c r="C423" s="397" t="str">
        <f>IF(LEN(A423)=0,"",INDEX('[1]Smelter Reference List'!$C$1:$C$65536,MATCH($A423,'[1]Smelter Reference List'!$E$1:$E$65536,0)))</f>
        <v>Gejiu Non-Ferrous Metal Processing Co., Ltd.</v>
      </c>
      <c r="D423" s="396" t="e">
        <f ca="1">IF(ISERROR('[1]Smelter List'!$S145),"",OFFSET('[1]Smelter Reference List'!$C$4,'[1]Smelter List'!$S145-4,0)&amp;"")</f>
        <v>#VALUE!</v>
      </c>
      <c r="E423" s="396" t="e">
        <f ca="1">IF(ISERROR('[1]Smelter List'!$S145),"",OFFSET('[1]Smelter Reference List'!$D$4,'[1]Smelter List'!$S145-4,0)&amp;"")</f>
        <v>#VALUE!</v>
      </c>
      <c r="F423" s="396" t="e">
        <f ca="1">IF(ISERROR('[1]Smelter List'!$S145),"",OFFSET('[1]Smelter Reference List'!$E$4,'[1]Smelter List'!$S145-4,0))</f>
        <v>#VALUE!</v>
      </c>
      <c r="G423" s="396" t="e">
        <f ca="1">IF(C423='[1]Smelter List'!$U$4,"Enter smelter details", IF(ISERROR('[1]Smelter List'!$S145),"",OFFSET('[1]Smelter Reference List'!$F$4,'[1]Smelter List'!$S145-4,0)))</f>
        <v>#VALUE!</v>
      </c>
      <c r="H423" s="398" t="e">
        <f ca="1">IF(ISERROR('[1]Smelter List'!$S145),"",OFFSET('[1]Smelter Reference List'!$G$4,'[1]Smelter List'!$S145-4,0))</f>
        <v>#VALUE!</v>
      </c>
      <c r="I423" s="399" t="e">
        <f ca="1">IF(ISERROR('[1]Smelter List'!$S145),"",OFFSET('[1]Smelter Reference List'!$H$4,'[1]Smelter List'!$S145-4,0))</f>
        <v>#VALUE!</v>
      </c>
      <c r="J423" s="399" t="e">
        <f ca="1">IF(ISERROR('[1]Smelter List'!$S145),"",OFFSET('[1]Smelter Reference List'!$I$4,'[1]Smelter List'!$S145-4,0))</f>
        <v>#VALUE!</v>
      </c>
      <c r="K423" s="402"/>
      <c r="L423" s="402"/>
      <c r="M423" s="402"/>
      <c r="N423" s="402"/>
      <c r="O423" s="402"/>
      <c r="P423" s="402"/>
      <c r="Q423" s="403"/>
      <c r="R423" s="233"/>
      <c r="S423" s="234" t="e">
        <f>IF(#REF!="",NA(),MATCH(#REF!&amp;#REF!,'Smelter Reference List'!$J:$J,0))</f>
        <v>#REF!</v>
      </c>
      <c r="T423" s="235"/>
      <c r="U423" s="235" t="e">
        <f>IF(AND(#REF!="Smelter not listed",OR(LEN(#REF!)=0,LEN(#REF!)=0)),1,0)</f>
        <v>#REF!</v>
      </c>
      <c r="V423" s="235"/>
      <c r="W423" s="235"/>
      <c r="Y423" s="228" t="e">
        <f>#REF!&amp;#REF!</f>
        <v>#REF!</v>
      </c>
    </row>
    <row r="424" spans="1:25" s="228" customFormat="1" ht="20.25">
      <c r="A424" s="257" t="s">
        <v>1377</v>
      </c>
      <c r="B424" s="396" t="str">
        <f>IF(LEN(A424)=0,"",INDEX('[1]Smelter Reference List'!$A$1:$A$65536,MATCH($A424,'[1]Smelter Reference List'!$E$1:$E$65536,0)))</f>
        <v>Tin</v>
      </c>
      <c r="C424" s="397" t="str">
        <f>IF(LEN(A424)=0,"",INDEX('[1]Smelter Reference List'!$C$1:$C$65536,MATCH($A424,'[1]Smelter Reference List'!$E$1:$E$65536,0)))</f>
        <v>China Tin Group Co., Ltd.</v>
      </c>
      <c r="D424" s="396" t="e">
        <f ca="1">IF(ISERROR('[1]Smelter List'!$S146),"",OFFSET('[1]Smelter Reference List'!$C$4,'[1]Smelter List'!$S146-4,0)&amp;"")</f>
        <v>#VALUE!</v>
      </c>
      <c r="E424" s="396" t="e">
        <f ca="1">IF(ISERROR('[1]Smelter List'!$S146),"",OFFSET('[1]Smelter Reference List'!$D$4,'[1]Smelter List'!$S146-4,0)&amp;"")</f>
        <v>#VALUE!</v>
      </c>
      <c r="F424" s="396" t="e">
        <f ca="1">IF(ISERROR('[1]Smelter List'!$S146),"",OFFSET('[1]Smelter Reference List'!$E$4,'[1]Smelter List'!$S146-4,0))</f>
        <v>#VALUE!</v>
      </c>
      <c r="G424" s="396" t="e">
        <f ca="1">IF(C424='[1]Smelter List'!$U$4,"Enter smelter details", IF(ISERROR('[1]Smelter List'!$S146),"",OFFSET('[1]Smelter Reference List'!$F$4,'[1]Smelter List'!$S146-4,0)))</f>
        <v>#VALUE!</v>
      </c>
      <c r="H424" s="398" t="e">
        <f ca="1">IF(ISERROR('[1]Smelter List'!$S146),"",OFFSET('[1]Smelter Reference List'!$G$4,'[1]Smelter List'!$S146-4,0))</f>
        <v>#VALUE!</v>
      </c>
      <c r="I424" s="399" t="e">
        <f ca="1">IF(ISERROR('[1]Smelter List'!$S146),"",OFFSET('[1]Smelter Reference List'!$H$4,'[1]Smelter List'!$S146-4,0))</f>
        <v>#VALUE!</v>
      </c>
      <c r="J424" s="399" t="e">
        <f ca="1">IF(ISERROR('[1]Smelter List'!$S146),"",OFFSET('[1]Smelter Reference List'!$I$4,'[1]Smelter List'!$S146-4,0))</f>
        <v>#VALUE!</v>
      </c>
      <c r="K424" s="402"/>
      <c r="L424" s="402"/>
      <c r="M424" s="402"/>
      <c r="N424" s="402"/>
      <c r="O424" s="402"/>
      <c r="P424" s="402"/>
      <c r="Q424" s="403"/>
      <c r="R424" s="233"/>
      <c r="S424" s="234" t="e">
        <f>IF(#REF!="",NA(),MATCH(#REF!&amp;#REF!,'Smelter Reference List'!$J:$J,0))</f>
        <v>#REF!</v>
      </c>
      <c r="T424" s="235"/>
      <c r="U424" s="235" t="e">
        <f>IF(AND(#REF!="Smelter not listed",OR(LEN(#REF!)=0,LEN(#REF!)=0)),1,0)</f>
        <v>#REF!</v>
      </c>
      <c r="V424" s="235"/>
      <c r="W424" s="235"/>
      <c r="Y424" s="228" t="e">
        <f>#REF!&amp;#REF!</f>
        <v>#REF!</v>
      </c>
    </row>
    <row r="425" spans="1:25" s="228" customFormat="1" ht="20.25">
      <c r="A425" s="257" t="s">
        <v>1378</v>
      </c>
      <c r="B425" s="396" t="str">
        <f>IF(LEN(A425)=0,"",INDEX('[1]Smelter Reference List'!$A$1:$A$65536,MATCH($A425,'[1]Smelter Reference List'!$E$1:$E$65536,0)))</f>
        <v>Tin</v>
      </c>
      <c r="C425" s="397" t="str">
        <f>IF(LEN(A425)=0,"",INDEX('[1]Smelter Reference List'!$C$1:$C$65536,MATCH($A425,'[1]Smelter Reference List'!$E$1:$E$65536,0)))</f>
        <v>Malaysia Smelting Corporation (MSC)</v>
      </c>
      <c r="D425" s="396" t="e">
        <f ca="1">IF(ISERROR('[1]Smelter List'!$S147),"",OFFSET('[1]Smelter Reference List'!$C$4,'[1]Smelter List'!$S147-4,0)&amp;"")</f>
        <v>#VALUE!</v>
      </c>
      <c r="E425" s="396" t="e">
        <f ca="1">IF(ISERROR('[1]Smelter List'!$S147),"",OFFSET('[1]Smelter Reference List'!$D$4,'[1]Smelter List'!$S147-4,0)&amp;"")</f>
        <v>#VALUE!</v>
      </c>
      <c r="F425" s="396" t="e">
        <f ca="1">IF(ISERROR('[1]Smelter List'!$S147),"",OFFSET('[1]Smelter Reference List'!$E$4,'[1]Smelter List'!$S147-4,0))</f>
        <v>#VALUE!</v>
      </c>
      <c r="G425" s="396" t="e">
        <f ca="1">IF(C425='[1]Smelter List'!$U$4,"Enter smelter details", IF(ISERROR('[1]Smelter List'!$S147),"",OFFSET('[1]Smelter Reference List'!$F$4,'[1]Smelter List'!$S147-4,0)))</f>
        <v>#VALUE!</v>
      </c>
      <c r="H425" s="398" t="e">
        <f ca="1">IF(ISERROR('[1]Smelter List'!$S147),"",OFFSET('[1]Smelter Reference List'!$G$4,'[1]Smelter List'!$S147-4,0))</f>
        <v>#VALUE!</v>
      </c>
      <c r="I425" s="399" t="e">
        <f ca="1">IF(ISERROR('[1]Smelter List'!$S147),"",OFFSET('[1]Smelter Reference List'!$H$4,'[1]Smelter List'!$S147-4,0))</f>
        <v>#VALUE!</v>
      </c>
      <c r="J425" s="399" t="e">
        <f ca="1">IF(ISERROR('[1]Smelter List'!$S147),"",OFFSET('[1]Smelter Reference List'!$I$4,'[1]Smelter List'!$S147-4,0))</f>
        <v>#VALUE!</v>
      </c>
      <c r="K425" s="402"/>
      <c r="L425" s="402"/>
      <c r="M425" s="402"/>
      <c r="N425" s="402"/>
      <c r="O425" s="402"/>
      <c r="P425" s="402"/>
      <c r="Q425" s="403"/>
      <c r="R425" s="233"/>
      <c r="S425" s="234" t="e">
        <f>IF(#REF!="",NA(),MATCH(#REF!&amp;#REF!,'Smelter Reference List'!$J:$J,0))</f>
        <v>#REF!</v>
      </c>
      <c r="T425" s="235"/>
      <c r="U425" s="235" t="e">
        <f>IF(AND(#REF!="Smelter not listed",OR(LEN(#REF!)=0,LEN(#REF!)=0)),1,0)</f>
        <v>#REF!</v>
      </c>
      <c r="V425" s="235"/>
      <c r="W425" s="235"/>
      <c r="Y425" s="228" t="e">
        <f>#REF!&amp;#REF!</f>
        <v>#REF!</v>
      </c>
    </row>
    <row r="426" spans="1:25" s="228" customFormat="1" ht="20.25">
      <c r="A426" s="257" t="s">
        <v>3483</v>
      </c>
      <c r="B426" s="396" t="str">
        <f>IF(LEN(A426)=0,"",INDEX('[1]Smelter Reference List'!$A$1:$A$65536,MATCH($A426,'[1]Smelter Reference List'!$E$1:$E$65536,0)))</f>
        <v>Tin</v>
      </c>
      <c r="C426" s="397" t="str">
        <f>IF(LEN(A426)=0,"",INDEX('[1]Smelter Reference List'!$C$1:$C$65536,MATCH($A426,'[1]Smelter Reference List'!$E$1:$E$65536,0)))</f>
        <v>Metallic Resources, Inc.</v>
      </c>
      <c r="D426" s="396" t="e">
        <f ca="1">IF(ISERROR('[1]Smelter List'!$S148),"",OFFSET('[1]Smelter Reference List'!$C$4,'[1]Smelter List'!$S148-4,0)&amp;"")</f>
        <v>#VALUE!</v>
      </c>
      <c r="E426" s="396" t="e">
        <f ca="1">IF(ISERROR('[1]Smelter List'!$S148),"",OFFSET('[1]Smelter Reference List'!$D$4,'[1]Smelter List'!$S148-4,0)&amp;"")</f>
        <v>#VALUE!</v>
      </c>
      <c r="F426" s="396" t="e">
        <f ca="1">IF(ISERROR('[1]Smelter List'!$S148),"",OFFSET('[1]Smelter Reference List'!$E$4,'[1]Smelter List'!$S148-4,0))</f>
        <v>#VALUE!</v>
      </c>
      <c r="G426" s="396" t="e">
        <f ca="1">IF(C426='[1]Smelter List'!$U$4,"Enter smelter details", IF(ISERROR('[1]Smelter List'!$S148),"",OFFSET('[1]Smelter Reference List'!$F$4,'[1]Smelter List'!$S148-4,0)))</f>
        <v>#VALUE!</v>
      </c>
      <c r="H426" s="398" t="e">
        <f ca="1">IF(ISERROR('[1]Smelter List'!$S148),"",OFFSET('[1]Smelter Reference List'!$G$4,'[1]Smelter List'!$S148-4,0))</f>
        <v>#VALUE!</v>
      </c>
      <c r="I426" s="399" t="e">
        <f ca="1">IF(ISERROR('[1]Smelter List'!$S148),"",OFFSET('[1]Smelter Reference List'!$H$4,'[1]Smelter List'!$S148-4,0))</f>
        <v>#VALUE!</v>
      </c>
      <c r="J426" s="399" t="e">
        <f ca="1">IF(ISERROR('[1]Smelter List'!$S148),"",OFFSET('[1]Smelter Reference List'!$I$4,'[1]Smelter List'!$S148-4,0))</f>
        <v>#VALUE!</v>
      </c>
      <c r="K426" s="402"/>
      <c r="L426" s="402"/>
      <c r="M426" s="402"/>
      <c r="N426" s="402"/>
      <c r="O426" s="402"/>
      <c r="P426" s="402"/>
      <c r="Q426" s="403"/>
      <c r="R426" s="233"/>
      <c r="S426" s="234" t="e">
        <f>IF(#REF!="",NA(),MATCH(#REF!&amp;#REF!,'Smelter Reference List'!$J:$J,0))</f>
        <v>#REF!</v>
      </c>
      <c r="T426" s="235"/>
      <c r="U426" s="235" t="e">
        <f>IF(AND(#REF!="Smelter not listed",OR(LEN(#REF!)=0,LEN(#REF!)=0)),1,0)</f>
        <v>#REF!</v>
      </c>
      <c r="V426" s="235"/>
      <c r="W426" s="235"/>
      <c r="Y426" s="228" t="e">
        <f>#REF!&amp;#REF!</f>
        <v>#REF!</v>
      </c>
    </row>
    <row r="427" spans="1:25" s="228" customFormat="1" ht="20.25">
      <c r="A427" s="257" t="s">
        <v>1379</v>
      </c>
      <c r="B427" s="396" t="str">
        <f>IF(LEN(A427)=0,"",INDEX('[1]Smelter Reference List'!$A$1:$A$65536,MATCH($A427,'[1]Smelter Reference List'!$E$1:$E$65536,0)))</f>
        <v>Tin</v>
      </c>
      <c r="C427" s="397" t="str">
        <f>IF(LEN(A427)=0,"",INDEX('[1]Smelter Reference List'!$C$1:$C$65536,MATCH($A427,'[1]Smelter Reference List'!$E$1:$E$65536,0)))</f>
        <v>Mineração Taboca S.A.</v>
      </c>
      <c r="D427" s="396" t="e">
        <f ca="1">IF(ISERROR('[1]Smelter List'!$S149),"",OFFSET('[1]Smelter Reference List'!$C$4,'[1]Smelter List'!$S149-4,0)&amp;"")</f>
        <v>#VALUE!</v>
      </c>
      <c r="E427" s="396" t="e">
        <f ca="1">IF(ISERROR('[1]Smelter List'!$S149),"",OFFSET('[1]Smelter Reference List'!$D$4,'[1]Smelter List'!$S149-4,0)&amp;"")</f>
        <v>#VALUE!</v>
      </c>
      <c r="F427" s="396" t="e">
        <f ca="1">IF(ISERROR('[1]Smelter List'!$S149),"",OFFSET('[1]Smelter Reference List'!$E$4,'[1]Smelter List'!$S149-4,0))</f>
        <v>#VALUE!</v>
      </c>
      <c r="G427" s="396" t="e">
        <f ca="1">IF(C427='[1]Smelter List'!$U$4,"Enter smelter details", IF(ISERROR('[1]Smelter List'!$S149),"",OFFSET('[1]Smelter Reference List'!$F$4,'[1]Smelter List'!$S149-4,0)))</f>
        <v>#VALUE!</v>
      </c>
      <c r="H427" s="398" t="e">
        <f ca="1">IF(ISERROR('[1]Smelter List'!$S149),"",OFFSET('[1]Smelter Reference List'!$G$4,'[1]Smelter List'!$S149-4,0))</f>
        <v>#VALUE!</v>
      </c>
      <c r="I427" s="399" t="e">
        <f ca="1">IF(ISERROR('[1]Smelter List'!$S149),"",OFFSET('[1]Smelter Reference List'!$H$4,'[1]Smelter List'!$S149-4,0))</f>
        <v>#VALUE!</v>
      </c>
      <c r="J427" s="399" t="e">
        <f ca="1">IF(ISERROR('[1]Smelter List'!$S149),"",OFFSET('[1]Smelter Reference List'!$I$4,'[1]Smelter List'!$S149-4,0))</f>
        <v>#VALUE!</v>
      </c>
      <c r="K427" s="402"/>
      <c r="L427" s="402"/>
      <c r="M427" s="402"/>
      <c r="N427" s="402"/>
      <c r="O427" s="402"/>
      <c r="P427" s="402"/>
      <c r="Q427" s="403"/>
      <c r="R427" s="233"/>
      <c r="S427" s="234" t="e">
        <f>IF(#REF!="",NA(),MATCH(#REF!&amp;#REF!,'Smelter Reference List'!$J:$J,0))</f>
        <v>#REF!</v>
      </c>
      <c r="T427" s="235"/>
      <c r="U427" s="235" t="e">
        <f>IF(AND(#REF!="Smelter not listed",OR(LEN(#REF!)=0,LEN(#REF!)=0)),1,0)</f>
        <v>#REF!</v>
      </c>
      <c r="V427" s="235"/>
      <c r="W427" s="235"/>
      <c r="Y427" s="228" t="e">
        <f>#REF!&amp;#REF!</f>
        <v>#REF!</v>
      </c>
    </row>
    <row r="428" spans="1:25" s="228" customFormat="1" ht="20.25">
      <c r="A428" s="257" t="s">
        <v>1380</v>
      </c>
      <c r="B428" s="396" t="str">
        <f>IF(LEN(A428)=0,"",INDEX('[1]Smelter Reference List'!$A$1:$A$65536,MATCH($A428,'[1]Smelter Reference List'!$E$1:$E$65536,0)))</f>
        <v>Tin</v>
      </c>
      <c r="C428" s="397" t="str">
        <f>IF(LEN(A428)=0,"",INDEX('[1]Smelter Reference List'!$C$1:$C$65536,MATCH($A428,'[1]Smelter Reference List'!$E$1:$E$65536,0)))</f>
        <v>Minsur</v>
      </c>
      <c r="D428" s="396" t="e">
        <f ca="1">IF(ISERROR('[1]Smelter List'!$S150),"",OFFSET('[1]Smelter Reference List'!$C$4,'[1]Smelter List'!$S150-4,0)&amp;"")</f>
        <v>#VALUE!</v>
      </c>
      <c r="E428" s="396" t="e">
        <f ca="1">IF(ISERROR('[1]Smelter List'!$S150),"",OFFSET('[1]Smelter Reference List'!$D$4,'[1]Smelter List'!$S150-4,0)&amp;"")</f>
        <v>#VALUE!</v>
      </c>
      <c r="F428" s="396" t="e">
        <f ca="1">IF(ISERROR('[1]Smelter List'!$S150),"",OFFSET('[1]Smelter Reference List'!$E$4,'[1]Smelter List'!$S150-4,0))</f>
        <v>#VALUE!</v>
      </c>
      <c r="G428" s="396" t="e">
        <f ca="1">IF(C428='[1]Smelter List'!$U$4,"Enter smelter details", IF(ISERROR('[1]Smelter List'!$S150),"",OFFSET('[1]Smelter Reference List'!$F$4,'[1]Smelter List'!$S150-4,0)))</f>
        <v>#VALUE!</v>
      </c>
      <c r="H428" s="398" t="e">
        <f ca="1">IF(ISERROR('[1]Smelter List'!$S150),"",OFFSET('[1]Smelter Reference List'!$G$4,'[1]Smelter List'!$S150-4,0))</f>
        <v>#VALUE!</v>
      </c>
      <c r="I428" s="399" t="e">
        <f ca="1">IF(ISERROR('[1]Smelter List'!$S150),"",OFFSET('[1]Smelter Reference List'!$H$4,'[1]Smelter List'!$S150-4,0))</f>
        <v>#VALUE!</v>
      </c>
      <c r="J428" s="399" t="e">
        <f ca="1">IF(ISERROR('[1]Smelter List'!$S150),"",OFFSET('[1]Smelter Reference List'!$I$4,'[1]Smelter List'!$S150-4,0))</f>
        <v>#VALUE!</v>
      </c>
      <c r="K428" s="402"/>
      <c r="L428" s="402"/>
      <c r="M428" s="402"/>
      <c r="N428" s="402"/>
      <c r="O428" s="402"/>
      <c r="P428" s="402"/>
      <c r="Q428" s="403"/>
      <c r="R428" s="233"/>
      <c r="S428" s="234" t="e">
        <f>IF(#REF!="",NA(),MATCH(#REF!&amp;#REF!,'Smelter Reference List'!$J:$J,0))</f>
        <v>#REF!</v>
      </c>
      <c r="T428" s="235"/>
      <c r="U428" s="235" t="e">
        <f>IF(AND(#REF!="Smelter not listed",OR(LEN(#REF!)=0,LEN(#REF!)=0)),1,0)</f>
        <v>#REF!</v>
      </c>
      <c r="V428" s="235"/>
      <c r="W428" s="235"/>
      <c r="Y428" s="228" t="e">
        <f>#REF!&amp;#REF!</f>
        <v>#REF!</v>
      </c>
    </row>
    <row r="429" spans="1:25" s="228" customFormat="1" ht="20.25">
      <c r="A429" s="257" t="s">
        <v>1381</v>
      </c>
      <c r="B429" s="396" t="str">
        <f>IF(LEN(A429)=0,"",INDEX('[1]Smelter Reference List'!$A$1:$A$65536,MATCH($A429,'[1]Smelter Reference List'!$E$1:$E$65536,0)))</f>
        <v>Tin</v>
      </c>
      <c r="C429" s="397" t="str">
        <f>IF(LEN(A429)=0,"",INDEX('[1]Smelter Reference List'!$C$1:$C$65536,MATCH($A429,'[1]Smelter Reference List'!$E$1:$E$65536,0)))</f>
        <v>Mitsubishi Materials Corporation</v>
      </c>
      <c r="D429" s="396" t="e">
        <f ca="1">IF(ISERROR('[1]Smelter List'!$S151),"",OFFSET('[1]Smelter Reference List'!$C$4,'[1]Smelter List'!$S151-4,0)&amp;"")</f>
        <v>#VALUE!</v>
      </c>
      <c r="E429" s="396" t="e">
        <f ca="1">IF(ISERROR('[1]Smelter List'!$S151),"",OFFSET('[1]Smelter Reference List'!$D$4,'[1]Smelter List'!$S151-4,0)&amp;"")</f>
        <v>#VALUE!</v>
      </c>
      <c r="F429" s="396" t="e">
        <f ca="1">IF(ISERROR('[1]Smelter List'!$S151),"",OFFSET('[1]Smelter Reference List'!$E$4,'[1]Smelter List'!$S151-4,0))</f>
        <v>#VALUE!</v>
      </c>
      <c r="G429" s="396" t="e">
        <f ca="1">IF(C429='[1]Smelter List'!$U$4,"Enter smelter details", IF(ISERROR('[1]Smelter List'!$S151),"",OFFSET('[1]Smelter Reference List'!$F$4,'[1]Smelter List'!$S151-4,0)))</f>
        <v>#VALUE!</v>
      </c>
      <c r="H429" s="398" t="e">
        <f ca="1">IF(ISERROR('[1]Smelter List'!$S151),"",OFFSET('[1]Smelter Reference List'!$G$4,'[1]Smelter List'!$S151-4,0))</f>
        <v>#VALUE!</v>
      </c>
      <c r="I429" s="399" t="e">
        <f ca="1">IF(ISERROR('[1]Smelter List'!$S151),"",OFFSET('[1]Smelter Reference List'!$H$4,'[1]Smelter List'!$S151-4,0))</f>
        <v>#VALUE!</v>
      </c>
      <c r="J429" s="399" t="e">
        <f ca="1">IF(ISERROR('[1]Smelter List'!$S151),"",OFFSET('[1]Smelter Reference List'!$I$4,'[1]Smelter List'!$S151-4,0))</f>
        <v>#VALUE!</v>
      </c>
      <c r="K429" s="402"/>
      <c r="L429" s="402"/>
      <c r="M429" s="402"/>
      <c r="N429" s="402"/>
      <c r="O429" s="402"/>
      <c r="P429" s="402"/>
      <c r="Q429" s="403"/>
      <c r="R429" s="233"/>
      <c r="S429" s="234" t="e">
        <f>IF(#REF!="",NA(),MATCH(#REF!&amp;#REF!,'Smelter Reference List'!$J:$J,0))</f>
        <v>#REF!</v>
      </c>
      <c r="T429" s="235"/>
      <c r="U429" s="235" t="e">
        <f>IF(AND(#REF!="Smelter not listed",OR(LEN(#REF!)=0,LEN(#REF!)=0)),1,0)</f>
        <v>#REF!</v>
      </c>
      <c r="V429" s="235"/>
      <c r="W429" s="235"/>
      <c r="Y429" s="228" t="e">
        <f>#REF!&amp;#REF!</f>
        <v>#REF!</v>
      </c>
    </row>
    <row r="430" spans="1:25" s="228" customFormat="1" ht="20.25">
      <c r="A430" s="257" t="s">
        <v>1383</v>
      </c>
      <c r="B430" s="396" t="str">
        <f>IF(LEN(A430)=0,"",INDEX('[1]Smelter Reference List'!$A$1:$A$65536,MATCH($A430,'[1]Smelter Reference List'!$E$1:$E$65536,0)))</f>
        <v>Tin</v>
      </c>
      <c r="C430" s="397" t="str">
        <f>IF(LEN(A430)=0,"",INDEX('[1]Smelter Reference List'!$C$1:$C$65536,MATCH($A430,'[1]Smelter Reference List'!$E$1:$E$65536,0)))</f>
        <v>O.M. Manufacturing (Thailand) Co., Ltd.</v>
      </c>
      <c r="D430" s="396" t="e">
        <f ca="1">IF(ISERROR('[1]Smelter List'!$S152),"",OFFSET('[1]Smelter Reference List'!$C$4,'[1]Smelter List'!$S152-4,0)&amp;"")</f>
        <v>#VALUE!</v>
      </c>
      <c r="E430" s="396" t="e">
        <f ca="1">IF(ISERROR('[1]Smelter List'!$S152),"",OFFSET('[1]Smelter Reference List'!$D$4,'[1]Smelter List'!$S152-4,0)&amp;"")</f>
        <v>#VALUE!</v>
      </c>
      <c r="F430" s="396" t="e">
        <f ca="1">IF(ISERROR('[1]Smelter List'!$S152),"",OFFSET('[1]Smelter Reference List'!$E$4,'[1]Smelter List'!$S152-4,0))</f>
        <v>#VALUE!</v>
      </c>
      <c r="G430" s="396" t="e">
        <f ca="1">IF(C430='[1]Smelter List'!$U$4,"Enter smelter details", IF(ISERROR('[1]Smelter List'!$S152),"",OFFSET('[1]Smelter Reference List'!$F$4,'[1]Smelter List'!$S152-4,0)))</f>
        <v>#VALUE!</v>
      </c>
      <c r="H430" s="398" t="e">
        <f ca="1">IF(ISERROR('[1]Smelter List'!$S152),"",OFFSET('[1]Smelter Reference List'!$G$4,'[1]Smelter List'!$S152-4,0))</f>
        <v>#VALUE!</v>
      </c>
      <c r="I430" s="399" t="e">
        <f ca="1">IF(ISERROR('[1]Smelter List'!$S152),"",OFFSET('[1]Smelter Reference List'!$H$4,'[1]Smelter List'!$S152-4,0))</f>
        <v>#VALUE!</v>
      </c>
      <c r="J430" s="399" t="e">
        <f ca="1">IF(ISERROR('[1]Smelter List'!$S152),"",OFFSET('[1]Smelter Reference List'!$I$4,'[1]Smelter List'!$S152-4,0))</f>
        <v>#VALUE!</v>
      </c>
      <c r="K430" s="402"/>
      <c r="L430" s="402"/>
      <c r="M430" s="402"/>
      <c r="N430" s="402"/>
      <c r="O430" s="402"/>
      <c r="P430" s="402"/>
      <c r="Q430" s="403"/>
      <c r="R430" s="233"/>
      <c r="S430" s="234" t="e">
        <f>IF(#REF!="",NA(),MATCH(#REF!&amp;#REF!,'Smelter Reference List'!$J:$J,0))</f>
        <v>#REF!</v>
      </c>
      <c r="T430" s="235"/>
      <c r="U430" s="235" t="e">
        <f>IF(AND(#REF!="Smelter not listed",OR(LEN(#REF!)=0,LEN(#REF!)=0)),1,0)</f>
        <v>#REF!</v>
      </c>
      <c r="V430" s="235"/>
      <c r="W430" s="235"/>
      <c r="Y430" s="228" t="e">
        <f>#REF!&amp;#REF!</f>
        <v>#REF!</v>
      </c>
    </row>
    <row r="431" spans="1:25" s="228" customFormat="1" ht="25.5">
      <c r="A431" s="257" t="s">
        <v>1384</v>
      </c>
      <c r="B431" s="396" t="str">
        <f>IF(LEN(A431)=0,"",INDEX('[1]Smelter Reference List'!$A$1:$A$65536,MATCH($A431,'[1]Smelter Reference List'!$E$1:$E$65536,0)))</f>
        <v>Tin</v>
      </c>
      <c r="C431" s="397" t="str">
        <f>IF(LEN(A431)=0,"",INDEX('[1]Smelter Reference List'!$C$1:$C$65536,MATCH($A431,'[1]Smelter Reference List'!$E$1:$E$65536,0)))</f>
        <v>Operaciones Metalurgical S.A.</v>
      </c>
      <c r="D431" s="396" t="e">
        <f ca="1">IF(ISERROR('[1]Smelter List'!$S153),"",OFFSET('[1]Smelter Reference List'!$C$4,'[1]Smelter List'!$S153-4,0)&amp;"")</f>
        <v>#VALUE!</v>
      </c>
      <c r="E431" s="396" t="e">
        <f ca="1">IF(ISERROR('[1]Smelter List'!$S153),"",OFFSET('[1]Smelter Reference List'!$D$4,'[1]Smelter List'!$S153-4,0)&amp;"")</f>
        <v>#VALUE!</v>
      </c>
      <c r="F431" s="396" t="e">
        <f ca="1">IF(ISERROR('[1]Smelter List'!$S153),"",OFFSET('[1]Smelter Reference List'!$E$4,'[1]Smelter List'!$S153-4,0))</f>
        <v>#VALUE!</v>
      </c>
      <c r="G431" s="396" t="e">
        <f ca="1">IF(C431='[1]Smelter List'!$U$4,"Enter smelter details", IF(ISERROR('[1]Smelter List'!$S153),"",OFFSET('[1]Smelter Reference List'!$F$4,'[1]Smelter List'!$S153-4,0)))</f>
        <v>#VALUE!</v>
      </c>
      <c r="H431" s="398" t="e">
        <f ca="1">IF(ISERROR('[1]Smelter List'!$S153),"",OFFSET('[1]Smelter Reference List'!$G$4,'[1]Smelter List'!$S153-4,0))</f>
        <v>#VALUE!</v>
      </c>
      <c r="I431" s="399" t="e">
        <f ca="1">IF(ISERROR('[1]Smelter List'!$S153),"",OFFSET('[1]Smelter Reference List'!$H$4,'[1]Smelter List'!$S153-4,0))</f>
        <v>#VALUE!</v>
      </c>
      <c r="J431" s="399" t="e">
        <f ca="1">IF(ISERROR('[1]Smelter List'!$S153),"",OFFSET('[1]Smelter Reference List'!$I$4,'[1]Smelter List'!$S153-4,0))</f>
        <v>#VALUE!</v>
      </c>
      <c r="K431" s="402"/>
      <c r="L431" s="402"/>
      <c r="M431" s="402"/>
      <c r="N431" s="402"/>
      <c r="O431" s="402"/>
      <c r="P431" s="402"/>
      <c r="Q431" s="403"/>
      <c r="R431" s="233"/>
      <c r="S431" s="234" t="e">
        <f>IF(#REF!="",NA(),MATCH(#REF!&amp;#REF!,'Smelter Reference List'!$J:$J,0))</f>
        <v>#REF!</v>
      </c>
      <c r="T431" s="235"/>
      <c r="U431" s="235" t="e">
        <f>IF(AND(#REF!="Smelter not listed",OR(LEN(#REF!)=0,LEN(#REF!)=0)),1,0)</f>
        <v>#REF!</v>
      </c>
      <c r="V431" s="235"/>
      <c r="W431" s="235"/>
      <c r="Y431" s="228" t="e">
        <f>#REF!&amp;#REF!</f>
        <v>#REF!</v>
      </c>
    </row>
    <row r="432" spans="1:25" s="228" customFormat="1" ht="20.25">
      <c r="A432" s="257" t="s">
        <v>1385</v>
      </c>
      <c r="B432" s="396" t="str">
        <f>IF(LEN(A432)=0,"",INDEX('[1]Smelter Reference List'!$A$1:$A$65536,MATCH($A432,'[1]Smelter Reference List'!$E$1:$E$65536,0)))</f>
        <v>Tin</v>
      </c>
      <c r="C432" s="397" t="str">
        <f>IF(LEN(A432)=0,"",INDEX('[1]Smelter Reference List'!$C$1:$C$65536,MATCH($A432,'[1]Smelter Reference List'!$E$1:$E$65536,0)))</f>
        <v>PT Artha Cipta Langgeng</v>
      </c>
      <c r="D432" s="396" t="e">
        <f ca="1">IF(ISERROR('[1]Smelter List'!$S154),"",OFFSET('[1]Smelter Reference List'!$C$4,'[1]Smelter List'!$S154-4,0)&amp;"")</f>
        <v>#VALUE!</v>
      </c>
      <c r="E432" s="396" t="e">
        <f ca="1">IF(ISERROR('[1]Smelter List'!$S154),"",OFFSET('[1]Smelter Reference List'!$D$4,'[1]Smelter List'!$S154-4,0)&amp;"")</f>
        <v>#VALUE!</v>
      </c>
      <c r="F432" s="396" t="e">
        <f ca="1">IF(ISERROR('[1]Smelter List'!$S154),"",OFFSET('[1]Smelter Reference List'!$E$4,'[1]Smelter List'!$S154-4,0))</f>
        <v>#VALUE!</v>
      </c>
      <c r="G432" s="396" t="e">
        <f ca="1">IF(C432='[1]Smelter List'!$U$4,"Enter smelter details", IF(ISERROR('[1]Smelter List'!$S154),"",OFFSET('[1]Smelter Reference List'!$F$4,'[1]Smelter List'!$S154-4,0)))</f>
        <v>#VALUE!</v>
      </c>
      <c r="H432" s="398" t="e">
        <f ca="1">IF(ISERROR('[1]Smelter List'!$S154),"",OFFSET('[1]Smelter Reference List'!$G$4,'[1]Smelter List'!$S154-4,0))</f>
        <v>#VALUE!</v>
      </c>
      <c r="I432" s="399" t="e">
        <f ca="1">IF(ISERROR('[1]Smelter List'!$S154),"",OFFSET('[1]Smelter Reference List'!$H$4,'[1]Smelter List'!$S154-4,0))</f>
        <v>#VALUE!</v>
      </c>
      <c r="J432" s="399" t="e">
        <f ca="1">IF(ISERROR('[1]Smelter List'!$S154),"",OFFSET('[1]Smelter Reference List'!$I$4,'[1]Smelter List'!$S154-4,0))</f>
        <v>#VALUE!</v>
      </c>
      <c r="K432" s="402"/>
      <c r="L432" s="402"/>
      <c r="M432" s="402"/>
      <c r="N432" s="402"/>
      <c r="O432" s="402"/>
      <c r="P432" s="402"/>
      <c r="Q432" s="403"/>
      <c r="R432" s="233"/>
      <c r="S432" s="234" t="e">
        <f>IF(#REF!="",NA(),MATCH(#REF!&amp;#REF!,'Smelter Reference List'!$J:$J,0))</f>
        <v>#REF!</v>
      </c>
      <c r="T432" s="235"/>
      <c r="U432" s="235" t="e">
        <f>IF(AND(#REF!="Smelter not listed",OR(LEN(#REF!)=0,LEN(#REF!)=0)),1,0)</f>
        <v>#REF!</v>
      </c>
      <c r="V432" s="235"/>
      <c r="W432" s="235"/>
      <c r="Y432" s="228" t="e">
        <f>#REF!&amp;#REF!</f>
        <v>#REF!</v>
      </c>
    </row>
    <row r="433" spans="1:25" s="228" customFormat="1" ht="20.25">
      <c r="A433" s="257" t="s">
        <v>1386</v>
      </c>
      <c r="B433" s="396" t="str">
        <f>IF(LEN(A433)=0,"",INDEX('[1]Smelter Reference List'!$A$1:$A$65536,MATCH($A433,'[1]Smelter Reference List'!$E$1:$E$65536,0)))</f>
        <v>Tin</v>
      </c>
      <c r="C433" s="397" t="str">
        <f>IF(LEN(A433)=0,"",INDEX('[1]Smelter Reference List'!$C$1:$C$65536,MATCH($A433,'[1]Smelter Reference List'!$E$1:$E$65536,0)))</f>
        <v>PT Babel Inti Perkasa</v>
      </c>
      <c r="D433" s="396" t="e">
        <f ca="1">IF(ISERROR('[1]Smelter List'!$S155),"",OFFSET('[1]Smelter Reference List'!$C$4,'[1]Smelter List'!$S155-4,0)&amp;"")</f>
        <v>#VALUE!</v>
      </c>
      <c r="E433" s="396" t="e">
        <f ca="1">IF(ISERROR('[1]Smelter List'!$S155),"",OFFSET('[1]Smelter Reference List'!$D$4,'[1]Smelter List'!$S155-4,0)&amp;"")</f>
        <v>#VALUE!</v>
      </c>
      <c r="F433" s="396" t="e">
        <f ca="1">IF(ISERROR('[1]Smelter List'!$S155),"",OFFSET('[1]Smelter Reference List'!$E$4,'[1]Smelter List'!$S155-4,0))</f>
        <v>#VALUE!</v>
      </c>
      <c r="G433" s="396" t="e">
        <f ca="1">IF(C433='[1]Smelter List'!$U$4,"Enter smelter details", IF(ISERROR('[1]Smelter List'!$S155),"",OFFSET('[1]Smelter Reference List'!$F$4,'[1]Smelter List'!$S155-4,0)))</f>
        <v>#VALUE!</v>
      </c>
      <c r="H433" s="398" t="e">
        <f ca="1">IF(ISERROR('[1]Smelter List'!$S155),"",OFFSET('[1]Smelter Reference List'!$G$4,'[1]Smelter List'!$S155-4,0))</f>
        <v>#VALUE!</v>
      </c>
      <c r="I433" s="399" t="e">
        <f ca="1">IF(ISERROR('[1]Smelter List'!$S155),"",OFFSET('[1]Smelter Reference List'!$H$4,'[1]Smelter List'!$S155-4,0))</f>
        <v>#VALUE!</v>
      </c>
      <c r="J433" s="399" t="e">
        <f ca="1">IF(ISERROR('[1]Smelter List'!$S155),"",OFFSET('[1]Smelter Reference List'!$I$4,'[1]Smelter List'!$S155-4,0))</f>
        <v>#VALUE!</v>
      </c>
      <c r="K433" s="402"/>
      <c r="L433" s="402"/>
      <c r="M433" s="402"/>
      <c r="N433" s="402"/>
      <c r="O433" s="402"/>
      <c r="P433" s="402"/>
      <c r="Q433" s="403"/>
      <c r="R433" s="233"/>
      <c r="S433" s="234" t="e">
        <f>IF(#REF!="",NA(),MATCH(#REF!&amp;#REF!,'Smelter Reference List'!$J:$J,0))</f>
        <v>#REF!</v>
      </c>
      <c r="T433" s="235"/>
      <c r="U433" s="235" t="e">
        <f>IF(AND(#REF!="Smelter not listed",OR(LEN(#REF!)=0,LEN(#REF!)=0)),1,0)</f>
        <v>#REF!</v>
      </c>
      <c r="V433" s="235"/>
      <c r="W433" s="235"/>
      <c r="Y433" s="228" t="e">
        <f>#REF!&amp;#REF!</f>
        <v>#REF!</v>
      </c>
    </row>
    <row r="434" spans="1:25" s="228" customFormat="1" ht="20.25">
      <c r="A434" s="257" t="s">
        <v>1387</v>
      </c>
      <c r="B434" s="396" t="str">
        <f>IF(LEN(A434)=0,"",INDEX('[1]Smelter Reference List'!$A$1:$A$65536,MATCH($A434,'[1]Smelter Reference List'!$E$1:$E$65536,0)))</f>
        <v>Tin</v>
      </c>
      <c r="C434" s="397" t="str">
        <f>IF(LEN(A434)=0,"",INDEX('[1]Smelter Reference List'!$C$1:$C$65536,MATCH($A434,'[1]Smelter Reference List'!$E$1:$E$65536,0)))</f>
        <v>PT Bangka Tin Industry</v>
      </c>
      <c r="D434" s="396" t="e">
        <f ca="1">IF(ISERROR('[1]Smelter List'!$S156),"",OFFSET('[1]Smelter Reference List'!$C$4,'[1]Smelter List'!$S156-4,0)&amp;"")</f>
        <v>#VALUE!</v>
      </c>
      <c r="E434" s="396" t="e">
        <f ca="1">IF(ISERROR('[1]Smelter List'!$S156),"",OFFSET('[1]Smelter Reference List'!$D$4,'[1]Smelter List'!$S156-4,0)&amp;"")</f>
        <v>#VALUE!</v>
      </c>
      <c r="F434" s="396" t="e">
        <f ca="1">IF(ISERROR('[1]Smelter List'!$S156),"",OFFSET('[1]Smelter Reference List'!$E$4,'[1]Smelter List'!$S156-4,0))</f>
        <v>#VALUE!</v>
      </c>
      <c r="G434" s="396" t="e">
        <f ca="1">IF(C434='[1]Smelter List'!$U$4,"Enter smelter details", IF(ISERROR('[1]Smelter List'!$S156),"",OFFSET('[1]Smelter Reference List'!$F$4,'[1]Smelter List'!$S156-4,0)))</f>
        <v>#VALUE!</v>
      </c>
      <c r="H434" s="398" t="e">
        <f ca="1">IF(ISERROR('[1]Smelter List'!$S156),"",OFFSET('[1]Smelter Reference List'!$G$4,'[1]Smelter List'!$S156-4,0))</f>
        <v>#VALUE!</v>
      </c>
      <c r="I434" s="399" t="e">
        <f ca="1">IF(ISERROR('[1]Smelter List'!$S156),"",OFFSET('[1]Smelter Reference List'!$H$4,'[1]Smelter List'!$S156-4,0))</f>
        <v>#VALUE!</v>
      </c>
      <c r="J434" s="399" t="e">
        <f ca="1">IF(ISERROR('[1]Smelter List'!$S156),"",OFFSET('[1]Smelter Reference List'!$I$4,'[1]Smelter List'!$S156-4,0))</f>
        <v>#VALUE!</v>
      </c>
      <c r="K434" s="402"/>
      <c r="L434" s="402"/>
      <c r="M434" s="402"/>
      <c r="N434" s="402"/>
      <c r="O434" s="402"/>
      <c r="P434" s="402"/>
      <c r="Q434" s="403"/>
      <c r="R434" s="233"/>
      <c r="S434" s="234" t="e">
        <f>IF(#REF!="",NA(),MATCH(#REF!&amp;#REF!,'Smelter Reference List'!$J:$J,0))</f>
        <v>#REF!</v>
      </c>
      <c r="T434" s="235"/>
      <c r="U434" s="235" t="e">
        <f>IF(AND(#REF!="Smelter not listed",OR(LEN(#REF!)=0,LEN(#REF!)=0)),1,0)</f>
        <v>#REF!</v>
      </c>
      <c r="V434" s="235"/>
      <c r="W434" s="235"/>
      <c r="Y434" s="228" t="e">
        <f>#REF!&amp;#REF!</f>
        <v>#REF!</v>
      </c>
    </row>
    <row r="435" spans="1:25" s="228" customFormat="1" ht="20.25">
      <c r="A435" s="257" t="s">
        <v>1388</v>
      </c>
      <c r="B435" s="396" t="str">
        <f>IF(LEN(A435)=0,"",INDEX('[1]Smelter Reference List'!$A$1:$A$65536,MATCH($A435,'[1]Smelter Reference List'!$E$1:$E$65536,0)))</f>
        <v>Tin</v>
      </c>
      <c r="C435" s="397" t="str">
        <f>IF(LEN(A435)=0,"",INDEX('[1]Smelter Reference List'!$C$1:$C$65536,MATCH($A435,'[1]Smelter Reference List'!$E$1:$E$65536,0)))</f>
        <v>PT Belitung Industri Sejahtera</v>
      </c>
      <c r="D435" s="396" t="e">
        <f ca="1">IF(ISERROR('[1]Smelter List'!$S157),"",OFFSET('[1]Smelter Reference List'!$C$4,'[1]Smelter List'!$S157-4,0)&amp;"")</f>
        <v>#VALUE!</v>
      </c>
      <c r="E435" s="396" t="e">
        <f ca="1">IF(ISERROR('[1]Smelter List'!$S157),"",OFFSET('[1]Smelter Reference List'!$D$4,'[1]Smelter List'!$S157-4,0)&amp;"")</f>
        <v>#VALUE!</v>
      </c>
      <c r="F435" s="396" t="e">
        <f ca="1">IF(ISERROR('[1]Smelter List'!$S157),"",OFFSET('[1]Smelter Reference List'!$E$4,'[1]Smelter List'!$S157-4,0))</f>
        <v>#VALUE!</v>
      </c>
      <c r="G435" s="396" t="e">
        <f ca="1">IF(C435='[1]Smelter List'!$U$4,"Enter smelter details", IF(ISERROR('[1]Smelter List'!$S157),"",OFFSET('[1]Smelter Reference List'!$F$4,'[1]Smelter List'!$S157-4,0)))</f>
        <v>#VALUE!</v>
      </c>
      <c r="H435" s="398" t="e">
        <f ca="1">IF(ISERROR('[1]Smelter List'!$S157),"",OFFSET('[1]Smelter Reference List'!$G$4,'[1]Smelter List'!$S157-4,0))</f>
        <v>#VALUE!</v>
      </c>
      <c r="I435" s="399" t="e">
        <f ca="1">IF(ISERROR('[1]Smelter List'!$S157),"",OFFSET('[1]Smelter Reference List'!$H$4,'[1]Smelter List'!$S157-4,0))</f>
        <v>#VALUE!</v>
      </c>
      <c r="J435" s="399" t="e">
        <f ca="1">IF(ISERROR('[1]Smelter List'!$S157),"",OFFSET('[1]Smelter Reference List'!$I$4,'[1]Smelter List'!$S157-4,0))</f>
        <v>#VALUE!</v>
      </c>
      <c r="K435" s="402"/>
      <c r="L435" s="402"/>
      <c r="M435" s="402"/>
      <c r="N435" s="402"/>
      <c r="O435" s="402"/>
      <c r="P435" s="402"/>
      <c r="Q435" s="403"/>
      <c r="R435" s="233"/>
      <c r="S435" s="234" t="e">
        <f>IF(#REF!="",NA(),MATCH(#REF!&amp;#REF!,'Smelter Reference List'!$J:$J,0))</f>
        <v>#REF!</v>
      </c>
      <c r="T435" s="235"/>
      <c r="U435" s="235" t="e">
        <f>IF(AND(#REF!="Smelter not listed",OR(LEN(#REF!)=0,LEN(#REF!)=0)),1,0)</f>
        <v>#REF!</v>
      </c>
      <c r="V435" s="235"/>
      <c r="W435" s="235"/>
      <c r="Y435" s="228" t="e">
        <f>#REF!&amp;#REF!</f>
        <v>#REF!</v>
      </c>
    </row>
    <row r="436" spans="1:25" s="228" customFormat="1" ht="20.25">
      <c r="A436" s="257" t="s">
        <v>1389</v>
      </c>
      <c r="B436" s="396" t="str">
        <f>IF(LEN(A436)=0,"",INDEX('[1]Smelter Reference List'!$A$1:$A$65536,MATCH($A436,'[1]Smelter Reference List'!$E$1:$E$65536,0)))</f>
        <v>Tin</v>
      </c>
      <c r="C436" s="397" t="str">
        <f>IF(LEN(A436)=0,"",INDEX('[1]Smelter Reference List'!$C$1:$C$65536,MATCH($A436,'[1]Smelter Reference List'!$E$1:$E$65536,0)))</f>
        <v>PT Bukit Timah</v>
      </c>
      <c r="D436" s="396" t="e">
        <f ca="1">IF(ISERROR('[1]Smelter List'!$S158),"",OFFSET('[1]Smelter Reference List'!$C$4,'[1]Smelter List'!$S158-4,0)&amp;"")</f>
        <v>#VALUE!</v>
      </c>
      <c r="E436" s="396" t="e">
        <f ca="1">IF(ISERROR('[1]Smelter List'!$S158),"",OFFSET('[1]Smelter Reference List'!$D$4,'[1]Smelter List'!$S158-4,0)&amp;"")</f>
        <v>#VALUE!</v>
      </c>
      <c r="F436" s="396" t="e">
        <f ca="1">IF(ISERROR('[1]Smelter List'!$S158),"",OFFSET('[1]Smelter Reference List'!$E$4,'[1]Smelter List'!$S158-4,0))</f>
        <v>#VALUE!</v>
      </c>
      <c r="G436" s="396" t="e">
        <f ca="1">IF(C436='[1]Smelter List'!$U$4,"Enter smelter details", IF(ISERROR('[1]Smelter List'!$S158),"",OFFSET('[1]Smelter Reference List'!$F$4,'[1]Smelter List'!$S158-4,0)))</f>
        <v>#VALUE!</v>
      </c>
      <c r="H436" s="398" t="e">
        <f ca="1">IF(ISERROR('[1]Smelter List'!$S158),"",OFFSET('[1]Smelter Reference List'!$G$4,'[1]Smelter List'!$S158-4,0))</f>
        <v>#VALUE!</v>
      </c>
      <c r="I436" s="399" t="e">
        <f ca="1">IF(ISERROR('[1]Smelter List'!$S158),"",OFFSET('[1]Smelter Reference List'!$H$4,'[1]Smelter List'!$S158-4,0))</f>
        <v>#VALUE!</v>
      </c>
      <c r="J436" s="399" t="e">
        <f ca="1">IF(ISERROR('[1]Smelter List'!$S158),"",OFFSET('[1]Smelter Reference List'!$I$4,'[1]Smelter List'!$S158-4,0))</f>
        <v>#VALUE!</v>
      </c>
      <c r="K436" s="402"/>
      <c r="L436" s="402"/>
      <c r="M436" s="402"/>
      <c r="N436" s="402"/>
      <c r="O436" s="402"/>
      <c r="P436" s="402"/>
      <c r="Q436" s="403"/>
      <c r="R436" s="233"/>
      <c r="S436" s="234" t="e">
        <f>IF(#REF!="",NA(),MATCH(#REF!&amp;#REF!,'Smelter Reference List'!$J:$J,0))</f>
        <v>#REF!</v>
      </c>
      <c r="T436" s="235"/>
      <c r="U436" s="235" t="e">
        <f>IF(AND(#REF!="Smelter not listed",OR(LEN(#REF!)=0,LEN(#REF!)=0)),1,0)</f>
        <v>#REF!</v>
      </c>
      <c r="V436" s="235"/>
      <c r="W436" s="235"/>
      <c r="Y436" s="228" t="e">
        <f>#REF!&amp;#REF!</f>
        <v>#REF!</v>
      </c>
    </row>
    <row r="437" spans="1:25" s="228" customFormat="1" ht="20.25">
      <c r="A437" s="257" t="s">
        <v>1390</v>
      </c>
      <c r="B437" s="396" t="str">
        <f>IF(LEN(A437)=0,"",INDEX('[1]Smelter Reference List'!$A$1:$A$65536,MATCH($A437,'[1]Smelter Reference List'!$E$1:$E$65536,0)))</f>
        <v>Tin</v>
      </c>
      <c r="C437" s="397" t="str">
        <f>IF(LEN(A437)=0,"",INDEX('[1]Smelter Reference List'!$C$1:$C$65536,MATCH($A437,'[1]Smelter Reference List'!$E$1:$E$65536,0)))</f>
        <v>PT DS Jaya Abadi</v>
      </c>
      <c r="D437" s="396" t="e">
        <f ca="1">IF(ISERROR('[1]Smelter List'!$S159),"",OFFSET('[1]Smelter Reference List'!$C$4,'[1]Smelter List'!$S159-4,0)&amp;"")</f>
        <v>#VALUE!</v>
      </c>
      <c r="E437" s="396" t="e">
        <f ca="1">IF(ISERROR('[1]Smelter List'!$S159),"",OFFSET('[1]Smelter Reference List'!$D$4,'[1]Smelter List'!$S159-4,0)&amp;"")</f>
        <v>#VALUE!</v>
      </c>
      <c r="F437" s="396" t="e">
        <f ca="1">IF(ISERROR('[1]Smelter List'!$S159),"",OFFSET('[1]Smelter Reference List'!$E$4,'[1]Smelter List'!$S159-4,0))</f>
        <v>#VALUE!</v>
      </c>
      <c r="G437" s="396" t="e">
        <f ca="1">IF(C437='[1]Smelter List'!$U$4,"Enter smelter details", IF(ISERROR('[1]Smelter List'!$S159),"",OFFSET('[1]Smelter Reference List'!$F$4,'[1]Smelter List'!$S159-4,0)))</f>
        <v>#VALUE!</v>
      </c>
      <c r="H437" s="398" t="e">
        <f ca="1">IF(ISERROR('[1]Smelter List'!$S159),"",OFFSET('[1]Smelter Reference List'!$G$4,'[1]Smelter List'!$S159-4,0))</f>
        <v>#VALUE!</v>
      </c>
      <c r="I437" s="399" t="e">
        <f ca="1">IF(ISERROR('[1]Smelter List'!$S159),"",OFFSET('[1]Smelter Reference List'!$H$4,'[1]Smelter List'!$S159-4,0))</f>
        <v>#VALUE!</v>
      </c>
      <c r="J437" s="399" t="e">
        <f ca="1">IF(ISERROR('[1]Smelter List'!$S159),"",OFFSET('[1]Smelter Reference List'!$I$4,'[1]Smelter List'!$S159-4,0))</f>
        <v>#VALUE!</v>
      </c>
      <c r="K437" s="402"/>
      <c r="L437" s="402"/>
      <c r="M437" s="402"/>
      <c r="N437" s="402"/>
      <c r="O437" s="402"/>
      <c r="P437" s="402"/>
      <c r="Q437" s="403"/>
      <c r="R437" s="233"/>
      <c r="S437" s="234" t="e">
        <f>IF(#REF!="",NA(),MATCH(#REF!&amp;#REF!,'Smelter Reference List'!$J:$J,0))</f>
        <v>#REF!</v>
      </c>
      <c r="T437" s="235"/>
      <c r="U437" s="235" t="e">
        <f>IF(AND(#REF!="Smelter not listed",OR(LEN(#REF!)=0,LEN(#REF!)=0)),1,0)</f>
        <v>#REF!</v>
      </c>
      <c r="V437" s="235"/>
      <c r="W437" s="235"/>
      <c r="Y437" s="228" t="e">
        <f>#REF!&amp;#REF!</f>
        <v>#REF!</v>
      </c>
    </row>
    <row r="438" spans="1:25" s="228" customFormat="1" ht="20.25">
      <c r="A438" s="257" t="s">
        <v>1391</v>
      </c>
      <c r="B438" s="396" t="str">
        <f>IF(LEN(A438)=0,"",INDEX('[1]Smelter Reference List'!$A$1:$A$65536,MATCH($A438,'[1]Smelter Reference List'!$E$1:$E$65536,0)))</f>
        <v>Tin</v>
      </c>
      <c r="C438" s="397" t="str">
        <f>IF(LEN(A438)=0,"",INDEX('[1]Smelter Reference List'!$C$1:$C$65536,MATCH($A438,'[1]Smelter Reference List'!$E$1:$E$65536,0)))</f>
        <v>PT Eunindo Usaha Mandiri</v>
      </c>
      <c r="D438" s="396" t="e">
        <f ca="1">IF(ISERROR('[1]Smelter List'!$S160),"",OFFSET('[1]Smelter Reference List'!$C$4,'[1]Smelter List'!$S160-4,0)&amp;"")</f>
        <v>#VALUE!</v>
      </c>
      <c r="E438" s="396" t="e">
        <f ca="1">IF(ISERROR('[1]Smelter List'!$S160),"",OFFSET('[1]Smelter Reference List'!$D$4,'[1]Smelter List'!$S160-4,0)&amp;"")</f>
        <v>#VALUE!</v>
      </c>
      <c r="F438" s="396" t="e">
        <f ca="1">IF(ISERROR('[1]Smelter List'!$S160),"",OFFSET('[1]Smelter Reference List'!$E$4,'[1]Smelter List'!$S160-4,0))</f>
        <v>#VALUE!</v>
      </c>
      <c r="G438" s="396" t="e">
        <f ca="1">IF(C438='[1]Smelter List'!$U$4,"Enter smelter details", IF(ISERROR('[1]Smelter List'!$S160),"",OFFSET('[1]Smelter Reference List'!$F$4,'[1]Smelter List'!$S160-4,0)))</f>
        <v>#VALUE!</v>
      </c>
      <c r="H438" s="398" t="e">
        <f ca="1">IF(ISERROR('[1]Smelter List'!$S160),"",OFFSET('[1]Smelter Reference List'!$G$4,'[1]Smelter List'!$S160-4,0))</f>
        <v>#VALUE!</v>
      </c>
      <c r="I438" s="399" t="e">
        <f ca="1">IF(ISERROR('[1]Smelter List'!$S160),"",OFFSET('[1]Smelter Reference List'!$H$4,'[1]Smelter List'!$S160-4,0))</f>
        <v>#VALUE!</v>
      </c>
      <c r="J438" s="399" t="e">
        <f ca="1">IF(ISERROR('[1]Smelter List'!$S160),"",OFFSET('[1]Smelter Reference List'!$I$4,'[1]Smelter List'!$S160-4,0))</f>
        <v>#VALUE!</v>
      </c>
      <c r="K438" s="402"/>
      <c r="L438" s="402"/>
      <c r="M438" s="402"/>
      <c r="N438" s="402"/>
      <c r="O438" s="402"/>
      <c r="P438" s="402"/>
      <c r="Q438" s="403"/>
      <c r="R438" s="233"/>
      <c r="S438" s="234" t="e">
        <f>IF(#REF!="",NA(),MATCH(#REF!&amp;#REF!,'Smelter Reference List'!$J:$J,0))</f>
        <v>#REF!</v>
      </c>
      <c r="T438" s="235"/>
      <c r="U438" s="235" t="e">
        <f>IF(AND(#REF!="Smelter not listed",OR(LEN(#REF!)=0,LEN(#REF!)=0)),1,0)</f>
        <v>#REF!</v>
      </c>
      <c r="V438" s="235"/>
      <c r="W438" s="235"/>
      <c r="Y438" s="228" t="e">
        <f>#REF!&amp;#REF!</f>
        <v>#REF!</v>
      </c>
    </row>
    <row r="439" spans="1:25" s="228" customFormat="1" ht="20.25">
      <c r="A439" s="257" t="s">
        <v>1393</v>
      </c>
      <c r="B439" s="396" t="str">
        <f>IF(LEN(A439)=0,"",INDEX('[1]Smelter Reference List'!$A$1:$A$65536,MATCH($A439,'[1]Smelter Reference List'!$E$1:$E$65536,0)))</f>
        <v>Tin</v>
      </c>
      <c r="C439" s="397" t="str">
        <f>IF(LEN(A439)=0,"",INDEX('[1]Smelter Reference List'!$C$1:$C$65536,MATCH($A439,'[1]Smelter Reference List'!$E$1:$E$65536,0)))</f>
        <v>PT Mitra Stania Prima</v>
      </c>
      <c r="D439" s="396" t="e">
        <f ca="1">IF(ISERROR('[1]Smelter List'!$S161),"",OFFSET('[1]Smelter Reference List'!$C$4,'[1]Smelter List'!$S161-4,0)&amp;"")</f>
        <v>#VALUE!</v>
      </c>
      <c r="E439" s="396" t="e">
        <f ca="1">IF(ISERROR('[1]Smelter List'!$S161),"",OFFSET('[1]Smelter Reference List'!$D$4,'[1]Smelter List'!$S161-4,0)&amp;"")</f>
        <v>#VALUE!</v>
      </c>
      <c r="F439" s="396" t="e">
        <f ca="1">IF(ISERROR('[1]Smelter List'!$S161),"",OFFSET('[1]Smelter Reference List'!$E$4,'[1]Smelter List'!$S161-4,0))</f>
        <v>#VALUE!</v>
      </c>
      <c r="G439" s="396" t="e">
        <f ca="1">IF(C439='[1]Smelter List'!$U$4,"Enter smelter details", IF(ISERROR('[1]Smelter List'!$S161),"",OFFSET('[1]Smelter Reference List'!$F$4,'[1]Smelter List'!$S161-4,0)))</f>
        <v>#VALUE!</v>
      </c>
      <c r="H439" s="398" t="e">
        <f ca="1">IF(ISERROR('[1]Smelter List'!$S161),"",OFFSET('[1]Smelter Reference List'!$G$4,'[1]Smelter List'!$S161-4,0))</f>
        <v>#VALUE!</v>
      </c>
      <c r="I439" s="399" t="e">
        <f ca="1">IF(ISERROR('[1]Smelter List'!$S161),"",OFFSET('[1]Smelter Reference List'!$H$4,'[1]Smelter List'!$S161-4,0))</f>
        <v>#VALUE!</v>
      </c>
      <c r="J439" s="399" t="e">
        <f ca="1">IF(ISERROR('[1]Smelter List'!$S161),"",OFFSET('[1]Smelter Reference List'!$I$4,'[1]Smelter List'!$S161-4,0))</f>
        <v>#VALUE!</v>
      </c>
      <c r="K439" s="402"/>
      <c r="L439" s="402"/>
      <c r="M439" s="402"/>
      <c r="N439" s="402"/>
      <c r="O439" s="402"/>
      <c r="P439" s="402"/>
      <c r="Q439" s="403"/>
      <c r="R439" s="233"/>
      <c r="S439" s="234" t="e">
        <f>IF(#REF!="",NA(),MATCH(#REF!&amp;#REF!,'Smelter Reference List'!$J:$J,0))</f>
        <v>#REF!</v>
      </c>
      <c r="T439" s="235"/>
      <c r="U439" s="235" t="e">
        <f>IF(AND(#REF!="Smelter not listed",OR(LEN(#REF!)=0,LEN(#REF!)=0)),1,0)</f>
        <v>#REF!</v>
      </c>
      <c r="V439" s="235"/>
      <c r="W439" s="235"/>
      <c r="Y439" s="228" t="e">
        <f>#REF!&amp;#REF!</f>
        <v>#REF!</v>
      </c>
    </row>
    <row r="440" spans="1:25" s="228" customFormat="1" ht="20.25">
      <c r="A440" s="257" t="s">
        <v>2679</v>
      </c>
      <c r="B440" s="396" t="str">
        <f>IF(LEN(A440)=0,"",INDEX('[1]Smelter Reference List'!$A$1:$A$65536,MATCH($A440,'[1]Smelter Reference List'!$E$1:$E$65536,0)))</f>
        <v>Tin</v>
      </c>
      <c r="C440" s="397" t="str">
        <f>IF(LEN(A440)=0,"",INDEX('[1]Smelter Reference List'!$C$1:$C$65536,MATCH($A440,'[1]Smelter Reference List'!$E$1:$E$65536,0)))</f>
        <v>PT Panca Mega Persada</v>
      </c>
      <c r="D440" s="396" t="e">
        <f ca="1">IF(ISERROR('[1]Smelter List'!$S162),"",OFFSET('[1]Smelter Reference List'!$C$4,'[1]Smelter List'!$S162-4,0)&amp;"")</f>
        <v>#VALUE!</v>
      </c>
      <c r="E440" s="396" t="e">
        <f ca="1">IF(ISERROR('[1]Smelter List'!$S162),"",OFFSET('[1]Smelter Reference List'!$D$4,'[1]Smelter List'!$S162-4,0)&amp;"")</f>
        <v>#VALUE!</v>
      </c>
      <c r="F440" s="396" t="e">
        <f ca="1">IF(ISERROR('[1]Smelter List'!$S162),"",OFFSET('[1]Smelter Reference List'!$E$4,'[1]Smelter List'!$S162-4,0))</f>
        <v>#VALUE!</v>
      </c>
      <c r="G440" s="396" t="e">
        <f ca="1">IF(C440='[1]Smelter List'!$U$4,"Enter smelter details", IF(ISERROR('[1]Smelter List'!$S162),"",OFFSET('[1]Smelter Reference List'!$F$4,'[1]Smelter List'!$S162-4,0)))</f>
        <v>#VALUE!</v>
      </c>
      <c r="H440" s="398" t="e">
        <f ca="1">IF(ISERROR('[1]Smelter List'!$S162),"",OFFSET('[1]Smelter Reference List'!$G$4,'[1]Smelter List'!$S162-4,0))</f>
        <v>#VALUE!</v>
      </c>
      <c r="I440" s="399" t="e">
        <f ca="1">IF(ISERROR('[1]Smelter List'!$S162),"",OFFSET('[1]Smelter Reference List'!$H$4,'[1]Smelter List'!$S162-4,0))</f>
        <v>#VALUE!</v>
      </c>
      <c r="J440" s="399" t="e">
        <f ca="1">IF(ISERROR('[1]Smelter List'!$S162),"",OFFSET('[1]Smelter Reference List'!$I$4,'[1]Smelter List'!$S162-4,0))</f>
        <v>#VALUE!</v>
      </c>
      <c r="K440" s="402"/>
      <c r="L440" s="402"/>
      <c r="M440" s="402"/>
      <c r="N440" s="402"/>
      <c r="O440" s="402"/>
      <c r="P440" s="402"/>
      <c r="Q440" s="403"/>
      <c r="R440" s="233"/>
      <c r="S440" s="234" t="e">
        <f>IF(#REF!="",NA(),MATCH(#REF!&amp;#REF!,'Smelter Reference List'!$J:$J,0))</f>
        <v>#REF!</v>
      </c>
      <c r="T440" s="235"/>
      <c r="U440" s="235" t="e">
        <f>IF(AND(#REF!="Smelter not listed",OR(LEN(#REF!)=0,LEN(#REF!)=0)),1,0)</f>
        <v>#REF!</v>
      </c>
      <c r="V440" s="235"/>
      <c r="W440" s="235"/>
      <c r="Y440" s="228" t="e">
        <f>#REF!&amp;#REF!</f>
        <v>#REF!</v>
      </c>
    </row>
    <row r="441" spans="1:25" s="228" customFormat="1" ht="20.25">
      <c r="A441" s="257" t="s">
        <v>1395</v>
      </c>
      <c r="B441" s="396" t="str">
        <f>IF(LEN(A441)=0,"",INDEX('[1]Smelter Reference List'!$A$1:$A$65536,MATCH($A441,'[1]Smelter Reference List'!$E$1:$E$65536,0)))</f>
        <v>Tin</v>
      </c>
      <c r="C441" s="397" t="str">
        <f>IF(LEN(A441)=0,"",INDEX('[1]Smelter Reference List'!$C$1:$C$65536,MATCH($A441,'[1]Smelter Reference List'!$E$1:$E$65536,0)))</f>
        <v>PT Prima Timah Utama</v>
      </c>
      <c r="D441" s="396" t="e">
        <f ca="1">IF(ISERROR('[1]Smelter List'!$S163),"",OFFSET('[1]Smelter Reference List'!$C$4,'[1]Smelter List'!$S163-4,0)&amp;"")</f>
        <v>#VALUE!</v>
      </c>
      <c r="E441" s="396" t="e">
        <f ca="1">IF(ISERROR('[1]Smelter List'!$S163),"",OFFSET('[1]Smelter Reference List'!$D$4,'[1]Smelter List'!$S163-4,0)&amp;"")</f>
        <v>#VALUE!</v>
      </c>
      <c r="F441" s="396" t="e">
        <f ca="1">IF(ISERROR('[1]Smelter List'!$S163),"",OFFSET('[1]Smelter Reference List'!$E$4,'[1]Smelter List'!$S163-4,0))</f>
        <v>#VALUE!</v>
      </c>
      <c r="G441" s="396" t="e">
        <f ca="1">IF(C441='[1]Smelter List'!$U$4,"Enter smelter details", IF(ISERROR('[1]Smelter List'!$S163),"",OFFSET('[1]Smelter Reference List'!$F$4,'[1]Smelter List'!$S163-4,0)))</f>
        <v>#VALUE!</v>
      </c>
      <c r="H441" s="398" t="e">
        <f ca="1">IF(ISERROR('[1]Smelter List'!$S163),"",OFFSET('[1]Smelter Reference List'!$G$4,'[1]Smelter List'!$S163-4,0))</f>
        <v>#VALUE!</v>
      </c>
      <c r="I441" s="399" t="e">
        <f ca="1">IF(ISERROR('[1]Smelter List'!$S163),"",OFFSET('[1]Smelter Reference List'!$H$4,'[1]Smelter List'!$S163-4,0))</f>
        <v>#VALUE!</v>
      </c>
      <c r="J441" s="399" t="e">
        <f ca="1">IF(ISERROR('[1]Smelter List'!$S163),"",OFFSET('[1]Smelter Reference List'!$I$4,'[1]Smelter List'!$S163-4,0))</f>
        <v>#VALUE!</v>
      </c>
      <c r="K441" s="402"/>
      <c r="L441" s="402"/>
      <c r="M441" s="402"/>
      <c r="N441" s="402"/>
      <c r="O441" s="402"/>
      <c r="P441" s="402"/>
      <c r="Q441" s="403"/>
      <c r="R441" s="233"/>
      <c r="S441" s="234" t="e">
        <f>IF(#REF!="",NA(),MATCH(#REF!&amp;#REF!,'Smelter Reference List'!$J:$J,0))</f>
        <v>#REF!</v>
      </c>
      <c r="T441" s="235"/>
      <c r="U441" s="235" t="e">
        <f>IF(AND(#REF!="Smelter not listed",OR(LEN(#REF!)=0,LEN(#REF!)=0)),1,0)</f>
        <v>#REF!</v>
      </c>
      <c r="V441" s="235"/>
      <c r="W441" s="235"/>
      <c r="Y441" s="228" t="e">
        <f>#REF!&amp;#REF!</f>
        <v>#REF!</v>
      </c>
    </row>
    <row r="442" spans="1:25" s="228" customFormat="1" ht="20.25">
      <c r="A442" s="257" t="s">
        <v>1396</v>
      </c>
      <c r="B442" s="396" t="str">
        <f>IF(LEN(A442)=0,"",INDEX('[1]Smelter Reference List'!$A$1:$A$65536,MATCH($A442,'[1]Smelter Reference List'!$E$1:$E$65536,0)))</f>
        <v>Tin</v>
      </c>
      <c r="C442" s="397" t="str">
        <f>IF(LEN(A442)=0,"",INDEX('[1]Smelter Reference List'!$C$1:$C$65536,MATCH($A442,'[1]Smelter Reference List'!$E$1:$E$65536,0)))</f>
        <v>PT Refined Bangka Tin</v>
      </c>
      <c r="D442" s="396" t="e">
        <f ca="1">IF(ISERROR('[1]Smelter List'!$S164),"",OFFSET('[1]Smelter Reference List'!$C$4,'[1]Smelter List'!$S164-4,0)&amp;"")</f>
        <v>#VALUE!</v>
      </c>
      <c r="E442" s="396" t="e">
        <f ca="1">IF(ISERROR('[1]Smelter List'!$S164),"",OFFSET('[1]Smelter Reference List'!$D$4,'[1]Smelter List'!$S164-4,0)&amp;"")</f>
        <v>#VALUE!</v>
      </c>
      <c r="F442" s="396" t="e">
        <f ca="1">IF(ISERROR('[1]Smelter List'!$S164),"",OFFSET('[1]Smelter Reference List'!$E$4,'[1]Smelter List'!$S164-4,0))</f>
        <v>#VALUE!</v>
      </c>
      <c r="G442" s="396" t="e">
        <f ca="1">IF(C442='[1]Smelter List'!$U$4,"Enter smelter details", IF(ISERROR('[1]Smelter List'!$S164),"",OFFSET('[1]Smelter Reference List'!$F$4,'[1]Smelter List'!$S164-4,0)))</f>
        <v>#VALUE!</v>
      </c>
      <c r="H442" s="398" t="e">
        <f ca="1">IF(ISERROR('[1]Smelter List'!$S164),"",OFFSET('[1]Smelter Reference List'!$G$4,'[1]Smelter List'!$S164-4,0))</f>
        <v>#VALUE!</v>
      </c>
      <c r="I442" s="399" t="e">
        <f ca="1">IF(ISERROR('[1]Smelter List'!$S164),"",OFFSET('[1]Smelter Reference List'!$H$4,'[1]Smelter List'!$S164-4,0))</f>
        <v>#VALUE!</v>
      </c>
      <c r="J442" s="399" t="e">
        <f ca="1">IF(ISERROR('[1]Smelter List'!$S164),"",OFFSET('[1]Smelter Reference List'!$I$4,'[1]Smelter List'!$S164-4,0))</f>
        <v>#VALUE!</v>
      </c>
      <c r="K442" s="402"/>
      <c r="L442" s="402"/>
      <c r="M442" s="402"/>
      <c r="N442" s="402"/>
      <c r="O442" s="402"/>
      <c r="P442" s="402"/>
      <c r="Q442" s="403"/>
      <c r="R442" s="233"/>
      <c r="S442" s="234" t="e">
        <f>IF(#REF!="",NA(),MATCH(#REF!&amp;#REF!,'Smelter Reference List'!$J:$J,0))</f>
        <v>#REF!</v>
      </c>
      <c r="T442" s="235"/>
      <c r="U442" s="235" t="e">
        <f>IF(AND(#REF!="Smelter not listed",OR(LEN(#REF!)=0,LEN(#REF!)=0)),1,0)</f>
        <v>#REF!</v>
      </c>
      <c r="V442" s="235"/>
      <c r="W442" s="235"/>
      <c r="Y442" s="228" t="e">
        <f>#REF!&amp;#REF!</f>
        <v>#REF!</v>
      </c>
    </row>
    <row r="443" spans="1:25" s="228" customFormat="1" ht="20.25">
      <c r="A443" s="257" t="s">
        <v>1397</v>
      </c>
      <c r="B443" s="396" t="str">
        <f>IF(LEN(A443)=0,"",INDEX('[1]Smelter Reference List'!$A$1:$A$65536,MATCH($A443,'[1]Smelter Reference List'!$E$1:$E$65536,0)))</f>
        <v>Tin</v>
      </c>
      <c r="C443" s="397" t="str">
        <f>IF(LEN(A443)=0,"",INDEX('[1]Smelter Reference List'!$C$1:$C$65536,MATCH($A443,'[1]Smelter Reference List'!$E$1:$E$65536,0)))</f>
        <v>PT Sariwiguna Binasentosa</v>
      </c>
      <c r="D443" s="396" t="e">
        <f ca="1">IF(ISERROR('[1]Smelter List'!$S165),"",OFFSET('[1]Smelter Reference List'!$C$4,'[1]Smelter List'!$S165-4,0)&amp;"")</f>
        <v>#VALUE!</v>
      </c>
      <c r="E443" s="396" t="e">
        <f ca="1">IF(ISERROR('[1]Smelter List'!$S165),"",OFFSET('[1]Smelter Reference List'!$D$4,'[1]Smelter List'!$S165-4,0)&amp;"")</f>
        <v>#VALUE!</v>
      </c>
      <c r="F443" s="396" t="e">
        <f ca="1">IF(ISERROR('[1]Smelter List'!$S165),"",OFFSET('[1]Smelter Reference List'!$E$4,'[1]Smelter List'!$S165-4,0))</f>
        <v>#VALUE!</v>
      </c>
      <c r="G443" s="396" t="e">
        <f ca="1">IF(C443='[1]Smelter List'!$U$4,"Enter smelter details", IF(ISERROR('[1]Smelter List'!$S165),"",OFFSET('[1]Smelter Reference List'!$F$4,'[1]Smelter List'!$S165-4,0)))</f>
        <v>#VALUE!</v>
      </c>
      <c r="H443" s="398" t="e">
        <f ca="1">IF(ISERROR('[1]Smelter List'!$S165),"",OFFSET('[1]Smelter Reference List'!$G$4,'[1]Smelter List'!$S165-4,0))</f>
        <v>#VALUE!</v>
      </c>
      <c r="I443" s="399" t="e">
        <f ca="1">IF(ISERROR('[1]Smelter List'!$S165),"",OFFSET('[1]Smelter Reference List'!$H$4,'[1]Smelter List'!$S165-4,0))</f>
        <v>#VALUE!</v>
      </c>
      <c r="J443" s="399" t="e">
        <f ca="1">IF(ISERROR('[1]Smelter List'!$S165),"",OFFSET('[1]Smelter Reference List'!$I$4,'[1]Smelter List'!$S165-4,0))</f>
        <v>#VALUE!</v>
      </c>
      <c r="K443" s="402"/>
      <c r="L443" s="402"/>
      <c r="M443" s="402"/>
      <c r="N443" s="402"/>
      <c r="O443" s="402"/>
      <c r="P443" s="402"/>
      <c r="Q443" s="403"/>
      <c r="R443" s="233"/>
      <c r="S443" s="234" t="e">
        <f>IF(#REF!="",NA(),MATCH(#REF!&amp;#REF!,'Smelter Reference List'!$J:$J,0))</f>
        <v>#REF!</v>
      </c>
      <c r="T443" s="235"/>
      <c r="U443" s="235" t="e">
        <f>IF(AND(#REF!="Smelter not listed",OR(LEN(#REF!)=0,LEN(#REF!)=0)),1,0)</f>
        <v>#REF!</v>
      </c>
      <c r="V443" s="235"/>
      <c r="W443" s="235"/>
      <c r="Y443" s="228" t="e">
        <f>#REF!&amp;#REF!</f>
        <v>#REF!</v>
      </c>
    </row>
    <row r="444" spans="1:25" s="228" customFormat="1" ht="20.25">
      <c r="A444" s="257" t="s">
        <v>1398</v>
      </c>
      <c r="B444" s="396" t="str">
        <f>IF(LEN(A444)=0,"",INDEX('[1]Smelter Reference List'!$A$1:$A$65536,MATCH($A444,'[1]Smelter Reference List'!$E$1:$E$65536,0)))</f>
        <v>Tin</v>
      </c>
      <c r="C444" s="397" t="str">
        <f>IF(LEN(A444)=0,"",INDEX('[1]Smelter Reference List'!$C$1:$C$65536,MATCH($A444,'[1]Smelter Reference List'!$E$1:$E$65536,0)))</f>
        <v>PT Stanindo Inti Perkasa</v>
      </c>
      <c r="D444" s="396" t="e">
        <f ca="1">IF(ISERROR('[1]Smelter List'!$S166),"",OFFSET('[1]Smelter Reference List'!$C$4,'[1]Smelter List'!$S166-4,0)&amp;"")</f>
        <v>#VALUE!</v>
      </c>
      <c r="E444" s="396" t="e">
        <f ca="1">IF(ISERROR('[1]Smelter List'!$S166),"",OFFSET('[1]Smelter Reference List'!$D$4,'[1]Smelter List'!$S166-4,0)&amp;"")</f>
        <v>#VALUE!</v>
      </c>
      <c r="F444" s="396" t="e">
        <f ca="1">IF(ISERROR('[1]Smelter List'!$S166),"",OFFSET('[1]Smelter Reference List'!$E$4,'[1]Smelter List'!$S166-4,0))</f>
        <v>#VALUE!</v>
      </c>
      <c r="G444" s="396" t="e">
        <f ca="1">IF(C444='[1]Smelter List'!$U$4,"Enter smelter details", IF(ISERROR('[1]Smelter List'!$S166),"",OFFSET('[1]Smelter Reference List'!$F$4,'[1]Smelter List'!$S166-4,0)))</f>
        <v>#VALUE!</v>
      </c>
      <c r="H444" s="398" t="e">
        <f ca="1">IF(ISERROR('[1]Smelter List'!$S166),"",OFFSET('[1]Smelter Reference List'!$G$4,'[1]Smelter List'!$S166-4,0))</f>
        <v>#VALUE!</v>
      </c>
      <c r="I444" s="399" t="e">
        <f ca="1">IF(ISERROR('[1]Smelter List'!$S166),"",OFFSET('[1]Smelter Reference List'!$H$4,'[1]Smelter List'!$S166-4,0))</f>
        <v>#VALUE!</v>
      </c>
      <c r="J444" s="399" t="e">
        <f ca="1">IF(ISERROR('[1]Smelter List'!$S166),"",OFFSET('[1]Smelter Reference List'!$I$4,'[1]Smelter List'!$S166-4,0))</f>
        <v>#VALUE!</v>
      </c>
      <c r="K444" s="402"/>
      <c r="L444" s="402"/>
      <c r="M444" s="402"/>
      <c r="N444" s="402"/>
      <c r="O444" s="402"/>
      <c r="P444" s="402"/>
      <c r="Q444" s="403"/>
      <c r="R444" s="233"/>
      <c r="S444" s="234" t="e">
        <f>IF(#REF!="",NA(),MATCH(#REF!&amp;#REF!,'Smelter Reference List'!$J:$J,0))</f>
        <v>#REF!</v>
      </c>
      <c r="T444" s="235"/>
      <c r="U444" s="235" t="e">
        <f>IF(AND(#REF!="Smelter not listed",OR(LEN(#REF!)=0,LEN(#REF!)=0)),1,0)</f>
        <v>#REF!</v>
      </c>
      <c r="V444" s="235"/>
      <c r="W444" s="235"/>
      <c r="Y444" s="228" t="e">
        <f>#REF!&amp;#REF!</f>
        <v>#REF!</v>
      </c>
    </row>
    <row r="445" spans="1:25" s="228" customFormat="1" ht="20.25">
      <c r="A445" s="257" t="s">
        <v>2682</v>
      </c>
      <c r="B445" s="396" t="str">
        <f>IF(LEN(A445)=0,"",INDEX('[1]Smelter Reference List'!$A$1:$A$65536,MATCH($A445,'[1]Smelter Reference List'!$E$1:$E$65536,0)))</f>
        <v>Tin</v>
      </c>
      <c r="C445" s="397" t="str">
        <f>IF(LEN(A445)=0,"",INDEX('[1]Smelter Reference List'!$C$1:$C$65536,MATCH($A445,'[1]Smelter Reference List'!$E$1:$E$65536,0)))</f>
        <v>PT Sumber Jaya Indah</v>
      </c>
      <c r="D445" s="396" t="e">
        <f ca="1">IF(ISERROR('[1]Smelter List'!$S167),"",OFFSET('[1]Smelter Reference List'!$C$4,'[1]Smelter List'!$S167-4,0)&amp;"")</f>
        <v>#VALUE!</v>
      </c>
      <c r="E445" s="396" t="e">
        <f ca="1">IF(ISERROR('[1]Smelter List'!$S167),"",OFFSET('[1]Smelter Reference List'!$D$4,'[1]Smelter List'!$S167-4,0)&amp;"")</f>
        <v>#VALUE!</v>
      </c>
      <c r="F445" s="396" t="e">
        <f ca="1">IF(ISERROR('[1]Smelter List'!$S167),"",OFFSET('[1]Smelter Reference List'!$E$4,'[1]Smelter List'!$S167-4,0))</f>
        <v>#VALUE!</v>
      </c>
      <c r="G445" s="396" t="e">
        <f ca="1">IF(C445='[1]Smelter List'!$U$4,"Enter smelter details", IF(ISERROR('[1]Smelter List'!$S167),"",OFFSET('[1]Smelter Reference List'!$F$4,'[1]Smelter List'!$S167-4,0)))</f>
        <v>#VALUE!</v>
      </c>
      <c r="H445" s="398" t="e">
        <f ca="1">IF(ISERROR('[1]Smelter List'!$S167),"",OFFSET('[1]Smelter Reference List'!$G$4,'[1]Smelter List'!$S167-4,0))</f>
        <v>#VALUE!</v>
      </c>
      <c r="I445" s="399" t="e">
        <f ca="1">IF(ISERROR('[1]Smelter List'!$S167),"",OFFSET('[1]Smelter Reference List'!$H$4,'[1]Smelter List'!$S167-4,0))</f>
        <v>#VALUE!</v>
      </c>
      <c r="J445" s="399" t="e">
        <f ca="1">IF(ISERROR('[1]Smelter List'!$S167),"",OFFSET('[1]Smelter Reference List'!$I$4,'[1]Smelter List'!$S167-4,0))</f>
        <v>#VALUE!</v>
      </c>
      <c r="K445" s="402"/>
      <c r="L445" s="402"/>
      <c r="M445" s="402"/>
      <c r="N445" s="402"/>
      <c r="O445" s="402"/>
      <c r="P445" s="402"/>
      <c r="Q445" s="403"/>
      <c r="R445" s="233"/>
      <c r="S445" s="234" t="e">
        <f>IF(#REF!="",NA(),MATCH(#REF!&amp;#REF!,'Smelter Reference List'!$J:$J,0))</f>
        <v>#REF!</v>
      </c>
      <c r="T445" s="235"/>
      <c r="U445" s="235" t="e">
        <f>IF(AND(#REF!="Smelter not listed",OR(LEN(#REF!)=0,LEN(#REF!)=0)),1,0)</f>
        <v>#REF!</v>
      </c>
      <c r="V445" s="235"/>
      <c r="W445" s="235"/>
      <c r="Y445" s="228" t="e">
        <f>#REF!&amp;#REF!</f>
        <v>#REF!</v>
      </c>
    </row>
    <row r="446" spans="1:25" s="228" customFormat="1" ht="20.25">
      <c r="A446" s="257" t="s">
        <v>1424</v>
      </c>
      <c r="B446" s="396" t="str">
        <f>IF(LEN(A446)=0,"",INDEX('[1]Smelter Reference List'!$A$1:$A$65536,MATCH($A446,'[1]Smelter Reference List'!$E$1:$E$65536,0)))</f>
        <v>Tin</v>
      </c>
      <c r="C446" s="397" t="str">
        <f>IF(LEN(A446)=0,"",INDEX('[1]Smelter Reference List'!$C$1:$C$65536,MATCH($A446,'[1]Smelter Reference List'!$E$1:$E$65536,0)))</f>
        <v>PT Timah (Persero) Tbk Kundur</v>
      </c>
      <c r="D446" s="396" t="e">
        <f ca="1">IF(ISERROR('[1]Smelter List'!$S168),"",OFFSET('[1]Smelter Reference List'!$C$4,'[1]Smelter List'!$S168-4,0)&amp;"")</f>
        <v>#VALUE!</v>
      </c>
      <c r="E446" s="396" t="e">
        <f ca="1">IF(ISERROR('[1]Smelter List'!$S168),"",OFFSET('[1]Smelter Reference List'!$D$4,'[1]Smelter List'!$S168-4,0)&amp;"")</f>
        <v>#VALUE!</v>
      </c>
      <c r="F446" s="396" t="e">
        <f ca="1">IF(ISERROR('[1]Smelter List'!$S168),"",OFFSET('[1]Smelter Reference List'!$E$4,'[1]Smelter List'!$S168-4,0))</f>
        <v>#VALUE!</v>
      </c>
      <c r="G446" s="396" t="e">
        <f ca="1">IF(C446='[1]Smelter List'!$U$4,"Enter smelter details", IF(ISERROR('[1]Smelter List'!$S168),"",OFFSET('[1]Smelter Reference List'!$F$4,'[1]Smelter List'!$S168-4,0)))</f>
        <v>#VALUE!</v>
      </c>
      <c r="H446" s="398" t="e">
        <f ca="1">IF(ISERROR('[1]Smelter List'!$S168),"",OFFSET('[1]Smelter Reference List'!$G$4,'[1]Smelter List'!$S168-4,0))</f>
        <v>#VALUE!</v>
      </c>
      <c r="I446" s="399" t="e">
        <f ca="1">IF(ISERROR('[1]Smelter List'!$S168),"",OFFSET('[1]Smelter Reference List'!$H$4,'[1]Smelter List'!$S168-4,0))</f>
        <v>#VALUE!</v>
      </c>
      <c r="J446" s="399" t="e">
        <f ca="1">IF(ISERROR('[1]Smelter List'!$S168),"",OFFSET('[1]Smelter Reference List'!$I$4,'[1]Smelter List'!$S168-4,0))</f>
        <v>#VALUE!</v>
      </c>
      <c r="K446" s="402"/>
      <c r="L446" s="402"/>
      <c r="M446" s="402"/>
      <c r="N446" s="402"/>
      <c r="O446" s="402"/>
      <c r="P446" s="402"/>
      <c r="Q446" s="403"/>
      <c r="R446" s="233"/>
      <c r="S446" s="234" t="e">
        <f>IF(#REF!="",NA(),MATCH(#REF!&amp;#REF!,'Smelter Reference List'!$J:$J,0))</f>
        <v>#REF!</v>
      </c>
      <c r="T446" s="235"/>
      <c r="U446" s="235" t="e">
        <f>IF(AND(#REF!="Smelter not listed",OR(LEN(#REF!)=0,LEN(#REF!)=0)),1,0)</f>
        <v>#REF!</v>
      </c>
      <c r="V446" s="235"/>
      <c r="W446" s="235"/>
      <c r="Y446" s="228" t="e">
        <f>#REF!&amp;#REF!</f>
        <v>#REF!</v>
      </c>
    </row>
    <row r="447" spans="1:25" s="228" customFormat="1" ht="20.25">
      <c r="A447" s="257" t="s">
        <v>1399</v>
      </c>
      <c r="B447" s="396" t="str">
        <f>IF(LEN(A447)=0,"",INDEX('[1]Smelter Reference List'!$A$1:$A$65536,MATCH($A447,'[1]Smelter Reference List'!$E$1:$E$65536,0)))</f>
        <v>Tin</v>
      </c>
      <c r="C447" s="397" t="str">
        <f>IF(LEN(A447)=0,"",INDEX('[1]Smelter Reference List'!$C$1:$C$65536,MATCH($A447,'[1]Smelter Reference List'!$E$1:$E$65536,0)))</f>
        <v>PT Timah (Persero) Tbk Mentok</v>
      </c>
      <c r="D447" s="396" t="e">
        <f ca="1">IF(ISERROR('[1]Smelter List'!$S169),"",OFFSET('[1]Smelter Reference List'!$C$4,'[1]Smelter List'!$S169-4,0)&amp;"")</f>
        <v>#VALUE!</v>
      </c>
      <c r="E447" s="396" t="e">
        <f ca="1">IF(ISERROR('[1]Smelter List'!$S169),"",OFFSET('[1]Smelter Reference List'!$D$4,'[1]Smelter List'!$S169-4,0)&amp;"")</f>
        <v>#VALUE!</v>
      </c>
      <c r="F447" s="396" t="e">
        <f ca="1">IF(ISERROR('[1]Smelter List'!$S169),"",OFFSET('[1]Smelter Reference List'!$E$4,'[1]Smelter List'!$S169-4,0))</f>
        <v>#VALUE!</v>
      </c>
      <c r="G447" s="396" t="e">
        <f ca="1">IF(C447='[1]Smelter List'!$U$4,"Enter smelter details", IF(ISERROR('[1]Smelter List'!$S169),"",OFFSET('[1]Smelter Reference List'!$F$4,'[1]Smelter List'!$S169-4,0)))</f>
        <v>#VALUE!</v>
      </c>
      <c r="H447" s="398" t="e">
        <f ca="1">IF(ISERROR('[1]Smelter List'!$S169),"",OFFSET('[1]Smelter Reference List'!$G$4,'[1]Smelter List'!$S169-4,0))</f>
        <v>#VALUE!</v>
      </c>
      <c r="I447" s="399" t="e">
        <f ca="1">IF(ISERROR('[1]Smelter List'!$S169),"",OFFSET('[1]Smelter Reference List'!$H$4,'[1]Smelter List'!$S169-4,0))</f>
        <v>#VALUE!</v>
      </c>
      <c r="J447" s="399" t="e">
        <f ca="1">IF(ISERROR('[1]Smelter List'!$S169),"",OFFSET('[1]Smelter Reference List'!$I$4,'[1]Smelter List'!$S169-4,0))</f>
        <v>#VALUE!</v>
      </c>
      <c r="K447" s="402"/>
      <c r="L447" s="402"/>
      <c r="M447" s="402"/>
      <c r="N447" s="402"/>
      <c r="O447" s="402"/>
      <c r="P447" s="402"/>
      <c r="Q447" s="403"/>
      <c r="R447" s="233"/>
      <c r="S447" s="234" t="e">
        <f>IF(#REF!="",NA(),MATCH(#REF!&amp;#REF!,'Smelter Reference List'!$J:$J,0))</f>
        <v>#REF!</v>
      </c>
      <c r="T447" s="235"/>
      <c r="U447" s="235" t="e">
        <f>IF(AND(#REF!="Smelter not listed",OR(LEN(#REF!)=0,LEN(#REF!)=0)),1,0)</f>
        <v>#REF!</v>
      </c>
      <c r="V447" s="235"/>
      <c r="W447" s="235"/>
      <c r="Y447" s="228" t="e">
        <f>#REF!&amp;#REF!</f>
        <v>#REF!</v>
      </c>
    </row>
    <row r="448" spans="1:25" s="228" customFormat="1" ht="20.25">
      <c r="A448" s="257" t="s">
        <v>1400</v>
      </c>
      <c r="B448" s="396" t="str">
        <f>IF(LEN(A448)=0,"",INDEX('[1]Smelter Reference List'!$A$1:$A$65536,MATCH($A448,'[1]Smelter Reference List'!$E$1:$E$65536,0)))</f>
        <v>Tin</v>
      </c>
      <c r="C448" s="397" t="str">
        <f>IF(LEN(A448)=0,"",INDEX('[1]Smelter Reference List'!$C$1:$C$65536,MATCH($A448,'[1]Smelter Reference List'!$E$1:$E$65536,0)))</f>
        <v>PT Tinindo Inter Nusa</v>
      </c>
      <c r="D448" s="396" t="e">
        <f ca="1">IF(ISERROR('[1]Smelter List'!$S170),"",OFFSET('[1]Smelter Reference List'!$C$4,'[1]Smelter List'!$S170-4,0)&amp;"")</f>
        <v>#VALUE!</v>
      </c>
      <c r="E448" s="396" t="e">
        <f ca="1">IF(ISERROR('[1]Smelter List'!$S170),"",OFFSET('[1]Smelter Reference List'!$D$4,'[1]Smelter List'!$S170-4,0)&amp;"")</f>
        <v>#VALUE!</v>
      </c>
      <c r="F448" s="396" t="e">
        <f ca="1">IF(ISERROR('[1]Smelter List'!$S170),"",OFFSET('[1]Smelter Reference List'!$E$4,'[1]Smelter List'!$S170-4,0))</f>
        <v>#VALUE!</v>
      </c>
      <c r="G448" s="396" t="e">
        <f ca="1">IF(C448='[1]Smelter List'!$U$4,"Enter smelter details", IF(ISERROR('[1]Smelter List'!$S170),"",OFFSET('[1]Smelter Reference List'!$F$4,'[1]Smelter List'!$S170-4,0)))</f>
        <v>#VALUE!</v>
      </c>
      <c r="H448" s="398" t="e">
        <f ca="1">IF(ISERROR('[1]Smelter List'!$S170),"",OFFSET('[1]Smelter Reference List'!$G$4,'[1]Smelter List'!$S170-4,0))</f>
        <v>#VALUE!</v>
      </c>
      <c r="I448" s="399" t="e">
        <f ca="1">IF(ISERROR('[1]Smelter List'!$S170),"",OFFSET('[1]Smelter Reference List'!$H$4,'[1]Smelter List'!$S170-4,0))</f>
        <v>#VALUE!</v>
      </c>
      <c r="J448" s="399" t="e">
        <f ca="1">IF(ISERROR('[1]Smelter List'!$S170),"",OFFSET('[1]Smelter Reference List'!$I$4,'[1]Smelter List'!$S170-4,0))</f>
        <v>#VALUE!</v>
      </c>
      <c r="K448" s="402"/>
      <c r="L448" s="402"/>
      <c r="M448" s="402"/>
      <c r="N448" s="402"/>
      <c r="O448" s="402"/>
      <c r="P448" s="402"/>
      <c r="Q448" s="403"/>
      <c r="R448" s="233"/>
      <c r="S448" s="234" t="e">
        <f>IF(#REF!="",NA(),MATCH(#REF!&amp;#REF!,'Smelter Reference List'!$J:$J,0))</f>
        <v>#REF!</v>
      </c>
      <c r="T448" s="235"/>
      <c r="U448" s="235" t="e">
        <f>IF(AND(#REF!="Smelter not listed",OR(LEN(#REF!)=0,LEN(#REF!)=0)),1,0)</f>
        <v>#REF!</v>
      </c>
      <c r="V448" s="235"/>
      <c r="W448" s="235"/>
      <c r="Y448" s="228" t="e">
        <f>#REF!&amp;#REF!</f>
        <v>#REF!</v>
      </c>
    </row>
    <row r="449" spans="1:25" s="228" customFormat="1" ht="20.25">
      <c r="A449" s="257" t="s">
        <v>4330</v>
      </c>
      <c r="B449" s="396" t="str">
        <f>IF(LEN(A449)=0,"",INDEX('[1]Smelter Reference List'!$A$1:$A$65536,MATCH($A449,'[1]Smelter Reference List'!$E$1:$E$65536,0)))</f>
        <v>Tin</v>
      </c>
      <c r="C449" s="397" t="str">
        <f>IF(LEN(A449)=0,"",INDEX('[1]Smelter Reference List'!$C$1:$C$65536,MATCH($A449,'[1]Smelter Reference List'!$E$1:$E$65536,0)))</f>
        <v>PT Tommy Utama</v>
      </c>
      <c r="D449" s="396" t="e">
        <f ca="1">IF(ISERROR('[1]Smelter List'!$S171),"",OFFSET('[1]Smelter Reference List'!$C$4,'[1]Smelter List'!$S171-4,0)&amp;"")</f>
        <v>#VALUE!</v>
      </c>
      <c r="E449" s="396" t="e">
        <f ca="1">IF(ISERROR('[1]Smelter List'!$S171),"",OFFSET('[1]Smelter Reference List'!$D$4,'[1]Smelter List'!$S171-4,0)&amp;"")</f>
        <v>#VALUE!</v>
      </c>
      <c r="F449" s="396" t="e">
        <f ca="1">IF(ISERROR('[1]Smelter List'!$S171),"",OFFSET('[1]Smelter Reference List'!$E$4,'[1]Smelter List'!$S171-4,0))</f>
        <v>#VALUE!</v>
      </c>
      <c r="G449" s="396" t="e">
        <f ca="1">IF(C449='[1]Smelter List'!$U$4,"Enter smelter details", IF(ISERROR('[1]Smelter List'!$S171),"",OFFSET('[1]Smelter Reference List'!$F$4,'[1]Smelter List'!$S171-4,0)))</f>
        <v>#VALUE!</v>
      </c>
      <c r="H449" s="398" t="e">
        <f ca="1">IF(ISERROR('[1]Smelter List'!$S171),"",OFFSET('[1]Smelter Reference List'!$G$4,'[1]Smelter List'!$S171-4,0))</f>
        <v>#VALUE!</v>
      </c>
      <c r="I449" s="399" t="e">
        <f ca="1">IF(ISERROR('[1]Smelter List'!$S171),"",OFFSET('[1]Smelter Reference List'!$H$4,'[1]Smelter List'!$S171-4,0))</f>
        <v>#VALUE!</v>
      </c>
      <c r="J449" s="399" t="e">
        <f ca="1">IF(ISERROR('[1]Smelter List'!$S171),"",OFFSET('[1]Smelter Reference List'!$I$4,'[1]Smelter List'!$S171-4,0))</f>
        <v>#VALUE!</v>
      </c>
      <c r="K449" s="402"/>
      <c r="L449" s="402"/>
      <c r="M449" s="402"/>
      <c r="N449" s="402"/>
      <c r="O449" s="402"/>
      <c r="P449" s="402"/>
      <c r="Q449" s="403"/>
      <c r="R449" s="233"/>
      <c r="S449" s="234" t="e">
        <f>IF(#REF!="",NA(),MATCH(#REF!&amp;#REF!,'Smelter Reference List'!$J:$J,0))</f>
        <v>#REF!</v>
      </c>
      <c r="T449" s="235"/>
      <c r="U449" s="235" t="e">
        <f>IF(AND(#REF!="Smelter not listed",OR(LEN(#REF!)=0,LEN(#REF!)=0)),1,0)</f>
        <v>#REF!</v>
      </c>
      <c r="V449" s="235"/>
      <c r="W449" s="235"/>
      <c r="Y449" s="228" t="e">
        <f>#REF!&amp;#REF!</f>
        <v>#REF!</v>
      </c>
    </row>
    <row r="450" spans="1:25" s="228" customFormat="1" ht="25.5">
      <c r="A450" s="257" t="s">
        <v>1402</v>
      </c>
      <c r="B450" s="396" t="str">
        <f>IF(LEN(A450)=0,"",INDEX('[1]Smelter Reference List'!$A$1:$A$65536,MATCH($A450,'[1]Smelter Reference List'!$E$1:$E$65536,0)))</f>
        <v>Tin</v>
      </c>
      <c r="C450" s="397" t="str">
        <f>IF(LEN(A450)=0,"",INDEX('[1]Smelter Reference List'!$C$1:$C$65536,MATCH($A450,'[1]Smelter Reference List'!$E$1:$E$65536,0)))</f>
        <v>Rui Da Hung</v>
      </c>
      <c r="D450" s="396" t="e">
        <f ca="1">IF(ISERROR('[1]Smelter List'!$S172),"",OFFSET('[1]Smelter Reference List'!$C$4,'[1]Smelter List'!$S172-4,0)&amp;"")</f>
        <v>#VALUE!</v>
      </c>
      <c r="E450" s="396" t="e">
        <f ca="1">IF(ISERROR('[1]Smelter List'!$S172),"",OFFSET('[1]Smelter Reference List'!$D$4,'[1]Smelter List'!$S172-4,0)&amp;"")</f>
        <v>#VALUE!</v>
      </c>
      <c r="F450" s="396" t="e">
        <f ca="1">IF(ISERROR('[1]Smelter List'!$S172),"",OFFSET('[1]Smelter Reference List'!$E$4,'[1]Smelter List'!$S172-4,0))</f>
        <v>#VALUE!</v>
      </c>
      <c r="G450" s="396" t="e">
        <f ca="1">IF(C450='[1]Smelter List'!$U$4,"Enter smelter details", IF(ISERROR('[1]Smelter List'!$S172),"",OFFSET('[1]Smelter Reference List'!$F$4,'[1]Smelter List'!$S172-4,0)))</f>
        <v>#VALUE!</v>
      </c>
      <c r="H450" s="398" t="e">
        <f ca="1">IF(ISERROR('[1]Smelter List'!$S172),"",OFFSET('[1]Smelter Reference List'!$G$4,'[1]Smelter List'!$S172-4,0))</f>
        <v>#VALUE!</v>
      </c>
      <c r="I450" s="399" t="e">
        <f ca="1">IF(ISERROR('[1]Smelter List'!$S172),"",OFFSET('[1]Smelter Reference List'!$H$4,'[1]Smelter List'!$S172-4,0))</f>
        <v>#VALUE!</v>
      </c>
      <c r="J450" s="399" t="e">
        <f ca="1">IF(ISERROR('[1]Smelter List'!$S172),"",OFFSET('[1]Smelter Reference List'!$I$4,'[1]Smelter List'!$S172-4,0))</f>
        <v>#VALUE!</v>
      </c>
      <c r="K450" s="402"/>
      <c r="L450" s="402"/>
      <c r="M450" s="402"/>
      <c r="N450" s="402"/>
      <c r="O450" s="402"/>
      <c r="P450" s="402"/>
      <c r="Q450" s="403"/>
      <c r="R450" s="233"/>
      <c r="S450" s="234" t="e">
        <f>IF(#REF!="",NA(),MATCH(#REF!&amp;#REF!,'Smelter Reference List'!$J:$J,0))</f>
        <v>#REF!</v>
      </c>
      <c r="T450" s="235"/>
      <c r="U450" s="235" t="e">
        <f>IF(AND(#REF!="Smelter not listed",OR(LEN(#REF!)=0,LEN(#REF!)=0)),1,0)</f>
        <v>#REF!</v>
      </c>
      <c r="V450" s="235"/>
      <c r="W450" s="235"/>
      <c r="Y450" s="228" t="e">
        <f>#REF!&amp;#REF!</f>
        <v>#REF!</v>
      </c>
    </row>
    <row r="451" spans="1:25" s="228" customFormat="1" ht="20.25">
      <c r="A451" s="257" t="s">
        <v>1403</v>
      </c>
      <c r="B451" s="396" t="str">
        <f>IF(LEN(A451)=0,"",INDEX('[1]Smelter Reference List'!$A$1:$A$65536,MATCH($A451,'[1]Smelter Reference List'!$E$1:$E$65536,0)))</f>
        <v>Tin</v>
      </c>
      <c r="C451" s="397" t="str">
        <f>IF(LEN(A451)=0,"",INDEX('[1]Smelter Reference List'!$C$1:$C$65536,MATCH($A451,'[1]Smelter Reference List'!$E$1:$E$65536,0)))</f>
        <v>Soft Metais Ltda.</v>
      </c>
      <c r="D451" s="396" t="e">
        <f ca="1">IF(ISERROR('[1]Smelter List'!$S173),"",OFFSET('[1]Smelter Reference List'!$C$4,'[1]Smelter List'!$S173-4,0)&amp;"")</f>
        <v>#VALUE!</v>
      </c>
      <c r="E451" s="396" t="e">
        <f ca="1">IF(ISERROR('[1]Smelter List'!$S173),"",OFFSET('[1]Smelter Reference List'!$D$4,'[1]Smelter List'!$S173-4,0)&amp;"")</f>
        <v>#VALUE!</v>
      </c>
      <c r="F451" s="396" t="e">
        <f ca="1">IF(ISERROR('[1]Smelter List'!$S173),"",OFFSET('[1]Smelter Reference List'!$E$4,'[1]Smelter List'!$S173-4,0))</f>
        <v>#VALUE!</v>
      </c>
      <c r="G451" s="396" t="e">
        <f ca="1">IF(C451='[1]Smelter List'!$U$4,"Enter smelter details", IF(ISERROR('[1]Smelter List'!$S173),"",OFFSET('[1]Smelter Reference List'!$F$4,'[1]Smelter List'!$S173-4,0)))</f>
        <v>#VALUE!</v>
      </c>
      <c r="H451" s="398" t="e">
        <f ca="1">IF(ISERROR('[1]Smelter List'!$S173),"",OFFSET('[1]Smelter Reference List'!$G$4,'[1]Smelter List'!$S173-4,0))</f>
        <v>#VALUE!</v>
      </c>
      <c r="I451" s="399" t="e">
        <f ca="1">IF(ISERROR('[1]Smelter List'!$S173),"",OFFSET('[1]Smelter Reference List'!$H$4,'[1]Smelter List'!$S173-4,0))</f>
        <v>#VALUE!</v>
      </c>
      <c r="J451" s="399" t="e">
        <f ca="1">IF(ISERROR('[1]Smelter List'!$S173),"",OFFSET('[1]Smelter Reference List'!$I$4,'[1]Smelter List'!$S173-4,0))</f>
        <v>#VALUE!</v>
      </c>
      <c r="K451" s="402"/>
      <c r="L451" s="402"/>
      <c r="M451" s="402"/>
      <c r="N451" s="402"/>
      <c r="O451" s="402"/>
      <c r="P451" s="402"/>
      <c r="Q451" s="403"/>
      <c r="R451" s="233"/>
      <c r="S451" s="234" t="e">
        <f>IF(#REF!="",NA(),MATCH(#REF!&amp;#REF!,'Smelter Reference List'!$J:$J,0))</f>
        <v>#REF!</v>
      </c>
      <c r="T451" s="235"/>
      <c r="U451" s="235" t="e">
        <f>IF(AND(#REF!="Smelter not listed",OR(LEN(#REF!)=0,LEN(#REF!)=0)),1,0)</f>
        <v>#REF!</v>
      </c>
      <c r="V451" s="235"/>
      <c r="W451" s="235"/>
      <c r="Y451" s="228" t="e">
        <f>#REF!&amp;#REF!</f>
        <v>#REF!</v>
      </c>
    </row>
    <row r="452" spans="1:25" s="228" customFormat="1" ht="20.25">
      <c r="A452" s="257" t="s">
        <v>1404</v>
      </c>
      <c r="B452" s="396" t="str">
        <f>IF(LEN(A452)=0,"",INDEX('[1]Smelter Reference List'!$A$1:$A$65536,MATCH($A452,'[1]Smelter Reference List'!$E$1:$E$65536,0)))</f>
        <v>Tin</v>
      </c>
      <c r="C452" s="397" t="str">
        <f>IF(LEN(A452)=0,"",INDEX('[1]Smelter Reference List'!$C$1:$C$65536,MATCH($A452,'[1]Smelter Reference List'!$E$1:$E$65536,0)))</f>
        <v>Thaisarco</v>
      </c>
      <c r="D452" s="396" t="e">
        <f ca="1">IF(ISERROR('[1]Smelter List'!$S174),"",OFFSET('[1]Smelter Reference List'!$C$4,'[1]Smelter List'!$S174-4,0)&amp;"")</f>
        <v>#VALUE!</v>
      </c>
      <c r="E452" s="396" t="e">
        <f ca="1">IF(ISERROR('[1]Smelter List'!$S174),"",OFFSET('[1]Smelter Reference List'!$D$4,'[1]Smelter List'!$S174-4,0)&amp;"")</f>
        <v>#VALUE!</v>
      </c>
      <c r="F452" s="396" t="e">
        <f ca="1">IF(ISERROR('[1]Smelter List'!$S174),"",OFFSET('[1]Smelter Reference List'!$E$4,'[1]Smelter List'!$S174-4,0))</f>
        <v>#VALUE!</v>
      </c>
      <c r="G452" s="396" t="e">
        <f ca="1">IF(C452='[1]Smelter List'!$U$4,"Enter smelter details", IF(ISERROR('[1]Smelter List'!$S174),"",OFFSET('[1]Smelter Reference List'!$F$4,'[1]Smelter List'!$S174-4,0)))</f>
        <v>#VALUE!</v>
      </c>
      <c r="H452" s="398" t="e">
        <f ca="1">IF(ISERROR('[1]Smelter List'!$S174),"",OFFSET('[1]Smelter Reference List'!$G$4,'[1]Smelter List'!$S174-4,0))</f>
        <v>#VALUE!</v>
      </c>
      <c r="I452" s="399" t="e">
        <f ca="1">IF(ISERROR('[1]Smelter List'!$S174),"",OFFSET('[1]Smelter Reference List'!$H$4,'[1]Smelter List'!$S174-4,0))</f>
        <v>#VALUE!</v>
      </c>
      <c r="J452" s="399" t="e">
        <f ca="1">IF(ISERROR('[1]Smelter List'!$S174),"",OFFSET('[1]Smelter Reference List'!$I$4,'[1]Smelter List'!$S174-4,0))</f>
        <v>#VALUE!</v>
      </c>
      <c r="K452" s="402"/>
      <c r="L452" s="402"/>
      <c r="M452" s="402"/>
      <c r="N452" s="402"/>
      <c r="O452" s="402"/>
      <c r="P452" s="402"/>
      <c r="Q452" s="403"/>
      <c r="R452" s="233"/>
      <c r="S452" s="234" t="e">
        <f>IF(#REF!="",NA(),MATCH(#REF!&amp;#REF!,'Smelter Reference List'!$J:$J,0))</f>
        <v>#REF!</v>
      </c>
      <c r="T452" s="235"/>
      <c r="U452" s="235" t="e">
        <f>IF(AND(#REF!="Smelter not listed",OR(LEN(#REF!)=0,LEN(#REF!)=0)),1,0)</f>
        <v>#REF!</v>
      </c>
      <c r="V452" s="235"/>
      <c r="W452" s="235"/>
      <c r="Y452" s="228" t="e">
        <f>#REF!&amp;#REF!</f>
        <v>#REF!</v>
      </c>
    </row>
    <row r="453" spans="1:25" s="228" customFormat="1" ht="20.25">
      <c r="A453" s="257" t="s">
        <v>3518</v>
      </c>
      <c r="B453" s="396" t="str">
        <f>IF(LEN(A453)=0,"",INDEX('[1]Smelter Reference List'!$A$1:$A$65536,MATCH($A453,'[1]Smelter Reference List'!$E$1:$E$65536,0)))</f>
        <v>Tin</v>
      </c>
      <c r="C453" s="397" t="str">
        <f>IF(LEN(A453)=0,"",INDEX('[1]Smelter Reference List'!$C$1:$C$65536,MATCH($A453,'[1]Smelter Reference List'!$E$1:$E$65536,0)))</f>
        <v>VQB Mineral and Trading Group JSC</v>
      </c>
      <c r="D453" s="396" t="e">
        <f ca="1">IF(ISERROR('[1]Smelter List'!$S175),"",OFFSET('[1]Smelter Reference List'!$C$4,'[1]Smelter List'!$S175-4,0)&amp;"")</f>
        <v>#VALUE!</v>
      </c>
      <c r="E453" s="396" t="e">
        <f ca="1">IF(ISERROR('[1]Smelter List'!$S175),"",OFFSET('[1]Smelter Reference List'!$D$4,'[1]Smelter List'!$S175-4,0)&amp;"")</f>
        <v>#VALUE!</v>
      </c>
      <c r="F453" s="396" t="e">
        <f ca="1">IF(ISERROR('[1]Smelter List'!$S175),"",OFFSET('[1]Smelter Reference List'!$E$4,'[1]Smelter List'!$S175-4,0))</f>
        <v>#VALUE!</v>
      </c>
      <c r="G453" s="396" t="e">
        <f ca="1">IF(C453='[1]Smelter List'!$U$4,"Enter smelter details", IF(ISERROR('[1]Smelter List'!$S175),"",OFFSET('[1]Smelter Reference List'!$F$4,'[1]Smelter List'!$S175-4,0)))</f>
        <v>#VALUE!</v>
      </c>
      <c r="H453" s="398" t="e">
        <f ca="1">IF(ISERROR('[1]Smelter List'!$S175),"",OFFSET('[1]Smelter Reference List'!$G$4,'[1]Smelter List'!$S175-4,0))</f>
        <v>#VALUE!</v>
      </c>
      <c r="I453" s="399" t="e">
        <f ca="1">IF(ISERROR('[1]Smelter List'!$S175),"",OFFSET('[1]Smelter Reference List'!$H$4,'[1]Smelter List'!$S175-4,0))</f>
        <v>#VALUE!</v>
      </c>
      <c r="J453" s="399" t="e">
        <f ca="1">IF(ISERROR('[1]Smelter List'!$S175),"",OFFSET('[1]Smelter Reference List'!$I$4,'[1]Smelter List'!$S175-4,0))</f>
        <v>#VALUE!</v>
      </c>
      <c r="K453" s="402"/>
      <c r="L453" s="402"/>
      <c r="M453" s="402"/>
      <c r="N453" s="402"/>
      <c r="O453" s="402"/>
      <c r="P453" s="402"/>
      <c r="Q453" s="403"/>
      <c r="R453" s="233"/>
      <c r="S453" s="234" t="e">
        <f>IF(#REF!="",NA(),MATCH(#REF!&amp;#REF!,'Smelter Reference List'!$J:$J,0))</f>
        <v>#REF!</v>
      </c>
      <c r="T453" s="235"/>
      <c r="U453" s="235" t="e">
        <f>IF(AND(#REF!="Smelter not listed",OR(LEN(#REF!)=0,LEN(#REF!)=0)),1,0)</f>
        <v>#REF!</v>
      </c>
      <c r="V453" s="235"/>
      <c r="W453" s="235"/>
      <c r="Y453" s="228" t="e">
        <f>#REF!&amp;#REF!</f>
        <v>#REF!</v>
      </c>
    </row>
    <row r="454" spans="1:25" s="228" customFormat="1" ht="20.25">
      <c r="A454" s="257" t="s">
        <v>1405</v>
      </c>
      <c r="B454" s="396" t="str">
        <f>IF(LEN(A454)=0,"",INDEX('[1]Smelter Reference List'!$A$1:$A$65536,MATCH($A454,'[1]Smelter Reference List'!$E$1:$E$65536,0)))</f>
        <v>Tin</v>
      </c>
      <c r="C454" s="397" t="str">
        <f>IF(LEN(A454)=0,"",INDEX('[1]Smelter Reference List'!$C$1:$C$65536,MATCH($A454,'[1]Smelter Reference List'!$E$1:$E$65536,0)))</f>
        <v>White Solder Metalurgia e Mineração Ltda.</v>
      </c>
      <c r="D454" s="396" t="e">
        <f ca="1">IF(ISERROR('[1]Smelter List'!$S176),"",OFFSET('[1]Smelter Reference List'!$C$4,'[1]Smelter List'!$S176-4,0)&amp;"")</f>
        <v>#VALUE!</v>
      </c>
      <c r="E454" s="396" t="e">
        <f ca="1">IF(ISERROR('[1]Smelter List'!$S176),"",OFFSET('[1]Smelter Reference List'!$D$4,'[1]Smelter List'!$S176-4,0)&amp;"")</f>
        <v>#VALUE!</v>
      </c>
      <c r="F454" s="396" t="e">
        <f ca="1">IF(ISERROR('[1]Smelter List'!$S176),"",OFFSET('[1]Smelter Reference List'!$E$4,'[1]Smelter List'!$S176-4,0))</f>
        <v>#VALUE!</v>
      </c>
      <c r="G454" s="396" t="e">
        <f ca="1">IF(C454='[1]Smelter List'!$U$4,"Enter smelter details", IF(ISERROR('[1]Smelter List'!$S176),"",OFFSET('[1]Smelter Reference List'!$F$4,'[1]Smelter List'!$S176-4,0)))</f>
        <v>#VALUE!</v>
      </c>
      <c r="H454" s="398" t="e">
        <f ca="1">IF(ISERROR('[1]Smelter List'!$S176),"",OFFSET('[1]Smelter Reference List'!$G$4,'[1]Smelter List'!$S176-4,0))</f>
        <v>#VALUE!</v>
      </c>
      <c r="I454" s="399" t="e">
        <f ca="1">IF(ISERROR('[1]Smelter List'!$S176),"",OFFSET('[1]Smelter Reference List'!$H$4,'[1]Smelter List'!$S176-4,0))</f>
        <v>#VALUE!</v>
      </c>
      <c r="J454" s="399" t="e">
        <f ca="1">IF(ISERROR('[1]Smelter List'!$S176),"",OFFSET('[1]Smelter Reference List'!$I$4,'[1]Smelter List'!$S176-4,0))</f>
        <v>#VALUE!</v>
      </c>
      <c r="K454" s="402"/>
      <c r="L454" s="402"/>
      <c r="M454" s="402"/>
      <c r="N454" s="402"/>
      <c r="O454" s="402"/>
      <c r="P454" s="402"/>
      <c r="Q454" s="403"/>
      <c r="R454" s="233"/>
      <c r="S454" s="234" t="e">
        <f>IF(#REF!="",NA(),MATCH(#REF!&amp;#REF!,'Smelter Reference List'!$J:$J,0))</f>
        <v>#REF!</v>
      </c>
      <c r="T454" s="235"/>
      <c r="U454" s="235" t="e">
        <f>IF(AND(#REF!="Smelter not listed",OR(LEN(#REF!)=0,LEN(#REF!)=0)),1,0)</f>
        <v>#REF!</v>
      </c>
      <c r="V454" s="235"/>
      <c r="W454" s="235"/>
      <c r="Y454" s="228" t="e">
        <f>#REF!&amp;#REF!</f>
        <v>#REF!</v>
      </c>
    </row>
    <row r="455" spans="1:25" s="228" customFormat="1" ht="20.25">
      <c r="A455" s="257" t="s">
        <v>1407</v>
      </c>
      <c r="B455" s="396" t="str">
        <f>IF(LEN(A455)=0,"",INDEX('[1]Smelter Reference List'!$A$1:$A$65536,MATCH($A455,'[1]Smelter Reference List'!$E$1:$E$65536,0)))</f>
        <v>Tin</v>
      </c>
      <c r="C455" s="397" t="str">
        <f>IF(LEN(A455)=0,"",INDEX('[1]Smelter Reference List'!$C$1:$C$65536,MATCH($A455,'[1]Smelter Reference List'!$E$1:$E$65536,0)))</f>
        <v>Yunnan Tin Company Limited</v>
      </c>
      <c r="D455" s="396" t="e">
        <f ca="1">IF(ISERROR('[1]Smelter List'!$S177),"",OFFSET('[1]Smelter Reference List'!$C$4,'[1]Smelter List'!$S177-4,0)&amp;"")</f>
        <v>#VALUE!</v>
      </c>
      <c r="E455" s="396" t="e">
        <f ca="1">IF(ISERROR('[1]Smelter List'!$S177),"",OFFSET('[1]Smelter Reference List'!$D$4,'[1]Smelter List'!$S177-4,0)&amp;"")</f>
        <v>#VALUE!</v>
      </c>
      <c r="F455" s="396" t="e">
        <f ca="1">IF(ISERROR('[1]Smelter List'!$S177),"",OFFSET('[1]Smelter Reference List'!$E$4,'[1]Smelter List'!$S177-4,0))</f>
        <v>#VALUE!</v>
      </c>
      <c r="G455" s="396" t="e">
        <f ca="1">IF(C455='[1]Smelter List'!$U$4,"Enter smelter details", IF(ISERROR('[1]Smelter List'!$S177),"",OFFSET('[1]Smelter Reference List'!$F$4,'[1]Smelter List'!$S177-4,0)))</f>
        <v>#VALUE!</v>
      </c>
      <c r="H455" s="398" t="e">
        <f ca="1">IF(ISERROR('[1]Smelter List'!$S177),"",OFFSET('[1]Smelter Reference List'!$G$4,'[1]Smelter List'!$S177-4,0))</f>
        <v>#VALUE!</v>
      </c>
      <c r="I455" s="399" t="e">
        <f ca="1">IF(ISERROR('[1]Smelter List'!$S177),"",OFFSET('[1]Smelter Reference List'!$H$4,'[1]Smelter List'!$S177-4,0))</f>
        <v>#VALUE!</v>
      </c>
      <c r="J455" s="399" t="e">
        <f ca="1">IF(ISERROR('[1]Smelter List'!$S177),"",OFFSET('[1]Smelter Reference List'!$I$4,'[1]Smelter List'!$S177-4,0))</f>
        <v>#VALUE!</v>
      </c>
      <c r="K455" s="402"/>
      <c r="L455" s="402"/>
      <c r="M455" s="402"/>
      <c r="N455" s="402"/>
      <c r="O455" s="402"/>
      <c r="P455" s="402"/>
      <c r="Q455" s="403"/>
      <c r="R455" s="233"/>
      <c r="S455" s="234" t="e">
        <f>IF(#REF!="",NA(),MATCH(#REF!&amp;#REF!,'Smelter Reference List'!$J:$J,0))</f>
        <v>#REF!</v>
      </c>
      <c r="T455" s="235"/>
      <c r="U455" s="235" t="e">
        <f>IF(AND(#REF!="Smelter not listed",OR(LEN(#REF!)=0,LEN(#REF!)=0)),1,0)</f>
        <v>#REF!</v>
      </c>
      <c r="V455" s="235"/>
      <c r="W455" s="235"/>
      <c r="Y455" s="228" t="e">
        <f>#REF!&amp;#REF!</f>
        <v>#REF!</v>
      </c>
    </row>
    <row r="456" spans="1:25" s="228" customFormat="1" ht="20.25">
      <c r="A456" s="257" t="s">
        <v>2705</v>
      </c>
      <c r="B456" s="396" t="str">
        <f>IF(LEN(A456)=0,"",INDEX('[1]Smelter Reference List'!$A$1:$A$65536,MATCH($A456,'[1]Smelter Reference List'!$E$1:$E$65536,0)))</f>
        <v>Tin</v>
      </c>
      <c r="C456" s="397" t="str">
        <f>IF(LEN(A456)=0,"",INDEX('[1]Smelter Reference List'!$C$1:$C$65536,MATCH($A456,'[1]Smelter Reference List'!$E$1:$E$65536,0)))</f>
        <v>CV Venus Inti Perkasa</v>
      </c>
      <c r="D456" s="396" t="e">
        <f ca="1">IF(ISERROR('[1]Smelter List'!$S178),"",OFFSET('[1]Smelter Reference List'!$C$4,'[1]Smelter List'!$S178-4,0)&amp;"")</f>
        <v>#VALUE!</v>
      </c>
      <c r="E456" s="396" t="e">
        <f ca="1">IF(ISERROR('[1]Smelter List'!$S178),"",OFFSET('[1]Smelter Reference List'!$D$4,'[1]Smelter List'!$S178-4,0)&amp;"")</f>
        <v>#VALUE!</v>
      </c>
      <c r="F456" s="396" t="e">
        <f ca="1">IF(ISERROR('[1]Smelter List'!$S178),"",OFFSET('[1]Smelter Reference List'!$E$4,'[1]Smelter List'!$S178-4,0))</f>
        <v>#VALUE!</v>
      </c>
      <c r="G456" s="396" t="e">
        <f ca="1">IF(C456='[1]Smelter List'!$U$4,"Enter smelter details", IF(ISERROR('[1]Smelter List'!$S178),"",OFFSET('[1]Smelter Reference List'!$F$4,'[1]Smelter List'!$S178-4,0)))</f>
        <v>#VALUE!</v>
      </c>
      <c r="H456" s="398" t="e">
        <f ca="1">IF(ISERROR('[1]Smelter List'!$S178),"",OFFSET('[1]Smelter Reference List'!$G$4,'[1]Smelter List'!$S178-4,0))</f>
        <v>#VALUE!</v>
      </c>
      <c r="I456" s="399" t="e">
        <f ca="1">IF(ISERROR('[1]Smelter List'!$S178),"",OFFSET('[1]Smelter Reference List'!$H$4,'[1]Smelter List'!$S178-4,0))</f>
        <v>#VALUE!</v>
      </c>
      <c r="J456" s="399" t="e">
        <f ca="1">IF(ISERROR('[1]Smelter List'!$S178),"",OFFSET('[1]Smelter Reference List'!$I$4,'[1]Smelter List'!$S178-4,0))</f>
        <v>#VALUE!</v>
      </c>
      <c r="K456" s="402"/>
      <c r="L456" s="402"/>
      <c r="M456" s="402"/>
      <c r="N456" s="402"/>
      <c r="O456" s="402"/>
      <c r="P456" s="402"/>
      <c r="Q456" s="403"/>
      <c r="R456" s="233"/>
      <c r="S456" s="234" t="e">
        <f>IF(#REF!="",NA(),MATCH(#REF!&amp;#REF!,'Smelter Reference List'!$J:$J,0))</f>
        <v>#REF!</v>
      </c>
      <c r="T456" s="235"/>
      <c r="U456" s="235" t="e">
        <f>IF(AND(#REF!="Smelter not listed",OR(LEN(#REF!)=0,LEN(#REF!)=0)),1,0)</f>
        <v>#REF!</v>
      </c>
      <c r="V456" s="235"/>
      <c r="W456" s="235"/>
      <c r="Y456" s="228" t="e">
        <f>#REF!&amp;#REF!</f>
        <v>#REF!</v>
      </c>
    </row>
    <row r="457" spans="1:25" s="228" customFormat="1" ht="20.25">
      <c r="A457" s="257" t="s">
        <v>200</v>
      </c>
      <c r="B457" s="396" t="str">
        <f>IF(LEN(A457)=0,"",INDEX('[1]Smelter Reference List'!$A$1:$A$65536,MATCH($A457,'[1]Smelter Reference List'!$E$1:$E$65536,0)))</f>
        <v>Tin</v>
      </c>
      <c r="C457" s="397" t="str">
        <f>IF(LEN(A457)=0,"",INDEX('[1]Smelter Reference List'!$C$1:$C$65536,MATCH($A457,'[1]Smelter Reference List'!$E$1:$E$65536,0)))</f>
        <v>Magnu's Minerais Metais e Ligas Ltda.</v>
      </c>
      <c r="D457" s="396" t="e">
        <f ca="1">IF(ISERROR('[1]Smelter List'!$S179),"",OFFSET('[1]Smelter Reference List'!$C$4,'[1]Smelter List'!$S179-4,0)&amp;"")</f>
        <v>#VALUE!</v>
      </c>
      <c r="E457" s="396" t="e">
        <f ca="1">IF(ISERROR('[1]Smelter List'!$S179),"",OFFSET('[1]Smelter Reference List'!$D$4,'[1]Smelter List'!$S179-4,0)&amp;"")</f>
        <v>#VALUE!</v>
      </c>
      <c r="F457" s="396" t="e">
        <f ca="1">IF(ISERROR('[1]Smelter List'!$S179),"",OFFSET('[1]Smelter Reference List'!$E$4,'[1]Smelter List'!$S179-4,0))</f>
        <v>#VALUE!</v>
      </c>
      <c r="G457" s="396" t="e">
        <f ca="1">IF(C457='[1]Smelter List'!$U$4,"Enter smelter details", IF(ISERROR('[1]Smelter List'!$S179),"",OFFSET('[1]Smelter Reference List'!$F$4,'[1]Smelter List'!$S179-4,0)))</f>
        <v>#VALUE!</v>
      </c>
      <c r="H457" s="398" t="e">
        <f ca="1">IF(ISERROR('[1]Smelter List'!$S179),"",OFFSET('[1]Smelter Reference List'!$G$4,'[1]Smelter List'!$S179-4,0))</f>
        <v>#VALUE!</v>
      </c>
      <c r="I457" s="399" t="e">
        <f ca="1">IF(ISERROR('[1]Smelter List'!$S179),"",OFFSET('[1]Smelter Reference List'!$H$4,'[1]Smelter List'!$S179-4,0))</f>
        <v>#VALUE!</v>
      </c>
      <c r="J457" s="399" t="e">
        <f ca="1">IF(ISERROR('[1]Smelter List'!$S179),"",OFFSET('[1]Smelter Reference List'!$I$4,'[1]Smelter List'!$S179-4,0))</f>
        <v>#VALUE!</v>
      </c>
      <c r="K457" s="402"/>
      <c r="L457" s="402"/>
      <c r="M457" s="402"/>
      <c r="N457" s="402"/>
      <c r="O457" s="402"/>
      <c r="P457" s="402"/>
      <c r="Q457" s="403"/>
      <c r="R457" s="233"/>
      <c r="S457" s="234" t="e">
        <f>IF(#REF!="",NA(),MATCH(#REF!&amp;#REF!,'Smelter Reference List'!$J:$J,0))</f>
        <v>#REF!</v>
      </c>
      <c r="T457" s="235"/>
      <c r="U457" s="235" t="e">
        <f>IF(AND(#REF!="Smelter not listed",OR(LEN(#REF!)=0,LEN(#REF!)=0)),1,0)</f>
        <v>#REF!</v>
      </c>
      <c r="V457" s="235"/>
      <c r="W457" s="235"/>
      <c r="Y457" s="228" t="e">
        <f>#REF!&amp;#REF!</f>
        <v>#REF!</v>
      </c>
    </row>
    <row r="458" spans="1:25" s="228" customFormat="1" ht="20.25">
      <c r="A458" s="257" t="s">
        <v>2714</v>
      </c>
      <c r="B458" s="396" t="str">
        <f>IF(LEN(A458)=0,"",INDEX('[1]Smelter Reference List'!$A$1:$A$65536,MATCH($A458,'[1]Smelter Reference List'!$E$1:$E$65536,0)))</f>
        <v>Tin</v>
      </c>
      <c r="C458" s="397" t="str">
        <f>IF(LEN(A458)=0,"",INDEX('[1]Smelter Reference List'!$C$1:$C$65536,MATCH($A458,'[1]Smelter Reference List'!$E$1:$E$65536,0)))</f>
        <v>PT Wahana Perkit Jaya</v>
      </c>
      <c r="D458" s="396" t="e">
        <f ca="1">IF(ISERROR('[1]Smelter List'!$S180),"",OFFSET('[1]Smelter Reference List'!$C$4,'[1]Smelter List'!$S180-4,0)&amp;"")</f>
        <v>#VALUE!</v>
      </c>
      <c r="E458" s="396" t="e">
        <f ca="1">IF(ISERROR('[1]Smelter List'!$S180),"",OFFSET('[1]Smelter Reference List'!$D$4,'[1]Smelter List'!$S180-4,0)&amp;"")</f>
        <v>#VALUE!</v>
      </c>
      <c r="F458" s="396" t="e">
        <f ca="1">IF(ISERROR('[1]Smelter List'!$S180),"",OFFSET('[1]Smelter Reference List'!$E$4,'[1]Smelter List'!$S180-4,0))</f>
        <v>#VALUE!</v>
      </c>
      <c r="G458" s="396" t="e">
        <f ca="1">IF(C458='[1]Smelter List'!$U$4,"Enter smelter details", IF(ISERROR('[1]Smelter List'!$S180),"",OFFSET('[1]Smelter Reference List'!$F$4,'[1]Smelter List'!$S180-4,0)))</f>
        <v>#VALUE!</v>
      </c>
      <c r="H458" s="398" t="e">
        <f ca="1">IF(ISERROR('[1]Smelter List'!$S180),"",OFFSET('[1]Smelter Reference List'!$G$4,'[1]Smelter List'!$S180-4,0))</f>
        <v>#VALUE!</v>
      </c>
      <c r="I458" s="399" t="e">
        <f ca="1">IF(ISERROR('[1]Smelter List'!$S180),"",OFFSET('[1]Smelter Reference List'!$H$4,'[1]Smelter List'!$S180-4,0))</f>
        <v>#VALUE!</v>
      </c>
      <c r="J458" s="399" t="e">
        <f ca="1">IF(ISERROR('[1]Smelter List'!$S180),"",OFFSET('[1]Smelter Reference List'!$I$4,'[1]Smelter List'!$S180-4,0))</f>
        <v>#VALUE!</v>
      </c>
      <c r="K458" s="402"/>
      <c r="L458" s="402"/>
      <c r="M458" s="402"/>
      <c r="N458" s="402"/>
      <c r="O458" s="402"/>
      <c r="P458" s="402"/>
      <c r="Q458" s="403"/>
      <c r="R458" s="233"/>
      <c r="S458" s="234" t="e">
        <f>IF(#REF!="",NA(),MATCH(#REF!&amp;#REF!,'Smelter Reference List'!$J:$J,0))</f>
        <v>#REF!</v>
      </c>
      <c r="T458" s="235"/>
      <c r="U458" s="235" t="e">
        <f>IF(AND(#REF!="Smelter not listed",OR(LEN(#REF!)=0,LEN(#REF!)=0)),1,0)</f>
        <v>#REF!</v>
      </c>
      <c r="V458" s="235"/>
      <c r="W458" s="235"/>
      <c r="Y458" s="228" t="e">
        <f>#REF!&amp;#REF!</f>
        <v>#REF!</v>
      </c>
    </row>
    <row r="459" spans="1:25" s="228" customFormat="1" ht="20.25">
      <c r="A459" s="257" t="s">
        <v>2576</v>
      </c>
      <c r="B459" s="396" t="str">
        <f>IF(LEN(A459)=0,"",INDEX('[1]Smelter Reference List'!$A$1:$A$65536,MATCH($A459,'[1]Smelter Reference List'!$E$1:$E$65536,0)))</f>
        <v>Tin</v>
      </c>
      <c r="C459" s="397" t="str">
        <f>IF(LEN(A459)=0,"",INDEX('[1]Smelter Reference List'!$C$1:$C$65536,MATCH($A459,'[1]Smelter Reference List'!$E$1:$E$65536,0)))</f>
        <v>Melt Metais e Ligas S.A.</v>
      </c>
      <c r="D459" s="396" t="e">
        <f ca="1">IF(ISERROR('[1]Smelter List'!$S181),"",OFFSET('[1]Smelter Reference List'!$C$4,'[1]Smelter List'!$S181-4,0)&amp;"")</f>
        <v>#VALUE!</v>
      </c>
      <c r="E459" s="396" t="e">
        <f ca="1">IF(ISERROR('[1]Smelter List'!$S181),"",OFFSET('[1]Smelter Reference List'!$D$4,'[1]Smelter List'!$S181-4,0)&amp;"")</f>
        <v>#VALUE!</v>
      </c>
      <c r="F459" s="396" t="e">
        <f ca="1">IF(ISERROR('[1]Smelter List'!$S181),"",OFFSET('[1]Smelter Reference List'!$E$4,'[1]Smelter List'!$S181-4,0))</f>
        <v>#VALUE!</v>
      </c>
      <c r="G459" s="396" t="e">
        <f ca="1">IF(C459='[1]Smelter List'!$U$4,"Enter smelter details", IF(ISERROR('[1]Smelter List'!$S181),"",OFFSET('[1]Smelter Reference List'!$F$4,'[1]Smelter List'!$S181-4,0)))</f>
        <v>#VALUE!</v>
      </c>
      <c r="H459" s="398" t="e">
        <f ca="1">IF(ISERROR('[1]Smelter List'!$S181),"",OFFSET('[1]Smelter Reference List'!$G$4,'[1]Smelter List'!$S181-4,0))</f>
        <v>#VALUE!</v>
      </c>
      <c r="I459" s="399" t="e">
        <f ca="1">IF(ISERROR('[1]Smelter List'!$S181),"",OFFSET('[1]Smelter Reference List'!$H$4,'[1]Smelter List'!$S181-4,0))</f>
        <v>#VALUE!</v>
      </c>
      <c r="J459" s="399" t="e">
        <f ca="1">IF(ISERROR('[1]Smelter List'!$S181),"",OFFSET('[1]Smelter Reference List'!$I$4,'[1]Smelter List'!$S181-4,0))</f>
        <v>#VALUE!</v>
      </c>
      <c r="K459" s="402"/>
      <c r="L459" s="402"/>
      <c r="M459" s="402"/>
      <c r="N459" s="402"/>
      <c r="O459" s="402"/>
      <c r="P459" s="402"/>
      <c r="Q459" s="403"/>
      <c r="R459" s="233"/>
      <c r="S459" s="234" t="e">
        <f>IF(#REF!="",NA(),MATCH(#REF!&amp;#REF!,'Smelter Reference List'!$J:$J,0))</f>
        <v>#REF!</v>
      </c>
      <c r="T459" s="235"/>
      <c r="U459" s="235" t="e">
        <f>IF(AND(#REF!="Smelter not listed",OR(LEN(#REF!)=0,LEN(#REF!)=0)),1,0)</f>
        <v>#REF!</v>
      </c>
      <c r="V459" s="235"/>
      <c r="W459" s="235"/>
      <c r="Y459" s="228" t="e">
        <f>#REF!&amp;#REF!</f>
        <v>#REF!</v>
      </c>
    </row>
    <row r="460" spans="1:25" s="228" customFormat="1" ht="20.25">
      <c r="A460" s="257" t="s">
        <v>2709</v>
      </c>
      <c r="B460" s="396" t="str">
        <f>IF(LEN(A460)=0,"",INDEX('[1]Smelter Reference List'!$A$1:$A$65536,MATCH($A460,'[1]Smelter Reference List'!$E$1:$E$65536,0)))</f>
        <v>Tin</v>
      </c>
      <c r="C460" s="397" t="str">
        <f>IF(LEN(A460)=0,"",INDEX('[1]Smelter Reference List'!$C$1:$C$65536,MATCH($A460,'[1]Smelter Reference List'!$E$1:$E$65536,0)))</f>
        <v>PT ATD Makmur Mandiri Jaya</v>
      </c>
      <c r="D460" s="396" t="e">
        <f ca="1">IF(ISERROR('[1]Smelter List'!$S182),"",OFFSET('[1]Smelter Reference List'!$C$4,'[1]Smelter List'!$S182-4,0)&amp;"")</f>
        <v>#VALUE!</v>
      </c>
      <c r="E460" s="396" t="e">
        <f ca="1">IF(ISERROR('[1]Smelter List'!$S182),"",OFFSET('[1]Smelter Reference List'!$D$4,'[1]Smelter List'!$S182-4,0)&amp;"")</f>
        <v>#VALUE!</v>
      </c>
      <c r="F460" s="396" t="e">
        <f ca="1">IF(ISERROR('[1]Smelter List'!$S182),"",OFFSET('[1]Smelter Reference List'!$E$4,'[1]Smelter List'!$S182-4,0))</f>
        <v>#VALUE!</v>
      </c>
      <c r="G460" s="396" t="e">
        <f ca="1">IF(C460='[1]Smelter List'!$U$4,"Enter smelter details", IF(ISERROR('[1]Smelter List'!$S182),"",OFFSET('[1]Smelter Reference List'!$F$4,'[1]Smelter List'!$S182-4,0)))</f>
        <v>#VALUE!</v>
      </c>
      <c r="H460" s="398" t="e">
        <f ca="1">IF(ISERROR('[1]Smelter List'!$S182),"",OFFSET('[1]Smelter Reference List'!$G$4,'[1]Smelter List'!$S182-4,0))</f>
        <v>#VALUE!</v>
      </c>
      <c r="I460" s="399" t="e">
        <f ca="1">IF(ISERROR('[1]Smelter List'!$S182),"",OFFSET('[1]Smelter Reference List'!$H$4,'[1]Smelter List'!$S182-4,0))</f>
        <v>#VALUE!</v>
      </c>
      <c r="J460" s="399" t="e">
        <f ca="1">IF(ISERROR('[1]Smelter List'!$S182),"",OFFSET('[1]Smelter Reference List'!$I$4,'[1]Smelter List'!$S182-4,0))</f>
        <v>#VALUE!</v>
      </c>
      <c r="K460" s="402"/>
      <c r="L460" s="402"/>
      <c r="M460" s="402"/>
      <c r="N460" s="402"/>
      <c r="O460" s="402"/>
      <c r="P460" s="402"/>
      <c r="Q460" s="403"/>
      <c r="R460" s="233"/>
      <c r="S460" s="234" t="e">
        <f>IF(#REF!="",NA(),MATCH(#REF!&amp;#REF!,'Smelter Reference List'!$J:$J,0))</f>
        <v>#REF!</v>
      </c>
      <c r="T460" s="235"/>
      <c r="U460" s="235" t="e">
        <f>IF(AND(#REF!="Smelter not listed",OR(LEN(#REF!)=0,LEN(#REF!)=0)),1,0)</f>
        <v>#REF!</v>
      </c>
      <c r="V460" s="235"/>
      <c r="W460" s="235"/>
      <c r="Y460" s="228" t="e">
        <f>#REF!&amp;#REF!</f>
        <v>#REF!</v>
      </c>
    </row>
    <row r="461" spans="1:25" s="228" customFormat="1" ht="20.25">
      <c r="A461" s="257" t="s">
        <v>2707</v>
      </c>
      <c r="B461" s="396" t="str">
        <f>IF(LEN(A461)=0,"",INDEX('[1]Smelter Reference List'!$A$1:$A$65536,MATCH($A461,'[1]Smelter Reference List'!$E$1:$E$65536,0)))</f>
        <v>Tin</v>
      </c>
      <c r="C461" s="397" t="str">
        <f>IF(LEN(A461)=0,"",INDEX('[1]Smelter Reference List'!$C$1:$C$65536,MATCH($A461,'[1]Smelter Reference List'!$E$1:$E$65536,0)))</f>
        <v>O.M. Manufacturing Philippines, Inc.</v>
      </c>
      <c r="D461" s="396" t="e">
        <f ca="1">IF(ISERROR('[1]Smelter List'!$S183),"",OFFSET('[1]Smelter Reference List'!$C$4,'[1]Smelter List'!$S183-4,0)&amp;"")</f>
        <v>#VALUE!</v>
      </c>
      <c r="E461" s="396" t="e">
        <f ca="1">IF(ISERROR('[1]Smelter List'!$S183),"",OFFSET('[1]Smelter Reference List'!$D$4,'[1]Smelter List'!$S183-4,0)&amp;"")</f>
        <v>#VALUE!</v>
      </c>
      <c r="F461" s="396" t="e">
        <f ca="1">IF(ISERROR('[1]Smelter List'!$S183),"",OFFSET('[1]Smelter Reference List'!$E$4,'[1]Smelter List'!$S183-4,0))</f>
        <v>#VALUE!</v>
      </c>
      <c r="G461" s="396" t="e">
        <f ca="1">IF(C461='[1]Smelter List'!$U$4,"Enter smelter details", IF(ISERROR('[1]Smelter List'!$S183),"",OFFSET('[1]Smelter Reference List'!$F$4,'[1]Smelter List'!$S183-4,0)))</f>
        <v>#VALUE!</v>
      </c>
      <c r="H461" s="398" t="e">
        <f ca="1">IF(ISERROR('[1]Smelter List'!$S183),"",OFFSET('[1]Smelter Reference List'!$G$4,'[1]Smelter List'!$S183-4,0))</f>
        <v>#VALUE!</v>
      </c>
      <c r="I461" s="399" t="e">
        <f ca="1">IF(ISERROR('[1]Smelter List'!$S183),"",OFFSET('[1]Smelter Reference List'!$H$4,'[1]Smelter List'!$S183-4,0))</f>
        <v>#VALUE!</v>
      </c>
      <c r="J461" s="399" t="e">
        <f ca="1">IF(ISERROR('[1]Smelter List'!$S183),"",OFFSET('[1]Smelter Reference List'!$I$4,'[1]Smelter List'!$S183-4,0))</f>
        <v>#VALUE!</v>
      </c>
      <c r="K461" s="402"/>
      <c r="L461" s="402"/>
      <c r="M461" s="402"/>
      <c r="N461" s="402"/>
      <c r="O461" s="402"/>
      <c r="P461" s="402"/>
      <c r="Q461" s="403"/>
      <c r="R461" s="233"/>
      <c r="S461" s="234" t="e">
        <f>IF(#REF!="",NA(),MATCH(#REF!&amp;#REF!,'Smelter Reference List'!$J:$J,0))</f>
        <v>#REF!</v>
      </c>
      <c r="T461" s="235"/>
      <c r="U461" s="235" t="e">
        <f>IF(AND(#REF!="Smelter not listed",OR(LEN(#REF!)=0,LEN(#REF!)=0)),1,0)</f>
        <v>#REF!</v>
      </c>
      <c r="V461" s="235"/>
      <c r="W461" s="235"/>
      <c r="Y461" s="228" t="e">
        <f>#REF!&amp;#REF!</f>
        <v>#REF!</v>
      </c>
    </row>
    <row r="462" spans="1:25" s="228" customFormat="1" ht="20.25">
      <c r="A462" s="257" t="s">
        <v>2711</v>
      </c>
      <c r="B462" s="396" t="str">
        <f>IF(LEN(A462)=0,"",INDEX('[1]Smelter Reference List'!$A$1:$A$65536,MATCH($A462,'[1]Smelter Reference List'!$E$1:$E$65536,0)))</f>
        <v>Tin</v>
      </c>
      <c r="C462" s="397" t="str">
        <f>IF(LEN(A462)=0,"",INDEX('[1]Smelter Reference List'!$C$1:$C$65536,MATCH($A462,'[1]Smelter Reference List'!$E$1:$E$65536,0)))</f>
        <v>PT Inti Stania Prima</v>
      </c>
      <c r="D462" s="396" t="e">
        <f ca="1">IF(ISERROR('[1]Smelter List'!$S184),"",OFFSET('[1]Smelter Reference List'!$C$4,'[1]Smelter List'!$S184-4,0)&amp;"")</f>
        <v>#VALUE!</v>
      </c>
      <c r="E462" s="396" t="e">
        <f ca="1">IF(ISERROR('[1]Smelter List'!$S184),"",OFFSET('[1]Smelter Reference List'!$D$4,'[1]Smelter List'!$S184-4,0)&amp;"")</f>
        <v>#VALUE!</v>
      </c>
      <c r="F462" s="396" t="e">
        <f ca="1">IF(ISERROR('[1]Smelter List'!$S184),"",OFFSET('[1]Smelter Reference List'!$E$4,'[1]Smelter List'!$S184-4,0))</f>
        <v>#VALUE!</v>
      </c>
      <c r="G462" s="396" t="e">
        <f ca="1">IF(C462='[1]Smelter List'!$U$4,"Enter smelter details", IF(ISERROR('[1]Smelter List'!$S184),"",OFFSET('[1]Smelter Reference List'!$F$4,'[1]Smelter List'!$S184-4,0)))</f>
        <v>#VALUE!</v>
      </c>
      <c r="H462" s="398" t="e">
        <f ca="1">IF(ISERROR('[1]Smelter List'!$S184),"",OFFSET('[1]Smelter Reference List'!$G$4,'[1]Smelter List'!$S184-4,0))</f>
        <v>#VALUE!</v>
      </c>
      <c r="I462" s="399" t="e">
        <f ca="1">IF(ISERROR('[1]Smelter List'!$S184),"",OFFSET('[1]Smelter Reference List'!$H$4,'[1]Smelter List'!$S184-4,0))</f>
        <v>#VALUE!</v>
      </c>
      <c r="J462" s="399" t="e">
        <f ca="1">IF(ISERROR('[1]Smelter List'!$S184),"",OFFSET('[1]Smelter Reference List'!$I$4,'[1]Smelter List'!$S184-4,0))</f>
        <v>#VALUE!</v>
      </c>
      <c r="K462" s="402"/>
      <c r="L462" s="402"/>
      <c r="M462" s="402"/>
      <c r="N462" s="402"/>
      <c r="O462" s="402"/>
      <c r="P462" s="402"/>
      <c r="Q462" s="403"/>
      <c r="R462" s="233"/>
      <c r="S462" s="234" t="e">
        <f>IF(#REF!="",NA(),MATCH(#REF!&amp;#REF!,'Smelter Reference List'!$J:$J,0))</f>
        <v>#REF!</v>
      </c>
      <c r="T462" s="235"/>
      <c r="U462" s="235" t="e">
        <f>IF(AND(#REF!="Smelter not listed",OR(LEN(#REF!)=0,LEN(#REF!)=0)),1,0)</f>
        <v>#REF!</v>
      </c>
      <c r="V462" s="235"/>
      <c r="W462" s="235"/>
      <c r="Y462" s="228" t="e">
        <f>#REF!&amp;#REF!</f>
        <v>#REF!</v>
      </c>
    </row>
    <row r="463" spans="1:25" s="228" customFormat="1" ht="20.25">
      <c r="A463" s="257" t="s">
        <v>3530</v>
      </c>
      <c r="B463" s="396" t="str">
        <f>IF(LEN(A463)=0,"",INDEX('[1]Smelter Reference List'!$A$1:$A$65536,MATCH($A463,'[1]Smelter Reference List'!$E$1:$E$65536,0)))</f>
        <v>Tin</v>
      </c>
      <c r="C463" s="397" t="str">
        <f>IF(LEN(A463)=0,"",INDEX('[1]Smelter Reference List'!$C$1:$C$65536,MATCH($A463,'[1]Smelter Reference List'!$E$1:$E$65536,0)))</f>
        <v>CV Ayi Jaya</v>
      </c>
      <c r="D463" s="396" t="e">
        <f ca="1">IF(ISERROR('[1]Smelter List'!$S185),"",OFFSET('[1]Smelter Reference List'!$C$4,'[1]Smelter List'!$S185-4,0)&amp;"")</f>
        <v>#VALUE!</v>
      </c>
      <c r="E463" s="396" t="e">
        <f ca="1">IF(ISERROR('[1]Smelter List'!$S185),"",OFFSET('[1]Smelter Reference List'!$D$4,'[1]Smelter List'!$S185-4,0)&amp;"")</f>
        <v>#VALUE!</v>
      </c>
      <c r="F463" s="396" t="e">
        <f ca="1">IF(ISERROR('[1]Smelter List'!$S185),"",OFFSET('[1]Smelter Reference List'!$E$4,'[1]Smelter List'!$S185-4,0))</f>
        <v>#VALUE!</v>
      </c>
      <c r="G463" s="396" t="e">
        <f ca="1">IF(C463='[1]Smelter List'!$U$4,"Enter smelter details", IF(ISERROR('[1]Smelter List'!$S185),"",OFFSET('[1]Smelter Reference List'!$F$4,'[1]Smelter List'!$S185-4,0)))</f>
        <v>#VALUE!</v>
      </c>
      <c r="H463" s="398" t="e">
        <f ca="1">IF(ISERROR('[1]Smelter List'!$S185),"",OFFSET('[1]Smelter Reference List'!$G$4,'[1]Smelter List'!$S185-4,0))</f>
        <v>#VALUE!</v>
      </c>
      <c r="I463" s="399" t="e">
        <f ca="1">IF(ISERROR('[1]Smelter List'!$S185),"",OFFSET('[1]Smelter Reference List'!$H$4,'[1]Smelter List'!$S185-4,0))</f>
        <v>#VALUE!</v>
      </c>
      <c r="J463" s="399" t="e">
        <f ca="1">IF(ISERROR('[1]Smelter List'!$S185),"",OFFSET('[1]Smelter Reference List'!$I$4,'[1]Smelter List'!$S185-4,0))</f>
        <v>#VALUE!</v>
      </c>
      <c r="K463" s="402"/>
      <c r="L463" s="402"/>
      <c r="M463" s="402"/>
      <c r="N463" s="402"/>
      <c r="O463" s="402"/>
      <c r="P463" s="402"/>
      <c r="Q463" s="403"/>
      <c r="R463" s="233"/>
      <c r="S463" s="234" t="e">
        <f>IF(#REF!="",NA(),MATCH(#REF!&amp;#REF!,'Smelter Reference List'!$J:$J,0))</f>
        <v>#REF!</v>
      </c>
      <c r="T463" s="235"/>
      <c r="U463" s="235" t="e">
        <f>IF(AND(#REF!="Smelter not listed",OR(LEN(#REF!)=0,LEN(#REF!)=0)),1,0)</f>
        <v>#REF!</v>
      </c>
      <c r="V463" s="235"/>
      <c r="W463" s="235"/>
      <c r="Y463" s="228" t="e">
        <f>#REF!&amp;#REF!</f>
        <v>#REF!</v>
      </c>
    </row>
    <row r="464" spans="1:25" s="228" customFormat="1" ht="20.25">
      <c r="A464" s="257" t="s">
        <v>4390</v>
      </c>
      <c r="B464" s="396" t="str">
        <f>IF(LEN(A464)=0,"",INDEX('[1]Smelter Reference List'!$A$1:$A$65536,MATCH($A464,'[1]Smelter Reference List'!$E$1:$E$65536,0)))</f>
        <v>Tin</v>
      </c>
      <c r="C464" s="397" t="str">
        <f>IF(LEN(A464)=0,"",INDEX('[1]Smelter Reference List'!$C$1:$C$65536,MATCH($A464,'[1]Smelter Reference List'!$E$1:$E$65536,0)))</f>
        <v>CV Dua Sekawan</v>
      </c>
      <c r="D464" s="396" t="e">
        <f ca="1">IF(ISERROR('[1]Smelter List'!$S186),"",OFFSET('[1]Smelter Reference List'!$C$4,'[1]Smelter List'!$S186-4,0)&amp;"")</f>
        <v>#VALUE!</v>
      </c>
      <c r="E464" s="396" t="e">
        <f ca="1">IF(ISERROR('[1]Smelter List'!$S186),"",OFFSET('[1]Smelter Reference List'!$D$4,'[1]Smelter List'!$S186-4,0)&amp;"")</f>
        <v>#VALUE!</v>
      </c>
      <c r="F464" s="396" t="e">
        <f ca="1">IF(ISERROR('[1]Smelter List'!$S186),"",OFFSET('[1]Smelter Reference List'!$E$4,'[1]Smelter List'!$S186-4,0))</f>
        <v>#VALUE!</v>
      </c>
      <c r="G464" s="396" t="e">
        <f ca="1">IF(C464='[1]Smelter List'!$U$4,"Enter smelter details", IF(ISERROR('[1]Smelter List'!$S186),"",OFFSET('[1]Smelter Reference List'!$F$4,'[1]Smelter List'!$S186-4,0)))</f>
        <v>#VALUE!</v>
      </c>
      <c r="H464" s="398" t="e">
        <f ca="1">IF(ISERROR('[1]Smelter List'!$S186),"",OFFSET('[1]Smelter Reference List'!$G$4,'[1]Smelter List'!$S186-4,0))</f>
        <v>#VALUE!</v>
      </c>
      <c r="I464" s="399" t="e">
        <f ca="1">IF(ISERROR('[1]Smelter List'!$S186),"",OFFSET('[1]Smelter Reference List'!$H$4,'[1]Smelter List'!$S186-4,0))</f>
        <v>#VALUE!</v>
      </c>
      <c r="J464" s="399" t="e">
        <f ca="1">IF(ISERROR('[1]Smelter List'!$S186),"",OFFSET('[1]Smelter Reference List'!$I$4,'[1]Smelter List'!$S186-4,0))</f>
        <v>#VALUE!</v>
      </c>
      <c r="K464" s="402"/>
      <c r="L464" s="402"/>
      <c r="M464" s="402"/>
      <c r="N464" s="402"/>
      <c r="O464" s="402"/>
      <c r="P464" s="402"/>
      <c r="Q464" s="403"/>
      <c r="R464" s="233"/>
      <c r="S464" s="234" t="e">
        <f>IF(#REF!="",NA(),MATCH(#REF!&amp;#REF!,'Smelter Reference List'!$J:$J,0))</f>
        <v>#REF!</v>
      </c>
      <c r="T464" s="235"/>
      <c r="U464" s="235" t="e">
        <f>IF(AND(#REF!="Smelter not listed",OR(LEN(#REF!)=0,LEN(#REF!)=0)),1,0)</f>
        <v>#REF!</v>
      </c>
      <c r="V464" s="235"/>
      <c r="W464" s="235"/>
      <c r="Y464" s="228" t="e">
        <f>#REF!&amp;#REF!</f>
        <v>#REF!</v>
      </c>
    </row>
    <row r="465" spans="1:25" s="228" customFormat="1" ht="20.25">
      <c r="A465" s="257" t="s">
        <v>3544</v>
      </c>
      <c r="B465" s="396" t="str">
        <f>IF(LEN(A465)=0,"",INDEX('[1]Smelter Reference List'!$A$1:$A$65536,MATCH($A465,'[1]Smelter Reference List'!$E$1:$E$65536,0)))</f>
        <v>Tin</v>
      </c>
      <c r="C465" s="397" t="str">
        <f>IF(LEN(A465)=0,"",INDEX('[1]Smelter Reference List'!$C$1:$C$65536,MATCH($A465,'[1]Smelter Reference List'!$E$1:$E$65536,0)))</f>
        <v>PT Cipta Persada Mulia</v>
      </c>
      <c r="D465" s="396" t="e">
        <f ca="1">IF(ISERROR('[1]Smelter List'!$S187),"",OFFSET('[1]Smelter Reference List'!$C$4,'[1]Smelter List'!$S187-4,0)&amp;"")</f>
        <v>#VALUE!</v>
      </c>
      <c r="E465" s="396" t="e">
        <f ca="1">IF(ISERROR('[1]Smelter List'!$S187),"",OFFSET('[1]Smelter Reference List'!$D$4,'[1]Smelter List'!$S187-4,0)&amp;"")</f>
        <v>#VALUE!</v>
      </c>
      <c r="F465" s="396" t="e">
        <f ca="1">IF(ISERROR('[1]Smelter List'!$S187),"",OFFSET('[1]Smelter Reference List'!$E$4,'[1]Smelter List'!$S187-4,0))</f>
        <v>#VALUE!</v>
      </c>
      <c r="G465" s="396" t="e">
        <f ca="1">IF(C465='[1]Smelter List'!$U$4,"Enter smelter details", IF(ISERROR('[1]Smelter List'!$S187),"",OFFSET('[1]Smelter Reference List'!$F$4,'[1]Smelter List'!$S187-4,0)))</f>
        <v>#VALUE!</v>
      </c>
      <c r="H465" s="398" t="e">
        <f ca="1">IF(ISERROR('[1]Smelter List'!$S187),"",OFFSET('[1]Smelter Reference List'!$G$4,'[1]Smelter List'!$S187-4,0))</f>
        <v>#VALUE!</v>
      </c>
      <c r="I465" s="399" t="e">
        <f ca="1">IF(ISERROR('[1]Smelter List'!$S187),"",OFFSET('[1]Smelter Reference List'!$H$4,'[1]Smelter List'!$S187-4,0))</f>
        <v>#VALUE!</v>
      </c>
      <c r="J465" s="399" t="e">
        <f ca="1">IF(ISERROR('[1]Smelter List'!$S187),"",OFFSET('[1]Smelter Reference List'!$I$4,'[1]Smelter List'!$S187-4,0))</f>
        <v>#VALUE!</v>
      </c>
      <c r="K465" s="402"/>
      <c r="L465" s="402"/>
      <c r="M465" s="402"/>
      <c r="N465" s="402"/>
      <c r="O465" s="402"/>
      <c r="P465" s="402"/>
      <c r="Q465" s="403"/>
      <c r="R465" s="233"/>
      <c r="S465" s="234" t="e">
        <f>IF(#REF!="",NA(),MATCH(#REF!&amp;#REF!,'Smelter Reference List'!$J:$J,0))</f>
        <v>#REF!</v>
      </c>
      <c r="T465" s="235"/>
      <c r="U465" s="235" t="e">
        <f>IF(AND(#REF!="Smelter not listed",OR(LEN(#REF!)=0,LEN(#REF!)=0)),1,0)</f>
        <v>#REF!</v>
      </c>
      <c r="V465" s="235"/>
      <c r="W465" s="235"/>
      <c r="Y465" s="228" t="e">
        <f>#REF!&amp;#REF!</f>
        <v>#REF!</v>
      </c>
    </row>
    <row r="466" spans="1:25" s="228" customFormat="1" ht="20.25">
      <c r="A466" s="257" t="s">
        <v>3545</v>
      </c>
      <c r="B466" s="396" t="str">
        <f>IF(LEN(A466)=0,"",INDEX('[1]Smelter Reference List'!$A$1:$A$65536,MATCH($A466,'[1]Smelter Reference List'!$E$1:$E$65536,0)))</f>
        <v>Tin</v>
      </c>
      <c r="C466" s="397" t="str">
        <f>IF(LEN(A466)=0,"",INDEX('[1]Smelter Reference List'!$C$1:$C$65536,MATCH($A466,'[1]Smelter Reference List'!$E$1:$E$65536,0)))</f>
        <v>Resind Indústria e Comércio Ltda.</v>
      </c>
      <c r="D466" s="396" t="e">
        <f ca="1">IF(ISERROR('[1]Smelter List'!$S188),"",OFFSET('[1]Smelter Reference List'!$C$4,'[1]Smelter List'!$S188-4,0)&amp;"")</f>
        <v>#VALUE!</v>
      </c>
      <c r="E466" s="396" t="e">
        <f ca="1">IF(ISERROR('[1]Smelter List'!$S188),"",OFFSET('[1]Smelter Reference List'!$D$4,'[1]Smelter List'!$S188-4,0)&amp;"")</f>
        <v>#VALUE!</v>
      </c>
      <c r="F466" s="396" t="e">
        <f ca="1">IF(ISERROR('[1]Smelter List'!$S188),"",OFFSET('[1]Smelter Reference List'!$E$4,'[1]Smelter List'!$S188-4,0))</f>
        <v>#VALUE!</v>
      </c>
      <c r="G466" s="396" t="e">
        <f ca="1">IF(C466='[1]Smelter List'!$U$4,"Enter smelter details", IF(ISERROR('[1]Smelter List'!$S188),"",OFFSET('[1]Smelter Reference List'!$F$4,'[1]Smelter List'!$S188-4,0)))</f>
        <v>#VALUE!</v>
      </c>
      <c r="H466" s="398" t="e">
        <f ca="1">IF(ISERROR('[1]Smelter List'!$S188),"",OFFSET('[1]Smelter Reference List'!$G$4,'[1]Smelter List'!$S188-4,0))</f>
        <v>#VALUE!</v>
      </c>
      <c r="I466" s="399" t="e">
        <f ca="1">IF(ISERROR('[1]Smelter List'!$S188),"",OFFSET('[1]Smelter Reference List'!$H$4,'[1]Smelter List'!$S188-4,0))</f>
        <v>#VALUE!</v>
      </c>
      <c r="J466" s="399" t="e">
        <f ca="1">IF(ISERROR('[1]Smelter List'!$S188),"",OFFSET('[1]Smelter Reference List'!$I$4,'[1]Smelter List'!$S188-4,0))</f>
        <v>#VALUE!</v>
      </c>
      <c r="K466" s="402"/>
      <c r="L466" s="402"/>
      <c r="M466" s="402"/>
      <c r="N466" s="402"/>
      <c r="O466" s="402"/>
      <c r="P466" s="402"/>
      <c r="Q466" s="403"/>
      <c r="R466" s="233"/>
      <c r="S466" s="234" t="e">
        <f>IF(#REF!="",NA(),MATCH(#REF!&amp;#REF!,'Smelter Reference List'!$J:$J,0))</f>
        <v>#REF!</v>
      </c>
      <c r="T466" s="235"/>
      <c r="U466" s="235" t="e">
        <f>IF(AND(#REF!="Smelter not listed",OR(LEN(#REF!)=0,LEN(#REF!)=0)),1,0)</f>
        <v>#REF!</v>
      </c>
      <c r="V466" s="235"/>
      <c r="W466" s="235"/>
      <c r="Y466" s="228" t="e">
        <f>#REF!&amp;#REF!</f>
        <v>#REF!</v>
      </c>
    </row>
    <row r="467" spans="1:25" s="228" customFormat="1" ht="20.25">
      <c r="A467" s="257" t="s">
        <v>3547</v>
      </c>
      <c r="B467" s="396" t="str">
        <f>IF(LEN(A467)=0,"",INDEX('[1]Smelter Reference List'!$A$1:$A$65536,MATCH($A467,'[1]Smelter Reference List'!$E$1:$E$65536,0)))</f>
        <v>Tin</v>
      </c>
      <c r="C467" s="397" t="str">
        <f>IF(LEN(A467)=0,"",INDEX('[1]Smelter Reference List'!$C$1:$C$65536,MATCH($A467,'[1]Smelter Reference List'!$E$1:$E$65536,0)))</f>
        <v>Metallo-Chimique N.V.</v>
      </c>
      <c r="D467" s="396" t="e">
        <f ca="1">IF(ISERROR('[1]Smelter List'!$S189),"",OFFSET('[1]Smelter Reference List'!$C$4,'[1]Smelter List'!$S189-4,0)&amp;"")</f>
        <v>#VALUE!</v>
      </c>
      <c r="E467" s="396" t="e">
        <f ca="1">IF(ISERROR('[1]Smelter List'!$S189),"",OFFSET('[1]Smelter Reference List'!$D$4,'[1]Smelter List'!$S189-4,0)&amp;"")</f>
        <v>#VALUE!</v>
      </c>
      <c r="F467" s="396" t="e">
        <f ca="1">IF(ISERROR('[1]Smelter List'!$S189),"",OFFSET('[1]Smelter Reference List'!$E$4,'[1]Smelter List'!$S189-4,0))</f>
        <v>#VALUE!</v>
      </c>
      <c r="G467" s="396" t="e">
        <f ca="1">IF(C467='[1]Smelter List'!$U$4,"Enter smelter details", IF(ISERROR('[1]Smelter List'!$S189),"",OFFSET('[1]Smelter Reference List'!$F$4,'[1]Smelter List'!$S189-4,0)))</f>
        <v>#VALUE!</v>
      </c>
      <c r="H467" s="398" t="e">
        <f ca="1">IF(ISERROR('[1]Smelter List'!$S189),"",OFFSET('[1]Smelter Reference List'!$G$4,'[1]Smelter List'!$S189-4,0))</f>
        <v>#VALUE!</v>
      </c>
      <c r="I467" s="399" t="e">
        <f ca="1">IF(ISERROR('[1]Smelter List'!$S189),"",OFFSET('[1]Smelter Reference List'!$H$4,'[1]Smelter List'!$S189-4,0))</f>
        <v>#VALUE!</v>
      </c>
      <c r="J467" s="399" t="e">
        <f ca="1">IF(ISERROR('[1]Smelter List'!$S189),"",OFFSET('[1]Smelter Reference List'!$I$4,'[1]Smelter List'!$S189-4,0))</f>
        <v>#VALUE!</v>
      </c>
      <c r="K467" s="402"/>
      <c r="L467" s="402"/>
      <c r="M467" s="402"/>
      <c r="N467" s="402"/>
      <c r="O467" s="402"/>
      <c r="P467" s="402"/>
      <c r="Q467" s="403"/>
      <c r="R467" s="233"/>
      <c r="S467" s="234" t="e">
        <f>IF(#REF!="",NA(),MATCH(#REF!&amp;#REF!,'Smelter Reference List'!$J:$J,0))</f>
        <v>#REF!</v>
      </c>
      <c r="T467" s="235"/>
      <c r="U467" s="235" t="e">
        <f>IF(AND(#REF!="Smelter not listed",OR(LEN(#REF!)=0,LEN(#REF!)=0)),1,0)</f>
        <v>#REF!</v>
      </c>
      <c r="V467" s="235"/>
      <c r="W467" s="235"/>
      <c r="Y467" s="228" t="e">
        <f>#REF!&amp;#REF!</f>
        <v>#REF!</v>
      </c>
    </row>
    <row r="468" spans="1:25" s="228" customFormat="1" ht="20.25">
      <c r="A468" s="257" t="s">
        <v>3549</v>
      </c>
      <c r="B468" s="396" t="str">
        <f>IF(LEN(A468)=0,"",INDEX('[1]Smelter Reference List'!$A$1:$A$65536,MATCH($A468,'[1]Smelter Reference List'!$E$1:$E$65536,0)))</f>
        <v>Tin</v>
      </c>
      <c r="C468" s="397" t="str">
        <f>IF(LEN(A468)=0,"",INDEX('[1]Smelter Reference List'!$C$1:$C$65536,MATCH($A468,'[1]Smelter Reference List'!$E$1:$E$65536,0)))</f>
        <v>Elmet S.L.U.</v>
      </c>
      <c r="D468" s="396" t="e">
        <f ca="1">IF(ISERROR('[1]Smelter List'!$S190),"",OFFSET('[1]Smelter Reference List'!$C$4,'[1]Smelter List'!$S190-4,0)&amp;"")</f>
        <v>#VALUE!</v>
      </c>
      <c r="E468" s="396" t="e">
        <f ca="1">IF(ISERROR('[1]Smelter List'!$S190),"",OFFSET('[1]Smelter Reference List'!$D$4,'[1]Smelter List'!$S190-4,0)&amp;"")</f>
        <v>#VALUE!</v>
      </c>
      <c r="F468" s="396" t="e">
        <f ca="1">IF(ISERROR('[1]Smelter List'!$S190),"",OFFSET('[1]Smelter Reference List'!$E$4,'[1]Smelter List'!$S190-4,0))</f>
        <v>#VALUE!</v>
      </c>
      <c r="G468" s="396" t="e">
        <f ca="1">IF(C468='[1]Smelter List'!$U$4,"Enter smelter details", IF(ISERROR('[1]Smelter List'!$S190),"",OFFSET('[1]Smelter Reference List'!$F$4,'[1]Smelter List'!$S190-4,0)))</f>
        <v>#VALUE!</v>
      </c>
      <c r="H468" s="398" t="e">
        <f ca="1">IF(ISERROR('[1]Smelter List'!$S190),"",OFFSET('[1]Smelter Reference List'!$G$4,'[1]Smelter List'!$S190-4,0))</f>
        <v>#VALUE!</v>
      </c>
      <c r="I468" s="399" t="e">
        <f ca="1">IF(ISERROR('[1]Smelter List'!$S190),"",OFFSET('[1]Smelter Reference List'!$H$4,'[1]Smelter List'!$S190-4,0))</f>
        <v>#VALUE!</v>
      </c>
      <c r="J468" s="399" t="e">
        <f ca="1">IF(ISERROR('[1]Smelter List'!$S190),"",OFFSET('[1]Smelter Reference List'!$I$4,'[1]Smelter List'!$S190-4,0))</f>
        <v>#VALUE!</v>
      </c>
      <c r="K468" s="402"/>
      <c r="L468" s="402"/>
      <c r="M468" s="402"/>
      <c r="N468" s="402"/>
      <c r="O468" s="402"/>
      <c r="P468" s="402"/>
      <c r="Q468" s="403"/>
      <c r="R468" s="233"/>
      <c r="S468" s="234" t="e">
        <f>IF(#REF!="",NA(),MATCH(#REF!&amp;#REF!,'Smelter Reference List'!$J:$J,0))</f>
        <v>#REF!</v>
      </c>
      <c r="T468" s="235"/>
      <c r="U468" s="235" t="e">
        <f>IF(AND(#REF!="Smelter not listed",OR(LEN(#REF!)=0,LEN(#REF!)=0)),1,0)</f>
        <v>#REF!</v>
      </c>
      <c r="V468" s="235"/>
      <c r="W468" s="235"/>
      <c r="Y468" s="228" t="e">
        <f>#REF!&amp;#REF!</f>
        <v>#REF!</v>
      </c>
    </row>
    <row r="469" spans="1:25" s="228" customFormat="1" ht="20.25">
      <c r="A469" s="257" t="s">
        <v>4278</v>
      </c>
      <c r="B469" s="396" t="str">
        <f>IF(LEN(A469)=0,"",INDEX('[1]Smelter Reference List'!$A$1:$A$65536,MATCH($A469,'[1]Smelter Reference List'!$E$1:$E$65536,0)))</f>
        <v>Tin</v>
      </c>
      <c r="C469" s="397" t="str">
        <f>IF(LEN(A469)=0,"",INDEX('[1]Smelter Reference List'!$C$1:$C$65536,MATCH($A469,'[1]Smelter Reference List'!$E$1:$E$65536,0)))</f>
        <v>PT Bangka Prima Tin</v>
      </c>
      <c r="D469" s="396" t="e">
        <f ca="1">IF(ISERROR('[1]Smelter List'!$S191),"",OFFSET('[1]Smelter Reference List'!$C$4,'[1]Smelter List'!$S191-4,0)&amp;"")</f>
        <v>#VALUE!</v>
      </c>
      <c r="E469" s="396" t="e">
        <f ca="1">IF(ISERROR('[1]Smelter List'!$S191),"",OFFSET('[1]Smelter Reference List'!$D$4,'[1]Smelter List'!$S191-4,0)&amp;"")</f>
        <v>#VALUE!</v>
      </c>
      <c r="F469" s="396" t="e">
        <f ca="1">IF(ISERROR('[1]Smelter List'!$S191),"",OFFSET('[1]Smelter Reference List'!$E$4,'[1]Smelter List'!$S191-4,0))</f>
        <v>#VALUE!</v>
      </c>
      <c r="G469" s="396" t="e">
        <f ca="1">IF(C469='[1]Smelter List'!$U$4,"Enter smelter details", IF(ISERROR('[1]Smelter List'!$S191),"",OFFSET('[1]Smelter Reference List'!$F$4,'[1]Smelter List'!$S191-4,0)))</f>
        <v>#VALUE!</v>
      </c>
      <c r="H469" s="398" t="e">
        <f ca="1">IF(ISERROR('[1]Smelter List'!$S191),"",OFFSET('[1]Smelter Reference List'!$G$4,'[1]Smelter List'!$S191-4,0))</f>
        <v>#VALUE!</v>
      </c>
      <c r="I469" s="399" t="e">
        <f ca="1">IF(ISERROR('[1]Smelter List'!$S191),"",OFFSET('[1]Smelter Reference List'!$H$4,'[1]Smelter List'!$S191-4,0))</f>
        <v>#VALUE!</v>
      </c>
      <c r="J469" s="399" t="e">
        <f ca="1">IF(ISERROR('[1]Smelter List'!$S191),"",OFFSET('[1]Smelter Reference List'!$I$4,'[1]Smelter List'!$S191-4,0))</f>
        <v>#VALUE!</v>
      </c>
      <c r="K469" s="402"/>
      <c r="L469" s="402"/>
      <c r="M469" s="402"/>
      <c r="N469" s="402"/>
      <c r="O469" s="402"/>
      <c r="P469" s="402"/>
      <c r="Q469" s="403"/>
      <c r="R469" s="233"/>
      <c r="S469" s="234" t="e">
        <f>IF(#REF!="",NA(),MATCH(#REF!&amp;#REF!,'Smelter Reference List'!$J:$J,0))</f>
        <v>#REF!</v>
      </c>
      <c r="T469" s="235"/>
      <c r="U469" s="235" t="e">
        <f>IF(AND(#REF!="Smelter not listed",OR(LEN(#REF!)=0,LEN(#REF!)=0)),1,0)</f>
        <v>#REF!</v>
      </c>
      <c r="V469" s="235"/>
      <c r="W469" s="235"/>
      <c r="Y469" s="228" t="e">
        <f>#REF!&amp;#REF!</f>
        <v>#REF!</v>
      </c>
    </row>
    <row r="470" spans="1:25" s="228" customFormat="1" ht="20.25">
      <c r="A470" s="257" t="s">
        <v>4321</v>
      </c>
      <c r="B470" s="396" t="str">
        <f>IF(LEN(A470)=0,"",INDEX('[1]Smelter Reference List'!$A$1:$A$65536,MATCH($A470,'[1]Smelter Reference List'!$E$1:$E$65536,0)))</f>
        <v>Tin</v>
      </c>
      <c r="C470" s="397" t="str">
        <f>IF(LEN(A470)=0,"",INDEX('[1]Smelter Reference List'!$C$1:$C$65536,MATCH($A470,'[1]Smelter Reference List'!$E$1:$E$65536,0)))</f>
        <v>PT Sukses Inti Makmur</v>
      </c>
      <c r="D470" s="396" t="e">
        <f ca="1">IF(ISERROR('[1]Smelter List'!$S192),"",OFFSET('[1]Smelter Reference List'!$C$4,'[1]Smelter List'!$S192-4,0)&amp;"")</f>
        <v>#VALUE!</v>
      </c>
      <c r="E470" s="396" t="e">
        <f ca="1">IF(ISERROR('[1]Smelter List'!$S192),"",OFFSET('[1]Smelter Reference List'!$D$4,'[1]Smelter List'!$S192-4,0)&amp;"")</f>
        <v>#VALUE!</v>
      </c>
      <c r="F470" s="396" t="e">
        <f ca="1">IF(ISERROR('[1]Smelter List'!$S192),"",OFFSET('[1]Smelter Reference List'!$E$4,'[1]Smelter List'!$S192-4,0))</f>
        <v>#VALUE!</v>
      </c>
      <c r="G470" s="396" t="e">
        <f ca="1">IF(C470='[1]Smelter List'!$U$4,"Enter smelter details", IF(ISERROR('[1]Smelter List'!$S192),"",OFFSET('[1]Smelter Reference List'!$F$4,'[1]Smelter List'!$S192-4,0)))</f>
        <v>#VALUE!</v>
      </c>
      <c r="H470" s="398" t="e">
        <f ca="1">IF(ISERROR('[1]Smelter List'!$S192),"",OFFSET('[1]Smelter Reference List'!$G$4,'[1]Smelter List'!$S192-4,0))</f>
        <v>#VALUE!</v>
      </c>
      <c r="I470" s="399" t="e">
        <f ca="1">IF(ISERROR('[1]Smelter List'!$S192),"",OFFSET('[1]Smelter Reference List'!$H$4,'[1]Smelter List'!$S192-4,0))</f>
        <v>#VALUE!</v>
      </c>
      <c r="J470" s="399" t="e">
        <f ca="1">IF(ISERROR('[1]Smelter List'!$S192),"",OFFSET('[1]Smelter Reference List'!$I$4,'[1]Smelter List'!$S192-4,0))</f>
        <v>#VALUE!</v>
      </c>
      <c r="K470" s="402"/>
      <c r="L470" s="402"/>
      <c r="M470" s="402"/>
      <c r="N470" s="402"/>
      <c r="O470" s="402"/>
      <c r="P470" s="402"/>
      <c r="Q470" s="403"/>
      <c r="R470" s="233"/>
      <c r="S470" s="234" t="e">
        <f>IF(#REF!="",NA(),MATCH(#REF!&amp;#REF!,'Smelter Reference List'!$J:$J,0))</f>
        <v>#REF!</v>
      </c>
      <c r="T470" s="235"/>
      <c r="U470" s="235" t="e">
        <f>IF(AND(#REF!="Smelter not listed",OR(LEN(#REF!)=0,LEN(#REF!)=0)),1,0)</f>
        <v>#REF!</v>
      </c>
      <c r="V470" s="235"/>
      <c r="W470" s="235"/>
      <c r="Y470" s="228" t="e">
        <f>#REF!&amp;#REF!</f>
        <v>#REF!</v>
      </c>
    </row>
    <row r="471" spans="1:25" s="228" customFormat="1" ht="20.25">
      <c r="A471" s="257" t="s">
        <v>1408</v>
      </c>
      <c r="B471" s="396" t="str">
        <f>IF(LEN(A471)=0,"",INDEX('[1]Smelter Reference List'!$A$1:$A$65536,MATCH($A471,'[1]Smelter Reference List'!$E$1:$E$65536,0)))</f>
        <v>Tungsten</v>
      </c>
      <c r="C471" s="397" t="str">
        <f>IF(LEN(A471)=0,"",INDEX('[1]Smelter Reference List'!$C$1:$C$65536,MATCH($A471,'[1]Smelter Reference List'!$E$1:$E$65536,0)))</f>
        <v>A.L.M.T. TUNGSTEN Corp.</v>
      </c>
      <c r="D471" s="396" t="e">
        <f ca="1">IF(ISERROR('[1]Smelter List'!$S193),"",OFFSET('[1]Smelter Reference List'!$C$4,'[1]Smelter List'!$S193-4,0)&amp;"")</f>
        <v>#VALUE!</v>
      </c>
      <c r="E471" s="396" t="e">
        <f ca="1">IF(ISERROR('[1]Smelter List'!$S193),"",OFFSET('[1]Smelter Reference List'!$D$4,'[1]Smelter List'!$S193-4,0)&amp;"")</f>
        <v>#VALUE!</v>
      </c>
      <c r="F471" s="396" t="e">
        <f ca="1">IF(ISERROR('[1]Smelter List'!$S193),"",OFFSET('[1]Smelter Reference List'!$E$4,'[1]Smelter List'!$S193-4,0))</f>
        <v>#VALUE!</v>
      </c>
      <c r="G471" s="396" t="e">
        <f ca="1">IF(C471='[1]Smelter List'!$U$4,"Enter smelter details", IF(ISERROR('[1]Smelter List'!$S193),"",OFFSET('[1]Smelter Reference List'!$F$4,'[1]Smelter List'!$S193-4,0)))</f>
        <v>#VALUE!</v>
      </c>
      <c r="H471" s="398" t="e">
        <f ca="1">IF(ISERROR('[1]Smelter List'!$S193),"",OFFSET('[1]Smelter Reference List'!$G$4,'[1]Smelter List'!$S193-4,0))</f>
        <v>#VALUE!</v>
      </c>
      <c r="I471" s="399" t="e">
        <f ca="1">IF(ISERROR('[1]Smelter List'!$S193),"",OFFSET('[1]Smelter Reference List'!$H$4,'[1]Smelter List'!$S193-4,0))</f>
        <v>#VALUE!</v>
      </c>
      <c r="J471" s="399" t="e">
        <f ca="1">IF(ISERROR('[1]Smelter List'!$S193),"",OFFSET('[1]Smelter Reference List'!$I$4,'[1]Smelter List'!$S193-4,0))</f>
        <v>#VALUE!</v>
      </c>
      <c r="K471" s="402"/>
      <c r="L471" s="402"/>
      <c r="M471" s="402"/>
      <c r="N471" s="402"/>
      <c r="O471" s="402"/>
      <c r="P471" s="402"/>
      <c r="Q471" s="403"/>
      <c r="R471" s="233"/>
      <c r="S471" s="234" t="e">
        <f>IF(#REF!="",NA(),MATCH(#REF!&amp;#REF!,'Smelter Reference List'!$J:$J,0))</f>
        <v>#REF!</v>
      </c>
      <c r="T471" s="235"/>
      <c r="U471" s="235" t="e">
        <f>IF(AND(#REF!="Smelter not listed",OR(LEN(#REF!)=0,LEN(#REF!)=0)),1,0)</f>
        <v>#REF!</v>
      </c>
      <c r="V471" s="235"/>
      <c r="W471" s="235"/>
      <c r="Y471" s="228" t="e">
        <f>#REF!&amp;#REF!</f>
        <v>#REF!</v>
      </c>
    </row>
    <row r="472" spans="1:25" s="228" customFormat="1" ht="20.25">
      <c r="A472" s="257" t="s">
        <v>1409</v>
      </c>
      <c r="B472" s="396" t="str">
        <f>IF(LEN(A472)=0,"",INDEX('[1]Smelter Reference List'!$A$1:$A$65536,MATCH($A472,'[1]Smelter Reference List'!$E$1:$E$65536,0)))</f>
        <v>Tungsten</v>
      </c>
      <c r="C472" s="397" t="str">
        <f>IF(LEN(A472)=0,"",INDEX('[1]Smelter Reference List'!$C$1:$C$65536,MATCH($A472,'[1]Smelter Reference List'!$E$1:$E$65536,0)))</f>
        <v>Kennametal Huntsville</v>
      </c>
      <c r="D472" s="396" t="e">
        <f ca="1">IF(ISERROR('[1]Smelter List'!$S194),"",OFFSET('[1]Smelter Reference List'!$C$4,'[1]Smelter List'!$S194-4,0)&amp;"")</f>
        <v>#VALUE!</v>
      </c>
      <c r="E472" s="396" t="e">
        <f ca="1">IF(ISERROR('[1]Smelter List'!$S194),"",OFFSET('[1]Smelter Reference List'!$D$4,'[1]Smelter List'!$S194-4,0)&amp;"")</f>
        <v>#VALUE!</v>
      </c>
      <c r="F472" s="396" t="e">
        <f ca="1">IF(ISERROR('[1]Smelter List'!$S194),"",OFFSET('[1]Smelter Reference List'!$E$4,'[1]Smelter List'!$S194-4,0))</f>
        <v>#VALUE!</v>
      </c>
      <c r="G472" s="396" t="e">
        <f ca="1">IF(C472='[1]Smelter List'!$U$4,"Enter smelter details", IF(ISERROR('[1]Smelter List'!$S194),"",OFFSET('[1]Smelter Reference List'!$F$4,'[1]Smelter List'!$S194-4,0)))</f>
        <v>#VALUE!</v>
      </c>
      <c r="H472" s="398" t="e">
        <f ca="1">IF(ISERROR('[1]Smelter List'!$S194),"",OFFSET('[1]Smelter Reference List'!$G$4,'[1]Smelter List'!$S194-4,0))</f>
        <v>#VALUE!</v>
      </c>
      <c r="I472" s="399" t="e">
        <f ca="1">IF(ISERROR('[1]Smelter List'!$S194),"",OFFSET('[1]Smelter Reference List'!$H$4,'[1]Smelter List'!$S194-4,0))</f>
        <v>#VALUE!</v>
      </c>
      <c r="J472" s="399" t="e">
        <f ca="1">IF(ISERROR('[1]Smelter List'!$S194),"",OFFSET('[1]Smelter Reference List'!$I$4,'[1]Smelter List'!$S194-4,0))</f>
        <v>#VALUE!</v>
      </c>
      <c r="K472" s="402"/>
      <c r="L472" s="402"/>
      <c r="M472" s="402"/>
      <c r="N472" s="402"/>
      <c r="O472" s="402"/>
      <c r="P472" s="402"/>
      <c r="Q472" s="403"/>
      <c r="R472" s="233"/>
      <c r="S472" s="234" t="e">
        <f>IF(#REF!="",NA(),MATCH(#REF!&amp;#REF!,'Smelter Reference List'!$J:$J,0))</f>
        <v>#REF!</v>
      </c>
      <c r="T472" s="235"/>
      <c r="U472" s="235" t="e">
        <f>IF(AND(#REF!="Smelter not listed",OR(LEN(#REF!)=0,LEN(#REF!)=0)),1,0)</f>
        <v>#REF!</v>
      </c>
      <c r="V472" s="235"/>
      <c r="W472" s="235"/>
      <c r="Y472" s="228" t="e">
        <f>#REF!&amp;#REF!</f>
        <v>#REF!</v>
      </c>
    </row>
    <row r="473" spans="1:25" s="228" customFormat="1" ht="20.25">
      <c r="A473" s="257" t="s">
        <v>1410</v>
      </c>
      <c r="B473" s="396" t="str">
        <f>IF(LEN(A473)=0,"",INDEX('[1]Smelter Reference List'!$A$1:$A$65536,MATCH($A473,'[1]Smelter Reference List'!$E$1:$E$65536,0)))</f>
        <v>Tungsten</v>
      </c>
      <c r="C473" s="397" t="str">
        <f>IF(LEN(A473)=0,"",INDEX('[1]Smelter Reference List'!$C$1:$C$65536,MATCH($A473,'[1]Smelter Reference List'!$E$1:$E$65536,0)))</f>
        <v>Guangdong Xianglu Tungsten Co., Ltd.</v>
      </c>
      <c r="D473" s="396" t="e">
        <f ca="1">IF(ISERROR('[1]Smelter List'!$S195),"",OFFSET('[1]Smelter Reference List'!$C$4,'[1]Smelter List'!$S195-4,0)&amp;"")</f>
        <v>#VALUE!</v>
      </c>
      <c r="E473" s="396" t="e">
        <f ca="1">IF(ISERROR('[1]Smelter List'!$S195),"",OFFSET('[1]Smelter Reference List'!$D$4,'[1]Smelter List'!$S195-4,0)&amp;"")</f>
        <v>#VALUE!</v>
      </c>
      <c r="F473" s="396" t="e">
        <f ca="1">IF(ISERROR('[1]Smelter List'!$S195),"",OFFSET('[1]Smelter Reference List'!$E$4,'[1]Smelter List'!$S195-4,0))</f>
        <v>#VALUE!</v>
      </c>
      <c r="G473" s="396" t="e">
        <f ca="1">IF(C473='[1]Smelter List'!$U$4,"Enter smelter details", IF(ISERROR('[1]Smelter List'!$S195),"",OFFSET('[1]Smelter Reference List'!$F$4,'[1]Smelter List'!$S195-4,0)))</f>
        <v>#VALUE!</v>
      </c>
      <c r="H473" s="398" t="e">
        <f ca="1">IF(ISERROR('[1]Smelter List'!$S195),"",OFFSET('[1]Smelter Reference List'!$G$4,'[1]Smelter List'!$S195-4,0))</f>
        <v>#VALUE!</v>
      </c>
      <c r="I473" s="399" t="e">
        <f ca="1">IF(ISERROR('[1]Smelter List'!$S195),"",OFFSET('[1]Smelter Reference List'!$H$4,'[1]Smelter List'!$S195-4,0))</f>
        <v>#VALUE!</v>
      </c>
      <c r="J473" s="399" t="e">
        <f ca="1">IF(ISERROR('[1]Smelter List'!$S195),"",OFFSET('[1]Smelter Reference List'!$I$4,'[1]Smelter List'!$S195-4,0))</f>
        <v>#VALUE!</v>
      </c>
      <c r="K473" s="402"/>
      <c r="L473" s="402"/>
      <c r="M473" s="402"/>
      <c r="N473" s="402"/>
      <c r="O473" s="402"/>
      <c r="P473" s="402"/>
      <c r="Q473" s="403"/>
      <c r="R473" s="233"/>
      <c r="S473" s="234" t="e">
        <f>IF(#REF!="",NA(),MATCH(#REF!&amp;#REF!,'Smelter Reference List'!$J:$J,0))</f>
        <v>#REF!</v>
      </c>
      <c r="T473" s="235"/>
      <c r="U473" s="235" t="e">
        <f>IF(AND(#REF!="Smelter not listed",OR(LEN(#REF!)=0,LEN(#REF!)=0)),1,0)</f>
        <v>#REF!</v>
      </c>
      <c r="V473" s="235"/>
      <c r="W473" s="235"/>
      <c r="Y473" s="228" t="e">
        <f>#REF!&amp;#REF!</f>
        <v>#REF!</v>
      </c>
    </row>
    <row r="474" spans="1:25" s="228" customFormat="1" ht="20.25">
      <c r="A474" s="257" t="s">
        <v>1411</v>
      </c>
      <c r="B474" s="396" t="str">
        <f>IF(LEN(A474)=0,"",INDEX('[1]Smelter Reference List'!$A$1:$A$65536,MATCH($A474,'[1]Smelter Reference List'!$E$1:$E$65536,0)))</f>
        <v>Tungsten</v>
      </c>
      <c r="C474" s="397" t="str">
        <f>IF(LEN(A474)=0,"",INDEX('[1]Smelter Reference List'!$C$1:$C$65536,MATCH($A474,'[1]Smelter Reference List'!$E$1:$E$65536,0)))</f>
        <v>Chongyi Zhangyuan Tungsten Co., Ltd.</v>
      </c>
      <c r="D474" s="396" t="e">
        <f ca="1">IF(ISERROR('[1]Smelter List'!$S196),"",OFFSET('[1]Smelter Reference List'!$C$4,'[1]Smelter List'!$S196-4,0)&amp;"")</f>
        <v>#VALUE!</v>
      </c>
      <c r="E474" s="396" t="e">
        <f ca="1">IF(ISERROR('[1]Smelter List'!$S196),"",OFFSET('[1]Smelter Reference List'!$D$4,'[1]Smelter List'!$S196-4,0)&amp;"")</f>
        <v>#VALUE!</v>
      </c>
      <c r="F474" s="396" t="e">
        <f ca="1">IF(ISERROR('[1]Smelter List'!$S196),"",OFFSET('[1]Smelter Reference List'!$E$4,'[1]Smelter List'!$S196-4,0))</f>
        <v>#VALUE!</v>
      </c>
      <c r="G474" s="396" t="e">
        <f ca="1">IF(C474='[1]Smelter List'!$U$4,"Enter smelter details", IF(ISERROR('[1]Smelter List'!$S196),"",OFFSET('[1]Smelter Reference List'!$F$4,'[1]Smelter List'!$S196-4,0)))</f>
        <v>#VALUE!</v>
      </c>
      <c r="H474" s="398" t="e">
        <f ca="1">IF(ISERROR('[1]Smelter List'!$S196),"",OFFSET('[1]Smelter Reference List'!$G$4,'[1]Smelter List'!$S196-4,0))</f>
        <v>#VALUE!</v>
      </c>
      <c r="I474" s="399" t="e">
        <f ca="1">IF(ISERROR('[1]Smelter List'!$S196),"",OFFSET('[1]Smelter Reference List'!$H$4,'[1]Smelter List'!$S196-4,0))</f>
        <v>#VALUE!</v>
      </c>
      <c r="J474" s="399" t="e">
        <f ca="1">IF(ISERROR('[1]Smelter List'!$S196),"",OFFSET('[1]Smelter Reference List'!$I$4,'[1]Smelter List'!$S196-4,0))</f>
        <v>#VALUE!</v>
      </c>
      <c r="K474" s="402"/>
      <c r="L474" s="402"/>
      <c r="M474" s="402"/>
      <c r="N474" s="402"/>
      <c r="O474" s="402"/>
      <c r="P474" s="402"/>
      <c r="Q474" s="403"/>
      <c r="R474" s="233"/>
      <c r="S474" s="234" t="e">
        <f>IF(#REF!="",NA(),MATCH(#REF!&amp;#REF!,'Smelter Reference List'!$J:$J,0))</f>
        <v>#REF!</v>
      </c>
      <c r="T474" s="235"/>
      <c r="U474" s="235" t="e">
        <f>IF(AND(#REF!="Smelter not listed",OR(LEN(#REF!)=0,LEN(#REF!)=0)),1,0)</f>
        <v>#REF!</v>
      </c>
      <c r="V474" s="235"/>
      <c r="W474" s="235"/>
      <c r="Y474" s="228" t="e">
        <f>#REF!&amp;#REF!</f>
        <v>#REF!</v>
      </c>
    </row>
    <row r="475" spans="1:25" s="228" customFormat="1" ht="20.25">
      <c r="A475" s="257" t="s">
        <v>1413</v>
      </c>
      <c r="B475" s="396" t="str">
        <f>IF(LEN(A475)=0,"",INDEX('[1]Smelter Reference List'!$A$1:$A$65536,MATCH($A475,'[1]Smelter Reference List'!$E$1:$E$65536,0)))</f>
        <v>Tungsten</v>
      </c>
      <c r="C475" s="397" t="str">
        <f>IF(LEN(A475)=0,"",INDEX('[1]Smelter Reference List'!$C$1:$C$65536,MATCH($A475,'[1]Smelter Reference List'!$E$1:$E$65536,0)))</f>
        <v>Fujian Jinxin Tungsten Co., Ltd.</v>
      </c>
      <c r="D475" s="396" t="e">
        <f ca="1">IF(ISERROR('[1]Smelter List'!$S197),"",OFFSET('[1]Smelter Reference List'!$C$4,'[1]Smelter List'!$S197-4,0)&amp;"")</f>
        <v>#VALUE!</v>
      </c>
      <c r="E475" s="396" t="e">
        <f ca="1">IF(ISERROR('[1]Smelter List'!$S197),"",OFFSET('[1]Smelter Reference List'!$D$4,'[1]Smelter List'!$S197-4,0)&amp;"")</f>
        <v>#VALUE!</v>
      </c>
      <c r="F475" s="396" t="e">
        <f ca="1">IF(ISERROR('[1]Smelter List'!$S197),"",OFFSET('[1]Smelter Reference List'!$E$4,'[1]Smelter List'!$S197-4,0))</f>
        <v>#VALUE!</v>
      </c>
      <c r="G475" s="396" t="e">
        <f ca="1">IF(C475='[1]Smelter List'!$U$4,"Enter smelter details", IF(ISERROR('[1]Smelter List'!$S197),"",OFFSET('[1]Smelter Reference List'!$F$4,'[1]Smelter List'!$S197-4,0)))</f>
        <v>#VALUE!</v>
      </c>
      <c r="H475" s="398" t="e">
        <f ca="1">IF(ISERROR('[1]Smelter List'!$S197),"",OFFSET('[1]Smelter Reference List'!$G$4,'[1]Smelter List'!$S197-4,0))</f>
        <v>#VALUE!</v>
      </c>
      <c r="I475" s="399" t="e">
        <f ca="1">IF(ISERROR('[1]Smelter List'!$S197),"",OFFSET('[1]Smelter Reference List'!$H$4,'[1]Smelter List'!$S197-4,0))</f>
        <v>#VALUE!</v>
      </c>
      <c r="J475" s="399" t="e">
        <f ca="1">IF(ISERROR('[1]Smelter List'!$S197),"",OFFSET('[1]Smelter Reference List'!$I$4,'[1]Smelter List'!$S197-4,0))</f>
        <v>#VALUE!</v>
      </c>
      <c r="K475" s="402"/>
      <c r="L475" s="402"/>
      <c r="M475" s="402"/>
      <c r="N475" s="402"/>
      <c r="O475" s="402"/>
      <c r="P475" s="402"/>
      <c r="Q475" s="403"/>
      <c r="R475" s="233"/>
      <c r="S475" s="234" t="e">
        <f>IF(#REF!="",NA(),MATCH(#REF!&amp;#REF!,'Smelter Reference List'!$J:$J,0))</f>
        <v>#REF!</v>
      </c>
      <c r="T475" s="235"/>
      <c r="U475" s="235" t="e">
        <f>IF(AND(#REF!="Smelter not listed",OR(LEN(#REF!)=0,LEN(#REF!)=0)),1,0)</f>
        <v>#REF!</v>
      </c>
      <c r="V475" s="235"/>
      <c r="W475" s="235"/>
      <c r="Y475" s="228" t="e">
        <f>#REF!&amp;#REF!</f>
        <v>#REF!</v>
      </c>
    </row>
    <row r="476" spans="1:25" s="228" customFormat="1" ht="20.25">
      <c r="A476" s="257" t="s">
        <v>1414</v>
      </c>
      <c r="B476" s="396" t="str">
        <f>IF(LEN(A476)=0,"",INDEX('[1]Smelter Reference List'!$A$1:$A$65536,MATCH($A476,'[1]Smelter Reference List'!$E$1:$E$65536,0)))</f>
        <v>Tungsten</v>
      </c>
      <c r="C476" s="397" t="str">
        <f>IF(LEN(A476)=0,"",INDEX('[1]Smelter Reference List'!$C$1:$C$65536,MATCH($A476,'[1]Smelter Reference List'!$E$1:$E$65536,0)))</f>
        <v>Global Tungsten &amp; Powders Corp.</v>
      </c>
      <c r="D476" s="396" t="e">
        <f ca="1">IF(ISERROR('[1]Smelter List'!$S198),"",OFFSET('[1]Smelter Reference List'!$C$4,'[1]Smelter List'!$S198-4,0)&amp;"")</f>
        <v>#VALUE!</v>
      </c>
      <c r="E476" s="396" t="e">
        <f ca="1">IF(ISERROR('[1]Smelter List'!$S198),"",OFFSET('[1]Smelter Reference List'!$D$4,'[1]Smelter List'!$S198-4,0)&amp;"")</f>
        <v>#VALUE!</v>
      </c>
      <c r="F476" s="396" t="e">
        <f ca="1">IF(ISERROR('[1]Smelter List'!$S198),"",OFFSET('[1]Smelter Reference List'!$E$4,'[1]Smelter List'!$S198-4,0))</f>
        <v>#VALUE!</v>
      </c>
      <c r="G476" s="396" t="e">
        <f ca="1">IF(C476='[1]Smelter List'!$U$4,"Enter smelter details", IF(ISERROR('[1]Smelter List'!$S198),"",OFFSET('[1]Smelter Reference List'!$F$4,'[1]Smelter List'!$S198-4,0)))</f>
        <v>#VALUE!</v>
      </c>
      <c r="H476" s="398" t="e">
        <f ca="1">IF(ISERROR('[1]Smelter List'!$S198),"",OFFSET('[1]Smelter Reference List'!$G$4,'[1]Smelter List'!$S198-4,0))</f>
        <v>#VALUE!</v>
      </c>
      <c r="I476" s="399" t="e">
        <f ca="1">IF(ISERROR('[1]Smelter List'!$S198),"",OFFSET('[1]Smelter Reference List'!$H$4,'[1]Smelter List'!$S198-4,0))</f>
        <v>#VALUE!</v>
      </c>
      <c r="J476" s="399" t="e">
        <f ca="1">IF(ISERROR('[1]Smelter List'!$S198),"",OFFSET('[1]Smelter Reference List'!$I$4,'[1]Smelter List'!$S198-4,0))</f>
        <v>#VALUE!</v>
      </c>
      <c r="K476" s="402"/>
      <c r="L476" s="402"/>
      <c r="M476" s="402"/>
      <c r="N476" s="402"/>
      <c r="O476" s="402"/>
      <c r="P476" s="402"/>
      <c r="Q476" s="403"/>
      <c r="R476" s="233"/>
      <c r="S476" s="234" t="e">
        <f>IF(#REF!="",NA(),MATCH(#REF!&amp;#REF!,'Smelter Reference List'!$J:$J,0))</f>
        <v>#REF!</v>
      </c>
      <c r="T476" s="235"/>
      <c r="U476" s="235" t="e">
        <f>IF(AND(#REF!="Smelter not listed",OR(LEN(#REF!)=0,LEN(#REF!)=0)),1,0)</f>
        <v>#REF!</v>
      </c>
      <c r="V476" s="235"/>
      <c r="W476" s="235"/>
      <c r="Y476" s="228" t="e">
        <f>#REF!&amp;#REF!</f>
        <v>#REF!</v>
      </c>
    </row>
    <row r="477" spans="1:25" s="228" customFormat="1" ht="20.25">
      <c r="A477" s="257" t="s">
        <v>1415</v>
      </c>
      <c r="B477" s="396" t="str">
        <f>IF(LEN(A477)=0,"",INDEX('[1]Smelter Reference List'!$A$1:$A$65536,MATCH($A477,'[1]Smelter Reference List'!$E$1:$E$65536,0)))</f>
        <v>Tungsten</v>
      </c>
      <c r="C477" s="397" t="str">
        <f>IF(LEN(A477)=0,"",INDEX('[1]Smelter Reference List'!$C$1:$C$65536,MATCH($A477,'[1]Smelter Reference List'!$E$1:$E$65536,0)))</f>
        <v>Hunan Chenzhou Mining Co., Ltd.</v>
      </c>
      <c r="D477" s="396" t="e">
        <f ca="1">IF(ISERROR('[1]Smelter List'!$S199),"",OFFSET('[1]Smelter Reference List'!$C$4,'[1]Smelter List'!$S199-4,0)&amp;"")</f>
        <v>#VALUE!</v>
      </c>
      <c r="E477" s="396" t="e">
        <f ca="1">IF(ISERROR('[1]Smelter List'!$S199),"",OFFSET('[1]Smelter Reference List'!$D$4,'[1]Smelter List'!$S199-4,0)&amp;"")</f>
        <v>#VALUE!</v>
      </c>
      <c r="F477" s="396" t="e">
        <f ca="1">IF(ISERROR('[1]Smelter List'!$S199),"",OFFSET('[1]Smelter Reference List'!$E$4,'[1]Smelter List'!$S199-4,0))</f>
        <v>#VALUE!</v>
      </c>
      <c r="G477" s="396" t="e">
        <f ca="1">IF(C477='[1]Smelter List'!$U$4,"Enter smelter details", IF(ISERROR('[1]Smelter List'!$S199),"",OFFSET('[1]Smelter Reference List'!$F$4,'[1]Smelter List'!$S199-4,0)))</f>
        <v>#VALUE!</v>
      </c>
      <c r="H477" s="398" t="e">
        <f ca="1">IF(ISERROR('[1]Smelter List'!$S199),"",OFFSET('[1]Smelter Reference List'!$G$4,'[1]Smelter List'!$S199-4,0))</f>
        <v>#VALUE!</v>
      </c>
      <c r="I477" s="399" t="e">
        <f ca="1">IF(ISERROR('[1]Smelter List'!$S199),"",OFFSET('[1]Smelter Reference List'!$H$4,'[1]Smelter List'!$S199-4,0))</f>
        <v>#VALUE!</v>
      </c>
      <c r="J477" s="399" t="e">
        <f ca="1">IF(ISERROR('[1]Smelter List'!$S199),"",OFFSET('[1]Smelter Reference List'!$I$4,'[1]Smelter List'!$S199-4,0))</f>
        <v>#VALUE!</v>
      </c>
      <c r="K477" s="402"/>
      <c r="L477" s="402"/>
      <c r="M477" s="402"/>
      <c r="N477" s="402"/>
      <c r="O477" s="402"/>
      <c r="P477" s="402"/>
      <c r="Q477" s="403"/>
      <c r="R477" s="233"/>
      <c r="S477" s="234" t="e">
        <f>IF(#REF!="",NA(),MATCH(#REF!&amp;#REF!,'Smelter Reference List'!$J:$J,0))</f>
        <v>#REF!</v>
      </c>
      <c r="T477" s="235"/>
      <c r="U477" s="235" t="e">
        <f>IF(AND(#REF!="Smelter not listed",OR(LEN(#REF!)=0,LEN(#REF!)=0)),1,0)</f>
        <v>#REF!</v>
      </c>
      <c r="V477" s="235"/>
      <c r="W477" s="235"/>
      <c r="Y477" s="228" t="e">
        <f>#REF!&amp;#REF!</f>
        <v>#REF!</v>
      </c>
    </row>
    <row r="478" spans="1:25" s="228" customFormat="1" ht="20.25">
      <c r="A478" s="257" t="s">
        <v>1416</v>
      </c>
      <c r="B478" s="396" t="str">
        <f>IF(LEN(A478)=0,"",INDEX('[1]Smelter Reference List'!$A$1:$A$65536,MATCH($A478,'[1]Smelter Reference List'!$E$1:$E$65536,0)))</f>
        <v>Tungsten</v>
      </c>
      <c r="C478" s="397" t="str">
        <f>IF(LEN(A478)=0,"",INDEX('[1]Smelter Reference List'!$C$1:$C$65536,MATCH($A478,'[1]Smelter Reference List'!$E$1:$E$65536,0)))</f>
        <v>Hunan Chunchang Nonferrous Metals Co., Ltd.</v>
      </c>
      <c r="D478" s="396" t="e">
        <f ca="1">IF(ISERROR('[1]Smelter List'!$S200),"",OFFSET('[1]Smelter Reference List'!$C$4,'[1]Smelter List'!$S200-4,0)&amp;"")</f>
        <v>#VALUE!</v>
      </c>
      <c r="E478" s="396" t="e">
        <f ca="1">IF(ISERROR('[1]Smelter List'!$S200),"",OFFSET('[1]Smelter Reference List'!$D$4,'[1]Smelter List'!$S200-4,0)&amp;"")</f>
        <v>#VALUE!</v>
      </c>
      <c r="F478" s="396" t="e">
        <f ca="1">IF(ISERROR('[1]Smelter List'!$S200),"",OFFSET('[1]Smelter Reference List'!$E$4,'[1]Smelter List'!$S200-4,0))</f>
        <v>#VALUE!</v>
      </c>
      <c r="G478" s="396" t="e">
        <f ca="1">IF(C478='[1]Smelter List'!$U$4,"Enter smelter details", IF(ISERROR('[1]Smelter List'!$S200),"",OFFSET('[1]Smelter Reference List'!$F$4,'[1]Smelter List'!$S200-4,0)))</f>
        <v>#VALUE!</v>
      </c>
      <c r="H478" s="398" t="e">
        <f ca="1">IF(ISERROR('[1]Smelter List'!$S200),"",OFFSET('[1]Smelter Reference List'!$G$4,'[1]Smelter List'!$S200-4,0))</f>
        <v>#VALUE!</v>
      </c>
      <c r="I478" s="399" t="e">
        <f ca="1">IF(ISERROR('[1]Smelter List'!$S200),"",OFFSET('[1]Smelter Reference List'!$H$4,'[1]Smelter List'!$S200-4,0))</f>
        <v>#VALUE!</v>
      </c>
      <c r="J478" s="399" t="e">
        <f ca="1">IF(ISERROR('[1]Smelter List'!$S200),"",OFFSET('[1]Smelter Reference List'!$I$4,'[1]Smelter List'!$S200-4,0))</f>
        <v>#VALUE!</v>
      </c>
      <c r="K478" s="402"/>
      <c r="L478" s="402"/>
      <c r="M478" s="402"/>
      <c r="N478" s="402"/>
      <c r="O478" s="402"/>
      <c r="P478" s="402"/>
      <c r="Q478" s="403"/>
      <c r="R478" s="233"/>
      <c r="S478" s="234" t="e">
        <f>IF(#REF!="",NA(),MATCH(#REF!&amp;#REF!,'Smelter Reference List'!$J:$J,0))</f>
        <v>#REF!</v>
      </c>
      <c r="T478" s="235"/>
      <c r="U478" s="235" t="e">
        <f>IF(AND(#REF!="Smelter not listed",OR(LEN(#REF!)=0,LEN(#REF!)=0)),1,0)</f>
        <v>#REF!</v>
      </c>
      <c r="V478" s="235"/>
      <c r="W478" s="235"/>
      <c r="Y478" s="228" t="e">
        <f>#REF!&amp;#REF!</f>
        <v>#REF!</v>
      </c>
    </row>
    <row r="479" spans="1:25" s="228" customFormat="1" ht="20.25">
      <c r="A479" s="257" t="s">
        <v>1417</v>
      </c>
      <c r="B479" s="396" t="str">
        <f>IF(LEN(A479)=0,"",INDEX('[1]Smelter Reference List'!$A$1:$A$65536,MATCH($A479,'[1]Smelter Reference List'!$E$1:$E$65536,0)))</f>
        <v>Tungsten</v>
      </c>
      <c r="C479" s="397" t="str">
        <f>IF(LEN(A479)=0,"",INDEX('[1]Smelter Reference List'!$C$1:$C$65536,MATCH($A479,'[1]Smelter Reference List'!$E$1:$E$65536,0)))</f>
        <v>Japan New Metals Co., Ltd.</v>
      </c>
      <c r="D479" s="396" t="e">
        <f ca="1">IF(ISERROR('[1]Smelter List'!$S201),"",OFFSET('[1]Smelter Reference List'!$C$4,'[1]Smelter List'!$S201-4,0)&amp;"")</f>
        <v>#VALUE!</v>
      </c>
      <c r="E479" s="396" t="e">
        <f ca="1">IF(ISERROR('[1]Smelter List'!$S201),"",OFFSET('[1]Smelter Reference List'!$D$4,'[1]Smelter List'!$S201-4,0)&amp;"")</f>
        <v>#VALUE!</v>
      </c>
      <c r="F479" s="396" t="e">
        <f ca="1">IF(ISERROR('[1]Smelter List'!$S201),"",OFFSET('[1]Smelter Reference List'!$E$4,'[1]Smelter List'!$S201-4,0))</f>
        <v>#VALUE!</v>
      </c>
      <c r="G479" s="396" t="e">
        <f ca="1">IF(C479='[1]Smelter List'!$U$4,"Enter smelter details", IF(ISERROR('[1]Smelter List'!$S201),"",OFFSET('[1]Smelter Reference List'!$F$4,'[1]Smelter List'!$S201-4,0)))</f>
        <v>#VALUE!</v>
      </c>
      <c r="H479" s="398" t="e">
        <f ca="1">IF(ISERROR('[1]Smelter List'!$S201),"",OFFSET('[1]Smelter Reference List'!$G$4,'[1]Smelter List'!$S201-4,0))</f>
        <v>#VALUE!</v>
      </c>
      <c r="I479" s="399" t="e">
        <f ca="1">IF(ISERROR('[1]Smelter List'!$S201),"",OFFSET('[1]Smelter Reference List'!$H$4,'[1]Smelter List'!$S201-4,0))</f>
        <v>#VALUE!</v>
      </c>
      <c r="J479" s="399" t="e">
        <f ca="1">IF(ISERROR('[1]Smelter List'!$S201),"",OFFSET('[1]Smelter Reference List'!$I$4,'[1]Smelter List'!$S201-4,0))</f>
        <v>#VALUE!</v>
      </c>
      <c r="K479" s="402"/>
      <c r="L479" s="402"/>
      <c r="M479" s="402"/>
      <c r="N479" s="402"/>
      <c r="O479" s="402"/>
      <c r="P479" s="402"/>
      <c r="Q479" s="403"/>
      <c r="R479" s="233"/>
      <c r="S479" s="234" t="e">
        <f>IF(#REF!="",NA(),MATCH(#REF!&amp;#REF!,'Smelter Reference List'!$J:$J,0))</f>
        <v>#REF!</v>
      </c>
      <c r="T479" s="235"/>
      <c r="U479" s="235" t="e">
        <f>IF(AND(#REF!="Smelter not listed",OR(LEN(#REF!)=0,LEN(#REF!)=0)),1,0)</f>
        <v>#REF!</v>
      </c>
      <c r="V479" s="235"/>
      <c r="W479" s="235"/>
      <c r="Y479" s="228" t="e">
        <f>#REF!&amp;#REF!</f>
        <v>#REF!</v>
      </c>
    </row>
    <row r="480" spans="1:25" s="228" customFormat="1" ht="20.25">
      <c r="A480" s="257" t="s">
        <v>1419</v>
      </c>
      <c r="B480" s="396" t="str">
        <f>IF(LEN(A480)=0,"",INDEX('[1]Smelter Reference List'!$A$1:$A$65536,MATCH($A480,'[1]Smelter Reference List'!$E$1:$E$65536,0)))</f>
        <v>Tungsten</v>
      </c>
      <c r="C480" s="397" t="str">
        <f>IF(LEN(A480)=0,"",INDEX('[1]Smelter Reference List'!$C$1:$C$65536,MATCH($A480,'[1]Smelter Reference List'!$E$1:$E$65536,0)))</f>
        <v>Ganzhou Huaxing Tungsten Products Co., Ltd.</v>
      </c>
      <c r="D480" s="396" t="e">
        <f ca="1">IF(ISERROR('[1]Smelter List'!$S202),"",OFFSET('[1]Smelter Reference List'!$C$4,'[1]Smelter List'!$S202-4,0)&amp;"")</f>
        <v>#VALUE!</v>
      </c>
      <c r="E480" s="396" t="e">
        <f ca="1">IF(ISERROR('[1]Smelter List'!$S202),"",OFFSET('[1]Smelter Reference List'!$D$4,'[1]Smelter List'!$S202-4,0)&amp;"")</f>
        <v>#VALUE!</v>
      </c>
      <c r="F480" s="396" t="e">
        <f ca="1">IF(ISERROR('[1]Smelter List'!$S202),"",OFFSET('[1]Smelter Reference List'!$E$4,'[1]Smelter List'!$S202-4,0))</f>
        <v>#VALUE!</v>
      </c>
      <c r="G480" s="396" t="e">
        <f ca="1">IF(C480='[1]Smelter List'!$U$4,"Enter smelter details", IF(ISERROR('[1]Smelter List'!$S202),"",OFFSET('[1]Smelter Reference List'!$F$4,'[1]Smelter List'!$S202-4,0)))</f>
        <v>#VALUE!</v>
      </c>
      <c r="H480" s="398" t="e">
        <f ca="1">IF(ISERROR('[1]Smelter List'!$S202),"",OFFSET('[1]Smelter Reference List'!$G$4,'[1]Smelter List'!$S202-4,0))</f>
        <v>#VALUE!</v>
      </c>
      <c r="I480" s="399" t="e">
        <f ca="1">IF(ISERROR('[1]Smelter List'!$S202),"",OFFSET('[1]Smelter Reference List'!$H$4,'[1]Smelter List'!$S202-4,0))</f>
        <v>#VALUE!</v>
      </c>
      <c r="J480" s="399" t="e">
        <f ca="1">IF(ISERROR('[1]Smelter List'!$S202),"",OFFSET('[1]Smelter Reference List'!$I$4,'[1]Smelter List'!$S202-4,0))</f>
        <v>#VALUE!</v>
      </c>
      <c r="K480" s="402"/>
      <c r="L480" s="402"/>
      <c r="M480" s="402"/>
      <c r="N480" s="402"/>
      <c r="O480" s="402"/>
      <c r="P480" s="402"/>
      <c r="Q480" s="403"/>
      <c r="R480" s="233"/>
      <c r="S480" s="234" t="e">
        <f>IF(#REF!="",NA(),MATCH(#REF!&amp;#REF!,'Smelter Reference List'!$J:$J,0))</f>
        <v>#REF!</v>
      </c>
      <c r="T480" s="235"/>
      <c r="U480" s="235" t="e">
        <f>IF(AND(#REF!="Smelter not listed",OR(LEN(#REF!)=0,LEN(#REF!)=0)),1,0)</f>
        <v>#REF!</v>
      </c>
      <c r="V480" s="235"/>
      <c r="W480" s="235"/>
      <c r="Y480" s="228" t="e">
        <f>#REF!&amp;#REF!</f>
        <v>#REF!</v>
      </c>
    </row>
    <row r="481" spans="1:25" s="228" customFormat="1" ht="20.25">
      <c r="A481" s="257" t="s">
        <v>1420</v>
      </c>
      <c r="B481" s="396" t="str">
        <f>IF(LEN(A481)=0,"",INDEX('[1]Smelter Reference List'!$A$1:$A$65536,MATCH($A481,'[1]Smelter Reference List'!$E$1:$E$65536,0)))</f>
        <v>Tungsten</v>
      </c>
      <c r="C481" s="397" t="str">
        <f>IF(LEN(A481)=0,"",INDEX('[1]Smelter Reference List'!$C$1:$C$65536,MATCH($A481,'[1]Smelter Reference List'!$E$1:$E$65536,0)))</f>
        <v>Kennametal Fallon</v>
      </c>
      <c r="D481" s="396" t="e">
        <f ca="1">IF(ISERROR('[1]Smelter List'!$S203),"",OFFSET('[1]Smelter Reference List'!$C$4,'[1]Smelter List'!$S203-4,0)&amp;"")</f>
        <v>#VALUE!</v>
      </c>
      <c r="E481" s="396" t="e">
        <f ca="1">IF(ISERROR('[1]Smelter List'!$S203),"",OFFSET('[1]Smelter Reference List'!$D$4,'[1]Smelter List'!$S203-4,0)&amp;"")</f>
        <v>#VALUE!</v>
      </c>
      <c r="F481" s="396" t="e">
        <f ca="1">IF(ISERROR('[1]Smelter List'!$S203),"",OFFSET('[1]Smelter Reference List'!$E$4,'[1]Smelter List'!$S203-4,0))</f>
        <v>#VALUE!</v>
      </c>
      <c r="G481" s="396" t="e">
        <f ca="1">IF(C481='[1]Smelter List'!$U$4,"Enter smelter details", IF(ISERROR('[1]Smelter List'!$S203),"",OFFSET('[1]Smelter Reference List'!$F$4,'[1]Smelter List'!$S203-4,0)))</f>
        <v>#VALUE!</v>
      </c>
      <c r="H481" s="398" t="e">
        <f ca="1">IF(ISERROR('[1]Smelter List'!$S203),"",OFFSET('[1]Smelter Reference List'!$G$4,'[1]Smelter List'!$S203-4,0))</f>
        <v>#VALUE!</v>
      </c>
      <c r="I481" s="399" t="e">
        <f ca="1">IF(ISERROR('[1]Smelter List'!$S203),"",OFFSET('[1]Smelter Reference List'!$H$4,'[1]Smelter List'!$S203-4,0))</f>
        <v>#VALUE!</v>
      </c>
      <c r="J481" s="399" t="e">
        <f ca="1">IF(ISERROR('[1]Smelter List'!$S203),"",OFFSET('[1]Smelter Reference List'!$I$4,'[1]Smelter List'!$S203-4,0))</f>
        <v>#VALUE!</v>
      </c>
      <c r="K481" s="402"/>
      <c r="L481" s="402"/>
      <c r="M481" s="402"/>
      <c r="N481" s="402"/>
      <c r="O481" s="402"/>
      <c r="P481" s="402"/>
      <c r="Q481" s="403"/>
      <c r="R481" s="233"/>
      <c r="S481" s="234" t="e">
        <f>IF(#REF!="",NA(),MATCH(#REF!&amp;#REF!,'Smelter Reference List'!$J:$J,0))</f>
        <v>#REF!</v>
      </c>
      <c r="T481" s="235"/>
      <c r="U481" s="235" t="e">
        <f>IF(AND(#REF!="Smelter not listed",OR(LEN(#REF!)=0,LEN(#REF!)=0)),1,0)</f>
        <v>#REF!</v>
      </c>
      <c r="V481" s="235"/>
      <c r="W481" s="235"/>
      <c r="Y481" s="228" t="e">
        <f>#REF!&amp;#REF!</f>
        <v>#REF!</v>
      </c>
    </row>
    <row r="482" spans="1:25" s="228" customFormat="1" ht="20.25">
      <c r="A482" s="257" t="s">
        <v>1421</v>
      </c>
      <c r="B482" s="396" t="str">
        <f>IF(LEN(A482)=0,"",INDEX('[1]Smelter Reference List'!$A$1:$A$65536,MATCH($A482,'[1]Smelter Reference List'!$E$1:$E$65536,0)))</f>
        <v>Tungsten</v>
      </c>
      <c r="C482" s="397" t="str">
        <f>IF(LEN(A482)=0,"",INDEX('[1]Smelter Reference List'!$C$1:$C$65536,MATCH($A482,'[1]Smelter Reference List'!$E$1:$E$65536,0)))</f>
        <v>Tejing (Vietnam) Tungsten Co., Ltd.</v>
      </c>
      <c r="D482" s="396" t="e">
        <f ca="1">IF(ISERROR('[1]Smelter List'!$S204),"",OFFSET('[1]Smelter Reference List'!$C$4,'[1]Smelter List'!$S204-4,0)&amp;"")</f>
        <v>#VALUE!</v>
      </c>
      <c r="E482" s="396" t="e">
        <f ca="1">IF(ISERROR('[1]Smelter List'!$S204),"",OFFSET('[1]Smelter Reference List'!$D$4,'[1]Smelter List'!$S204-4,0)&amp;"")</f>
        <v>#VALUE!</v>
      </c>
      <c r="F482" s="396" t="e">
        <f ca="1">IF(ISERROR('[1]Smelter List'!$S204),"",OFFSET('[1]Smelter Reference List'!$E$4,'[1]Smelter List'!$S204-4,0))</f>
        <v>#VALUE!</v>
      </c>
      <c r="G482" s="396" t="e">
        <f ca="1">IF(C482='[1]Smelter List'!$U$4,"Enter smelter details", IF(ISERROR('[1]Smelter List'!$S204),"",OFFSET('[1]Smelter Reference List'!$F$4,'[1]Smelter List'!$S204-4,0)))</f>
        <v>#VALUE!</v>
      </c>
      <c r="H482" s="398" t="e">
        <f ca="1">IF(ISERROR('[1]Smelter List'!$S204),"",OFFSET('[1]Smelter Reference List'!$G$4,'[1]Smelter List'!$S204-4,0))</f>
        <v>#VALUE!</v>
      </c>
      <c r="I482" s="399" t="e">
        <f ca="1">IF(ISERROR('[1]Smelter List'!$S204),"",OFFSET('[1]Smelter Reference List'!$H$4,'[1]Smelter List'!$S204-4,0))</f>
        <v>#VALUE!</v>
      </c>
      <c r="J482" s="399" t="e">
        <f ca="1">IF(ISERROR('[1]Smelter List'!$S204),"",OFFSET('[1]Smelter Reference List'!$I$4,'[1]Smelter List'!$S204-4,0))</f>
        <v>#VALUE!</v>
      </c>
      <c r="K482" s="402"/>
      <c r="L482" s="402"/>
      <c r="M482" s="402"/>
      <c r="N482" s="402"/>
      <c r="O482" s="402"/>
      <c r="P482" s="402"/>
      <c r="Q482" s="403"/>
      <c r="R482" s="233"/>
      <c r="S482" s="234" t="e">
        <f>IF(#REF!="",NA(),MATCH(#REF!&amp;#REF!,'Smelter Reference List'!$J:$J,0))</f>
        <v>#REF!</v>
      </c>
      <c r="T482" s="235"/>
      <c r="U482" s="235" t="e">
        <f>IF(AND(#REF!="Smelter not listed",OR(LEN(#REF!)=0,LEN(#REF!)=0)),1,0)</f>
        <v>#REF!</v>
      </c>
      <c r="V482" s="235"/>
      <c r="W482" s="235"/>
      <c r="Y482" s="228" t="e">
        <f>#REF!&amp;#REF!</f>
        <v>#REF!</v>
      </c>
    </row>
    <row r="483" spans="1:25" s="228" customFormat="1" ht="20.25">
      <c r="A483" s="257" t="s">
        <v>2577</v>
      </c>
      <c r="B483" s="396" t="str">
        <f>IF(LEN(A483)=0,"",INDEX('[1]Smelter Reference List'!$A$1:$A$65536,MATCH($A483,'[1]Smelter Reference List'!$E$1:$E$65536,0)))</f>
        <v>Tungsten</v>
      </c>
      <c r="C483" s="397" t="str">
        <f>IF(LEN(A483)=0,"",INDEX('[1]Smelter Reference List'!$C$1:$C$65536,MATCH($A483,'[1]Smelter Reference List'!$E$1:$E$65536,0)))</f>
        <v>Vietnam Youngsun Tungsten Industry Co., Ltd.</v>
      </c>
      <c r="D483" s="396" t="e">
        <f ca="1">IF(ISERROR('[1]Smelter List'!$S205),"",OFFSET('[1]Smelter Reference List'!$C$4,'[1]Smelter List'!$S205-4,0)&amp;"")</f>
        <v>#VALUE!</v>
      </c>
      <c r="E483" s="396" t="e">
        <f ca="1">IF(ISERROR('[1]Smelter List'!$S205),"",OFFSET('[1]Smelter Reference List'!$D$4,'[1]Smelter List'!$S205-4,0)&amp;"")</f>
        <v>#VALUE!</v>
      </c>
      <c r="F483" s="396" t="e">
        <f ca="1">IF(ISERROR('[1]Smelter List'!$S205),"",OFFSET('[1]Smelter Reference List'!$E$4,'[1]Smelter List'!$S205-4,0))</f>
        <v>#VALUE!</v>
      </c>
      <c r="G483" s="396" t="e">
        <f ca="1">IF(C483='[1]Smelter List'!$U$4,"Enter smelter details", IF(ISERROR('[1]Smelter List'!$S205),"",OFFSET('[1]Smelter Reference List'!$F$4,'[1]Smelter List'!$S205-4,0)))</f>
        <v>#VALUE!</v>
      </c>
      <c r="H483" s="398" t="e">
        <f ca="1">IF(ISERROR('[1]Smelter List'!$S205),"",OFFSET('[1]Smelter Reference List'!$G$4,'[1]Smelter List'!$S205-4,0))</f>
        <v>#VALUE!</v>
      </c>
      <c r="I483" s="399" t="e">
        <f ca="1">IF(ISERROR('[1]Smelter List'!$S205),"",OFFSET('[1]Smelter Reference List'!$H$4,'[1]Smelter List'!$S205-4,0))</f>
        <v>#VALUE!</v>
      </c>
      <c r="J483" s="399" t="e">
        <f ca="1">IF(ISERROR('[1]Smelter List'!$S205),"",OFFSET('[1]Smelter Reference List'!$I$4,'[1]Smelter List'!$S205-4,0))</f>
        <v>#VALUE!</v>
      </c>
      <c r="K483" s="402"/>
      <c r="L483" s="402"/>
      <c r="M483" s="402"/>
      <c r="N483" s="402"/>
      <c r="O483" s="402"/>
      <c r="P483" s="402"/>
      <c r="Q483" s="403"/>
      <c r="R483" s="233"/>
      <c r="S483" s="234" t="e">
        <f>IF(#REF!="",NA(),MATCH(#REF!&amp;#REF!,'Smelter Reference List'!$J:$J,0))</f>
        <v>#REF!</v>
      </c>
      <c r="T483" s="235"/>
      <c r="U483" s="235" t="e">
        <f>IF(AND(#REF!="Smelter not listed",OR(LEN(#REF!)=0,LEN(#REF!)=0)),1,0)</f>
        <v>#REF!</v>
      </c>
      <c r="V483" s="235"/>
      <c r="W483" s="235"/>
      <c r="Y483" s="228" t="e">
        <f>#REF!&amp;#REF!</f>
        <v>#REF!</v>
      </c>
    </row>
    <row r="484" spans="1:25" s="228" customFormat="1" ht="20.25">
      <c r="A484" s="257" t="s">
        <v>1422</v>
      </c>
      <c r="B484" s="396" t="str">
        <f>IF(LEN(A484)=0,"",INDEX('[1]Smelter Reference List'!$A$1:$A$65536,MATCH($A484,'[1]Smelter Reference List'!$E$1:$E$65536,0)))</f>
        <v>Tungsten</v>
      </c>
      <c r="C484" s="397" t="str">
        <f>IF(LEN(A484)=0,"",INDEX('[1]Smelter Reference List'!$C$1:$C$65536,MATCH($A484,'[1]Smelter Reference List'!$E$1:$E$65536,0)))</f>
        <v>Wolfram Bergbau und Hütten AG</v>
      </c>
      <c r="D484" s="396" t="e">
        <f ca="1">IF(ISERROR('[1]Smelter List'!$S206),"",OFFSET('[1]Smelter Reference List'!$C$4,'[1]Smelter List'!$S206-4,0)&amp;"")</f>
        <v>#VALUE!</v>
      </c>
      <c r="E484" s="396" t="e">
        <f ca="1">IF(ISERROR('[1]Smelter List'!$S206),"",OFFSET('[1]Smelter Reference List'!$D$4,'[1]Smelter List'!$S206-4,0)&amp;"")</f>
        <v>#VALUE!</v>
      </c>
      <c r="F484" s="396" t="e">
        <f ca="1">IF(ISERROR('[1]Smelter List'!$S206),"",OFFSET('[1]Smelter Reference List'!$E$4,'[1]Smelter List'!$S206-4,0))</f>
        <v>#VALUE!</v>
      </c>
      <c r="G484" s="396" t="e">
        <f ca="1">IF(C484='[1]Smelter List'!$U$4,"Enter smelter details", IF(ISERROR('[1]Smelter List'!$S206),"",OFFSET('[1]Smelter Reference List'!$F$4,'[1]Smelter List'!$S206-4,0)))</f>
        <v>#VALUE!</v>
      </c>
      <c r="H484" s="398" t="e">
        <f ca="1">IF(ISERROR('[1]Smelter List'!$S206),"",OFFSET('[1]Smelter Reference List'!$G$4,'[1]Smelter List'!$S206-4,0))</f>
        <v>#VALUE!</v>
      </c>
      <c r="I484" s="399" t="e">
        <f ca="1">IF(ISERROR('[1]Smelter List'!$S206),"",OFFSET('[1]Smelter Reference List'!$H$4,'[1]Smelter List'!$S206-4,0))</f>
        <v>#VALUE!</v>
      </c>
      <c r="J484" s="399" t="e">
        <f ca="1">IF(ISERROR('[1]Smelter List'!$S206),"",OFFSET('[1]Smelter Reference List'!$I$4,'[1]Smelter List'!$S206-4,0))</f>
        <v>#VALUE!</v>
      </c>
      <c r="K484" s="402"/>
      <c r="L484" s="402"/>
      <c r="M484" s="402"/>
      <c r="N484" s="402"/>
      <c r="O484" s="402"/>
      <c r="P484" s="402"/>
      <c r="Q484" s="403"/>
      <c r="R484" s="233"/>
      <c r="S484" s="234" t="e">
        <f>IF(#REF!="",NA(),MATCH(#REF!&amp;#REF!,'Smelter Reference List'!$J:$J,0))</f>
        <v>#REF!</v>
      </c>
      <c r="T484" s="235"/>
      <c r="U484" s="235" t="e">
        <f>IF(AND(#REF!="Smelter not listed",OR(LEN(#REF!)=0,LEN(#REF!)=0)),1,0)</f>
        <v>#REF!</v>
      </c>
      <c r="V484" s="235"/>
      <c r="W484" s="235"/>
      <c r="Y484" s="228" t="e">
        <f>#REF!&amp;#REF!</f>
        <v>#REF!</v>
      </c>
    </row>
    <row r="485" spans="1:25" s="228" customFormat="1" ht="20.25">
      <c r="A485" s="257" t="s">
        <v>1423</v>
      </c>
      <c r="B485" s="396" t="str">
        <f>IF(LEN(A485)=0,"",INDEX('[1]Smelter Reference List'!$A$1:$A$65536,MATCH($A485,'[1]Smelter Reference List'!$E$1:$E$65536,0)))</f>
        <v>Tungsten</v>
      </c>
      <c r="C485" s="397" t="str">
        <f>IF(LEN(A485)=0,"",INDEX('[1]Smelter Reference List'!$C$1:$C$65536,MATCH($A485,'[1]Smelter Reference List'!$E$1:$E$65536,0)))</f>
        <v>Xiamen Tungsten Co., Ltd.</v>
      </c>
      <c r="D485" s="396" t="e">
        <f ca="1">IF(ISERROR('[1]Smelter List'!$S207),"",OFFSET('[1]Smelter Reference List'!$C$4,'[1]Smelter List'!$S207-4,0)&amp;"")</f>
        <v>#VALUE!</v>
      </c>
      <c r="E485" s="396" t="e">
        <f ca="1">IF(ISERROR('[1]Smelter List'!$S207),"",OFFSET('[1]Smelter Reference List'!$D$4,'[1]Smelter List'!$S207-4,0)&amp;"")</f>
        <v>#VALUE!</v>
      </c>
      <c r="F485" s="396" t="e">
        <f ca="1">IF(ISERROR('[1]Smelter List'!$S207),"",OFFSET('[1]Smelter Reference List'!$E$4,'[1]Smelter List'!$S207-4,0))</f>
        <v>#VALUE!</v>
      </c>
      <c r="G485" s="396" t="e">
        <f ca="1">IF(C485='[1]Smelter List'!$U$4,"Enter smelter details", IF(ISERROR('[1]Smelter List'!$S207),"",OFFSET('[1]Smelter Reference List'!$F$4,'[1]Smelter List'!$S207-4,0)))</f>
        <v>#VALUE!</v>
      </c>
      <c r="H485" s="398" t="e">
        <f ca="1">IF(ISERROR('[1]Smelter List'!$S207),"",OFFSET('[1]Smelter Reference List'!$G$4,'[1]Smelter List'!$S207-4,0))</f>
        <v>#VALUE!</v>
      </c>
      <c r="I485" s="399" t="e">
        <f ca="1">IF(ISERROR('[1]Smelter List'!$S207),"",OFFSET('[1]Smelter Reference List'!$H$4,'[1]Smelter List'!$S207-4,0))</f>
        <v>#VALUE!</v>
      </c>
      <c r="J485" s="399" t="e">
        <f ca="1">IF(ISERROR('[1]Smelter List'!$S207),"",OFFSET('[1]Smelter Reference List'!$I$4,'[1]Smelter List'!$S207-4,0))</f>
        <v>#VALUE!</v>
      </c>
      <c r="K485" s="402"/>
      <c r="L485" s="402"/>
      <c r="M485" s="402"/>
      <c r="N485" s="402"/>
      <c r="O485" s="402"/>
      <c r="P485" s="402"/>
      <c r="Q485" s="403"/>
      <c r="R485" s="233"/>
      <c r="S485" s="234" t="e">
        <f>IF(#REF!="",NA(),MATCH(#REF!&amp;#REF!,'Smelter Reference List'!$J:$J,0))</f>
        <v>#REF!</v>
      </c>
      <c r="T485" s="235"/>
      <c r="U485" s="235" t="e">
        <f>IF(AND(#REF!="Smelter not listed",OR(LEN(#REF!)=0,LEN(#REF!)=0)),1,0)</f>
        <v>#REF!</v>
      </c>
      <c r="V485" s="235"/>
      <c r="W485" s="235"/>
      <c r="Y485" s="228" t="e">
        <f>#REF!&amp;#REF!</f>
        <v>#REF!</v>
      </c>
    </row>
    <row r="486" spans="1:25" s="228" customFormat="1" ht="20.25">
      <c r="A486" s="257" t="s">
        <v>1425</v>
      </c>
      <c r="B486" s="396" t="str">
        <f>IF(LEN(A486)=0,"",INDEX('[1]Smelter Reference List'!$A$1:$A$65536,MATCH($A486,'[1]Smelter Reference List'!$E$1:$E$65536,0)))</f>
        <v>Tungsten</v>
      </c>
      <c r="C486" s="397" t="str">
        <f>IF(LEN(A486)=0,"",INDEX('[1]Smelter Reference List'!$C$1:$C$65536,MATCH($A486,'[1]Smelter Reference List'!$E$1:$E$65536,0)))</f>
        <v>Xinhai Rendan Shaoguan Tungsten Co., Ltd.</v>
      </c>
      <c r="D486" s="396" t="e">
        <f ca="1">IF(ISERROR('[1]Smelter List'!$S208),"",OFFSET('[1]Smelter Reference List'!$C$4,'[1]Smelter List'!$S208-4,0)&amp;"")</f>
        <v>#VALUE!</v>
      </c>
      <c r="E486" s="396" t="e">
        <f ca="1">IF(ISERROR('[1]Smelter List'!$S208),"",OFFSET('[1]Smelter Reference List'!$D$4,'[1]Smelter List'!$S208-4,0)&amp;"")</f>
        <v>#VALUE!</v>
      </c>
      <c r="F486" s="396" t="e">
        <f ca="1">IF(ISERROR('[1]Smelter List'!$S208),"",OFFSET('[1]Smelter Reference List'!$E$4,'[1]Smelter List'!$S208-4,0))</f>
        <v>#VALUE!</v>
      </c>
      <c r="G486" s="396" t="e">
        <f ca="1">IF(C486='[1]Smelter List'!$U$4,"Enter smelter details", IF(ISERROR('[1]Smelter List'!$S208),"",OFFSET('[1]Smelter Reference List'!$F$4,'[1]Smelter List'!$S208-4,0)))</f>
        <v>#VALUE!</v>
      </c>
      <c r="H486" s="398" t="e">
        <f ca="1">IF(ISERROR('[1]Smelter List'!$S208),"",OFFSET('[1]Smelter Reference List'!$G$4,'[1]Smelter List'!$S208-4,0))</f>
        <v>#VALUE!</v>
      </c>
      <c r="I486" s="399" t="e">
        <f ca="1">IF(ISERROR('[1]Smelter List'!$S208),"",OFFSET('[1]Smelter Reference List'!$H$4,'[1]Smelter List'!$S208-4,0))</f>
        <v>#VALUE!</v>
      </c>
      <c r="J486" s="399" t="e">
        <f ca="1">IF(ISERROR('[1]Smelter List'!$S208),"",OFFSET('[1]Smelter Reference List'!$I$4,'[1]Smelter List'!$S208-4,0))</f>
        <v>#VALUE!</v>
      </c>
      <c r="K486" s="402"/>
      <c r="L486" s="402"/>
      <c r="M486" s="402"/>
      <c r="N486" s="402"/>
      <c r="O486" s="402"/>
      <c r="P486" s="402"/>
      <c r="Q486" s="403"/>
      <c r="R486" s="233"/>
      <c r="S486" s="234" t="e">
        <f>IF(#REF!="",NA(),MATCH(#REF!&amp;#REF!,'Smelter Reference List'!$J:$J,0))</f>
        <v>#REF!</v>
      </c>
      <c r="T486" s="235"/>
      <c r="U486" s="235" t="e">
        <f>IF(AND(#REF!="Smelter not listed",OR(LEN(#REF!)=0,LEN(#REF!)=0)),1,0)</f>
        <v>#REF!</v>
      </c>
      <c r="V486" s="235"/>
      <c r="W486" s="235"/>
      <c r="Y486" s="228" t="e">
        <f>#REF!&amp;#REF!</f>
        <v>#REF!</v>
      </c>
    </row>
    <row r="487" spans="1:25" s="228" customFormat="1" ht="20.25">
      <c r="A487" s="257" t="s">
        <v>201</v>
      </c>
      <c r="B487" s="396" t="str">
        <f>IF(LEN(A487)=0,"",INDEX('[1]Smelter Reference List'!$A$1:$A$65536,MATCH($A487,'[1]Smelter Reference List'!$E$1:$E$65536,0)))</f>
        <v>Tungsten</v>
      </c>
      <c r="C487" s="397" t="str">
        <f>IF(LEN(A487)=0,"",INDEX('[1]Smelter Reference List'!$C$1:$C$65536,MATCH($A487,'[1]Smelter Reference List'!$E$1:$E$65536,0)))</f>
        <v>Ganzhou Jiangwu Ferrotungsten Co., Ltd.</v>
      </c>
      <c r="D487" s="396" t="e">
        <f ca="1">IF(ISERROR('[1]Smelter List'!$S209),"",OFFSET('[1]Smelter Reference List'!$C$4,'[1]Smelter List'!$S209-4,0)&amp;"")</f>
        <v>#VALUE!</v>
      </c>
      <c r="E487" s="396" t="e">
        <f ca="1">IF(ISERROR('[1]Smelter List'!$S209),"",OFFSET('[1]Smelter Reference List'!$D$4,'[1]Smelter List'!$S209-4,0)&amp;"")</f>
        <v>#VALUE!</v>
      </c>
      <c r="F487" s="396" t="e">
        <f ca="1">IF(ISERROR('[1]Smelter List'!$S209),"",OFFSET('[1]Smelter Reference List'!$E$4,'[1]Smelter List'!$S209-4,0))</f>
        <v>#VALUE!</v>
      </c>
      <c r="G487" s="396" t="e">
        <f ca="1">IF(C487='[1]Smelter List'!$U$4,"Enter smelter details", IF(ISERROR('[1]Smelter List'!$S209),"",OFFSET('[1]Smelter Reference List'!$F$4,'[1]Smelter List'!$S209-4,0)))</f>
        <v>#VALUE!</v>
      </c>
      <c r="H487" s="398" t="e">
        <f ca="1">IF(ISERROR('[1]Smelter List'!$S209),"",OFFSET('[1]Smelter Reference List'!$G$4,'[1]Smelter List'!$S209-4,0))</f>
        <v>#VALUE!</v>
      </c>
      <c r="I487" s="399" t="e">
        <f ca="1">IF(ISERROR('[1]Smelter List'!$S209),"",OFFSET('[1]Smelter Reference List'!$H$4,'[1]Smelter List'!$S209-4,0))</f>
        <v>#VALUE!</v>
      </c>
      <c r="J487" s="399" t="e">
        <f ca="1">IF(ISERROR('[1]Smelter List'!$S209),"",OFFSET('[1]Smelter Reference List'!$I$4,'[1]Smelter List'!$S209-4,0))</f>
        <v>#VALUE!</v>
      </c>
      <c r="K487" s="402"/>
      <c r="L487" s="402"/>
      <c r="M487" s="402"/>
      <c r="N487" s="402"/>
      <c r="O487" s="402"/>
      <c r="P487" s="402"/>
      <c r="Q487" s="403"/>
      <c r="R487" s="233"/>
      <c r="S487" s="234" t="e">
        <f>IF(#REF!="",NA(),MATCH(#REF!&amp;#REF!,'Smelter Reference List'!$J:$J,0))</f>
        <v>#REF!</v>
      </c>
      <c r="T487" s="235"/>
      <c r="U487" s="235" t="e">
        <f>IF(AND(#REF!="Smelter not listed",OR(LEN(#REF!)=0,LEN(#REF!)=0)),1,0)</f>
        <v>#REF!</v>
      </c>
      <c r="V487" s="235"/>
      <c r="W487" s="235"/>
      <c r="Y487" s="228" t="e">
        <f>#REF!&amp;#REF!</f>
        <v>#REF!</v>
      </c>
    </row>
    <row r="488" spans="1:25" s="228" customFormat="1" ht="20.25">
      <c r="A488" s="257" t="s">
        <v>202</v>
      </c>
      <c r="B488" s="396" t="str">
        <f>IF(LEN(A488)=0,"",INDEX('[1]Smelter Reference List'!$A$1:$A$65536,MATCH($A488,'[1]Smelter Reference List'!$E$1:$E$65536,0)))</f>
        <v>Tungsten</v>
      </c>
      <c r="C488" s="397" t="str">
        <f>IF(LEN(A488)=0,"",INDEX('[1]Smelter Reference List'!$C$1:$C$65536,MATCH($A488,'[1]Smelter Reference List'!$E$1:$E$65536,0)))</f>
        <v>Jiangxi Yaosheng Tungsten Co., Ltd.</v>
      </c>
      <c r="D488" s="396" t="e">
        <f ca="1">IF(ISERROR('[1]Smelter List'!$S210),"",OFFSET('[1]Smelter Reference List'!$C$4,'[1]Smelter List'!$S210-4,0)&amp;"")</f>
        <v>#VALUE!</v>
      </c>
      <c r="E488" s="396" t="e">
        <f ca="1">IF(ISERROR('[1]Smelter List'!$S210),"",OFFSET('[1]Smelter Reference List'!$D$4,'[1]Smelter List'!$S210-4,0)&amp;"")</f>
        <v>#VALUE!</v>
      </c>
      <c r="F488" s="396" t="e">
        <f ca="1">IF(ISERROR('[1]Smelter List'!$S210),"",OFFSET('[1]Smelter Reference List'!$E$4,'[1]Smelter List'!$S210-4,0))</f>
        <v>#VALUE!</v>
      </c>
      <c r="G488" s="396" t="e">
        <f ca="1">IF(C488='[1]Smelter List'!$U$4,"Enter smelter details", IF(ISERROR('[1]Smelter List'!$S210),"",OFFSET('[1]Smelter Reference List'!$F$4,'[1]Smelter List'!$S210-4,0)))</f>
        <v>#VALUE!</v>
      </c>
      <c r="H488" s="398" t="e">
        <f ca="1">IF(ISERROR('[1]Smelter List'!$S210),"",OFFSET('[1]Smelter Reference List'!$G$4,'[1]Smelter List'!$S210-4,0))</f>
        <v>#VALUE!</v>
      </c>
      <c r="I488" s="399" t="e">
        <f ca="1">IF(ISERROR('[1]Smelter List'!$S210),"",OFFSET('[1]Smelter Reference List'!$H$4,'[1]Smelter List'!$S210-4,0))</f>
        <v>#VALUE!</v>
      </c>
      <c r="J488" s="399" t="e">
        <f ca="1">IF(ISERROR('[1]Smelter List'!$S210),"",OFFSET('[1]Smelter Reference List'!$I$4,'[1]Smelter List'!$S210-4,0))</f>
        <v>#VALUE!</v>
      </c>
      <c r="K488" s="402"/>
      <c r="L488" s="402"/>
      <c r="M488" s="402"/>
      <c r="N488" s="402"/>
      <c r="O488" s="402"/>
      <c r="P488" s="402"/>
      <c r="Q488" s="403"/>
      <c r="R488" s="233"/>
      <c r="S488" s="234" t="e">
        <f>IF(#REF!="",NA(),MATCH(#REF!&amp;#REF!,'Smelter Reference List'!$J:$J,0))</f>
        <v>#REF!</v>
      </c>
      <c r="T488" s="235"/>
      <c r="U488" s="235" t="e">
        <f>IF(AND(#REF!="Smelter not listed",OR(LEN(#REF!)=0,LEN(#REF!)=0)),1,0)</f>
        <v>#REF!</v>
      </c>
      <c r="V488" s="235"/>
      <c r="W488" s="235"/>
      <c r="Y488" s="228" t="e">
        <f>#REF!&amp;#REF!</f>
        <v>#REF!</v>
      </c>
    </row>
    <row r="489" spans="1:25" s="228" customFormat="1" ht="20.25">
      <c r="A489" s="257" t="s">
        <v>203</v>
      </c>
      <c r="B489" s="396" t="str">
        <f>IF(LEN(A489)=0,"",INDEX('[1]Smelter Reference List'!$A$1:$A$65536,MATCH($A489,'[1]Smelter Reference List'!$E$1:$E$65536,0)))</f>
        <v>Tungsten</v>
      </c>
      <c r="C489" s="397" t="str">
        <f>IF(LEN(A489)=0,"",INDEX('[1]Smelter Reference List'!$C$1:$C$65536,MATCH($A489,'[1]Smelter Reference List'!$E$1:$E$65536,0)))</f>
        <v>Jiangxi Xinsheng Tungsten Industry Co., Ltd.</v>
      </c>
      <c r="D489" s="396" t="e">
        <f ca="1">IF(ISERROR('[1]Smelter List'!$S211),"",OFFSET('[1]Smelter Reference List'!$C$4,'[1]Smelter List'!$S211-4,0)&amp;"")</f>
        <v>#VALUE!</v>
      </c>
      <c r="E489" s="396" t="e">
        <f ca="1">IF(ISERROR('[1]Smelter List'!$S211),"",OFFSET('[1]Smelter Reference List'!$D$4,'[1]Smelter List'!$S211-4,0)&amp;"")</f>
        <v>#VALUE!</v>
      </c>
      <c r="F489" s="396" t="e">
        <f ca="1">IF(ISERROR('[1]Smelter List'!$S211),"",OFFSET('[1]Smelter Reference List'!$E$4,'[1]Smelter List'!$S211-4,0))</f>
        <v>#VALUE!</v>
      </c>
      <c r="G489" s="396" t="e">
        <f ca="1">IF(C489='[1]Smelter List'!$U$4,"Enter smelter details", IF(ISERROR('[1]Smelter List'!$S211),"",OFFSET('[1]Smelter Reference List'!$F$4,'[1]Smelter List'!$S211-4,0)))</f>
        <v>#VALUE!</v>
      </c>
      <c r="H489" s="398" t="e">
        <f ca="1">IF(ISERROR('[1]Smelter List'!$S211),"",OFFSET('[1]Smelter Reference List'!$G$4,'[1]Smelter List'!$S211-4,0))</f>
        <v>#VALUE!</v>
      </c>
      <c r="I489" s="399" t="e">
        <f ca="1">IF(ISERROR('[1]Smelter List'!$S211),"",OFFSET('[1]Smelter Reference List'!$H$4,'[1]Smelter List'!$S211-4,0))</f>
        <v>#VALUE!</v>
      </c>
      <c r="J489" s="399" t="e">
        <f ca="1">IF(ISERROR('[1]Smelter List'!$S211),"",OFFSET('[1]Smelter Reference List'!$I$4,'[1]Smelter List'!$S211-4,0))</f>
        <v>#VALUE!</v>
      </c>
      <c r="K489" s="402"/>
      <c r="L489" s="402"/>
      <c r="M489" s="402"/>
      <c r="N489" s="402"/>
      <c r="O489" s="402"/>
      <c r="P489" s="402"/>
      <c r="Q489" s="403"/>
      <c r="R489" s="233"/>
      <c r="S489" s="234" t="e">
        <f>IF(#REF!="",NA(),MATCH(#REF!&amp;#REF!,'Smelter Reference List'!$J:$J,0))</f>
        <v>#REF!</v>
      </c>
      <c r="T489" s="235"/>
      <c r="U489" s="235" t="e">
        <f>IF(AND(#REF!="Smelter not listed",OR(LEN(#REF!)=0,LEN(#REF!)=0)),1,0)</f>
        <v>#REF!</v>
      </c>
      <c r="V489" s="235"/>
      <c r="W489" s="235"/>
      <c r="Y489" s="228" t="e">
        <f>#REF!&amp;#REF!</f>
        <v>#REF!</v>
      </c>
    </row>
    <row r="490" spans="1:25" s="228" customFormat="1" ht="25.5">
      <c r="A490" s="257" t="s">
        <v>204</v>
      </c>
      <c r="B490" s="396" t="str">
        <f>IF(LEN(A490)=0,"",INDEX('[1]Smelter Reference List'!$A$1:$A$65536,MATCH($A490,'[1]Smelter Reference List'!$E$1:$E$65536,0)))</f>
        <v>Tungsten</v>
      </c>
      <c r="C490" s="397" t="str">
        <f>IF(LEN(A490)=0,"",INDEX('[1]Smelter Reference List'!$C$1:$C$65536,MATCH($A490,'[1]Smelter Reference List'!$E$1:$E$65536,0)))</f>
        <v>Jiangxi Tonggu Non-ferrous Metallurgical &amp; Chemical Co., Ltd.</v>
      </c>
      <c r="D490" s="396" t="e">
        <f ca="1">IF(ISERROR('[1]Smelter List'!$S212),"",OFFSET('[1]Smelter Reference List'!$C$4,'[1]Smelter List'!$S212-4,0)&amp;"")</f>
        <v>#VALUE!</v>
      </c>
      <c r="E490" s="396" t="e">
        <f ca="1">IF(ISERROR('[1]Smelter List'!$S212),"",OFFSET('[1]Smelter Reference List'!$D$4,'[1]Smelter List'!$S212-4,0)&amp;"")</f>
        <v>#VALUE!</v>
      </c>
      <c r="F490" s="396" t="e">
        <f ca="1">IF(ISERROR('[1]Smelter List'!$S212),"",OFFSET('[1]Smelter Reference List'!$E$4,'[1]Smelter List'!$S212-4,0))</f>
        <v>#VALUE!</v>
      </c>
      <c r="G490" s="396" t="e">
        <f ca="1">IF(C490='[1]Smelter List'!$U$4,"Enter smelter details", IF(ISERROR('[1]Smelter List'!$S212),"",OFFSET('[1]Smelter Reference List'!$F$4,'[1]Smelter List'!$S212-4,0)))</f>
        <v>#VALUE!</v>
      </c>
      <c r="H490" s="398" t="e">
        <f ca="1">IF(ISERROR('[1]Smelter List'!$S212),"",OFFSET('[1]Smelter Reference List'!$G$4,'[1]Smelter List'!$S212-4,0))</f>
        <v>#VALUE!</v>
      </c>
      <c r="I490" s="399" t="e">
        <f ca="1">IF(ISERROR('[1]Smelter List'!$S212),"",OFFSET('[1]Smelter Reference List'!$H$4,'[1]Smelter List'!$S212-4,0))</f>
        <v>#VALUE!</v>
      </c>
      <c r="J490" s="399" t="e">
        <f ca="1">IF(ISERROR('[1]Smelter List'!$S212),"",OFFSET('[1]Smelter Reference List'!$I$4,'[1]Smelter List'!$S212-4,0))</f>
        <v>#VALUE!</v>
      </c>
      <c r="K490" s="402"/>
      <c r="L490" s="402"/>
      <c r="M490" s="402"/>
      <c r="N490" s="402"/>
      <c r="O490" s="402"/>
      <c r="P490" s="402"/>
      <c r="Q490" s="403"/>
      <c r="R490" s="233"/>
      <c r="S490" s="234" t="e">
        <f>IF(#REF!="",NA(),MATCH(#REF!&amp;#REF!,'Smelter Reference List'!$J:$J,0))</f>
        <v>#REF!</v>
      </c>
      <c r="T490" s="235"/>
      <c r="U490" s="235" t="e">
        <f>IF(AND(#REF!="Smelter not listed",OR(LEN(#REF!)=0,LEN(#REF!)=0)),1,0)</f>
        <v>#REF!</v>
      </c>
      <c r="V490" s="235"/>
      <c r="W490" s="235"/>
      <c r="Y490" s="228" t="e">
        <f>#REF!&amp;#REF!</f>
        <v>#REF!</v>
      </c>
    </row>
    <row r="491" spans="1:25" s="228" customFormat="1" ht="20.25">
      <c r="A491" s="257" t="s">
        <v>205</v>
      </c>
      <c r="B491" s="396" t="str">
        <f>IF(LEN(A491)=0,"",INDEX('[1]Smelter Reference List'!$A$1:$A$65536,MATCH($A491,'[1]Smelter Reference List'!$E$1:$E$65536,0)))</f>
        <v>Tungsten</v>
      </c>
      <c r="C491" s="397" t="str">
        <f>IF(LEN(A491)=0,"",INDEX('[1]Smelter Reference List'!$C$1:$C$65536,MATCH($A491,'[1]Smelter Reference List'!$E$1:$E$65536,0)))</f>
        <v>Malipo Haiyu Tungsten Co., Ltd.</v>
      </c>
      <c r="D491" s="396" t="e">
        <f ca="1">IF(ISERROR('[1]Smelter List'!$S213),"",OFFSET('[1]Smelter Reference List'!$C$4,'[1]Smelter List'!$S213-4,0)&amp;"")</f>
        <v>#VALUE!</v>
      </c>
      <c r="E491" s="396" t="e">
        <f ca="1">IF(ISERROR('[1]Smelter List'!$S213),"",OFFSET('[1]Smelter Reference List'!$D$4,'[1]Smelter List'!$S213-4,0)&amp;"")</f>
        <v>#VALUE!</v>
      </c>
      <c r="F491" s="396" t="e">
        <f ca="1">IF(ISERROR('[1]Smelter List'!$S213),"",OFFSET('[1]Smelter Reference List'!$E$4,'[1]Smelter List'!$S213-4,0))</f>
        <v>#VALUE!</v>
      </c>
      <c r="G491" s="396" t="e">
        <f ca="1">IF(C491='[1]Smelter List'!$U$4,"Enter smelter details", IF(ISERROR('[1]Smelter List'!$S213),"",OFFSET('[1]Smelter Reference List'!$F$4,'[1]Smelter List'!$S213-4,0)))</f>
        <v>#VALUE!</v>
      </c>
      <c r="H491" s="398" t="e">
        <f ca="1">IF(ISERROR('[1]Smelter List'!$S213),"",OFFSET('[1]Smelter Reference List'!$G$4,'[1]Smelter List'!$S213-4,0))</f>
        <v>#VALUE!</v>
      </c>
      <c r="I491" s="399" t="e">
        <f ca="1">IF(ISERROR('[1]Smelter List'!$S213),"",OFFSET('[1]Smelter Reference List'!$H$4,'[1]Smelter List'!$S213-4,0))</f>
        <v>#VALUE!</v>
      </c>
      <c r="J491" s="399" t="e">
        <f ca="1">IF(ISERROR('[1]Smelter List'!$S213),"",OFFSET('[1]Smelter Reference List'!$I$4,'[1]Smelter List'!$S213-4,0))</f>
        <v>#VALUE!</v>
      </c>
      <c r="K491" s="402"/>
      <c r="L491" s="402"/>
      <c r="M491" s="402"/>
      <c r="N491" s="402"/>
      <c r="O491" s="402"/>
      <c r="P491" s="402"/>
      <c r="Q491" s="403"/>
      <c r="R491" s="233"/>
      <c r="S491" s="234" t="e">
        <f>IF(#REF!="",NA(),MATCH(#REF!&amp;#REF!,'Smelter Reference List'!$J:$J,0))</f>
        <v>#REF!</v>
      </c>
      <c r="T491" s="235"/>
      <c r="U491" s="235" t="e">
        <f>IF(AND(#REF!="Smelter not listed",OR(LEN(#REF!)=0,LEN(#REF!)=0)),1,0)</f>
        <v>#REF!</v>
      </c>
      <c r="V491" s="235"/>
      <c r="W491" s="235"/>
      <c r="Y491" s="228" t="e">
        <f>#REF!&amp;#REF!</f>
        <v>#REF!</v>
      </c>
    </row>
    <row r="492" spans="1:25" s="228" customFormat="1" ht="20.25">
      <c r="A492" s="257" t="s">
        <v>206</v>
      </c>
      <c r="B492" s="396" t="str">
        <f>IF(LEN(A492)=0,"",INDEX('[1]Smelter Reference List'!$A$1:$A$65536,MATCH($A492,'[1]Smelter Reference List'!$E$1:$E$65536,0)))</f>
        <v>Tungsten</v>
      </c>
      <c r="C492" s="397" t="str">
        <f>IF(LEN(A492)=0,"",INDEX('[1]Smelter Reference List'!$C$1:$C$65536,MATCH($A492,'[1]Smelter Reference List'!$E$1:$E$65536,0)))</f>
        <v>Xiamen Tungsten (H.C.) Co., Ltd.</v>
      </c>
      <c r="D492" s="396" t="e">
        <f ca="1">IF(ISERROR('[1]Smelter List'!$S214),"",OFFSET('[1]Smelter Reference List'!$C$4,'[1]Smelter List'!$S214-4,0)&amp;"")</f>
        <v>#VALUE!</v>
      </c>
      <c r="E492" s="396" t="e">
        <f ca="1">IF(ISERROR('[1]Smelter List'!$S214),"",OFFSET('[1]Smelter Reference List'!$D$4,'[1]Smelter List'!$S214-4,0)&amp;"")</f>
        <v>#VALUE!</v>
      </c>
      <c r="F492" s="396" t="e">
        <f ca="1">IF(ISERROR('[1]Smelter List'!$S214),"",OFFSET('[1]Smelter Reference List'!$E$4,'[1]Smelter List'!$S214-4,0))</f>
        <v>#VALUE!</v>
      </c>
      <c r="G492" s="396" t="e">
        <f ca="1">IF(C492='[1]Smelter List'!$U$4,"Enter smelter details", IF(ISERROR('[1]Smelter List'!$S214),"",OFFSET('[1]Smelter Reference List'!$F$4,'[1]Smelter List'!$S214-4,0)))</f>
        <v>#VALUE!</v>
      </c>
      <c r="H492" s="398" t="e">
        <f ca="1">IF(ISERROR('[1]Smelter List'!$S214),"",OFFSET('[1]Smelter Reference List'!$G$4,'[1]Smelter List'!$S214-4,0))</f>
        <v>#VALUE!</v>
      </c>
      <c r="I492" s="399" t="e">
        <f ca="1">IF(ISERROR('[1]Smelter List'!$S214),"",OFFSET('[1]Smelter Reference List'!$H$4,'[1]Smelter List'!$S214-4,0))</f>
        <v>#VALUE!</v>
      </c>
      <c r="J492" s="399" t="e">
        <f ca="1">IF(ISERROR('[1]Smelter List'!$S214),"",OFFSET('[1]Smelter Reference List'!$I$4,'[1]Smelter List'!$S214-4,0))</f>
        <v>#VALUE!</v>
      </c>
      <c r="K492" s="402"/>
      <c r="L492" s="402"/>
      <c r="M492" s="402"/>
      <c r="N492" s="402"/>
      <c r="O492" s="402"/>
      <c r="P492" s="402"/>
      <c r="Q492" s="403"/>
      <c r="R492" s="233"/>
      <c r="S492" s="234" t="e">
        <f>IF(#REF!="",NA(),MATCH(#REF!&amp;#REF!,'Smelter Reference List'!$J:$J,0))</f>
        <v>#REF!</v>
      </c>
      <c r="T492" s="235"/>
      <c r="U492" s="235" t="e">
        <f>IF(AND(#REF!="Smelter not listed",OR(LEN(#REF!)=0,LEN(#REF!)=0)),1,0)</f>
        <v>#REF!</v>
      </c>
      <c r="V492" s="235"/>
      <c r="W492" s="235"/>
      <c r="Y492" s="228" t="e">
        <f>#REF!&amp;#REF!</f>
        <v>#REF!</v>
      </c>
    </row>
    <row r="493" spans="1:25" s="228" customFormat="1" ht="20.25">
      <c r="A493" s="257" t="s">
        <v>199</v>
      </c>
      <c r="B493" s="396" t="str">
        <f>IF(LEN(A493)=0,"",INDEX('[1]Smelter Reference List'!$A$1:$A$65536,MATCH($A493,'[1]Smelter Reference List'!$E$1:$E$65536,0)))</f>
        <v>Tungsten</v>
      </c>
      <c r="C493" s="397" t="str">
        <f>IF(LEN(A493)=0,"",INDEX('[1]Smelter Reference List'!$C$1:$C$65536,MATCH($A493,'[1]Smelter Reference List'!$E$1:$E$65536,0)))</f>
        <v>Jiangxi Gan Bei Tungsten Co., Ltd.</v>
      </c>
      <c r="D493" s="396" t="e">
        <f ca="1">IF(ISERROR('[1]Smelter List'!$S215),"",OFFSET('[1]Smelter Reference List'!$C$4,'[1]Smelter List'!$S215-4,0)&amp;"")</f>
        <v>#VALUE!</v>
      </c>
      <c r="E493" s="396" t="e">
        <f ca="1">IF(ISERROR('[1]Smelter List'!$S215),"",OFFSET('[1]Smelter Reference List'!$D$4,'[1]Smelter List'!$S215-4,0)&amp;"")</f>
        <v>#VALUE!</v>
      </c>
      <c r="F493" s="396" t="e">
        <f ca="1">IF(ISERROR('[1]Smelter List'!$S215),"",OFFSET('[1]Smelter Reference List'!$E$4,'[1]Smelter List'!$S215-4,0))</f>
        <v>#VALUE!</v>
      </c>
      <c r="G493" s="396" t="e">
        <f ca="1">IF(C493='[1]Smelter List'!$U$4,"Enter smelter details", IF(ISERROR('[1]Smelter List'!$S215),"",OFFSET('[1]Smelter Reference List'!$F$4,'[1]Smelter List'!$S215-4,0)))</f>
        <v>#VALUE!</v>
      </c>
      <c r="H493" s="398" t="e">
        <f ca="1">IF(ISERROR('[1]Smelter List'!$S215),"",OFFSET('[1]Smelter Reference List'!$G$4,'[1]Smelter List'!$S215-4,0))</f>
        <v>#VALUE!</v>
      </c>
      <c r="I493" s="399" t="e">
        <f ca="1">IF(ISERROR('[1]Smelter List'!$S215),"",OFFSET('[1]Smelter Reference List'!$H$4,'[1]Smelter List'!$S215-4,0))</f>
        <v>#VALUE!</v>
      </c>
      <c r="J493" s="399" t="e">
        <f ca="1">IF(ISERROR('[1]Smelter List'!$S215),"",OFFSET('[1]Smelter Reference List'!$I$4,'[1]Smelter List'!$S215-4,0))</f>
        <v>#VALUE!</v>
      </c>
      <c r="K493" s="402"/>
      <c r="L493" s="402"/>
      <c r="M493" s="402"/>
      <c r="N493" s="402"/>
      <c r="O493" s="402"/>
      <c r="P493" s="402"/>
      <c r="Q493" s="403"/>
      <c r="R493" s="233"/>
      <c r="S493" s="234" t="e">
        <f>IF(#REF!="",NA(),MATCH(#REF!&amp;#REF!,'Smelter Reference List'!$J:$J,0))</f>
        <v>#REF!</v>
      </c>
      <c r="T493" s="235"/>
      <c r="U493" s="235" t="e">
        <f>IF(AND(#REF!="Smelter not listed",OR(LEN(#REF!)=0,LEN(#REF!)=0)),1,0)</f>
        <v>#REF!</v>
      </c>
      <c r="V493" s="235"/>
      <c r="W493" s="235"/>
      <c r="Y493" s="228" t="e">
        <f>#REF!&amp;#REF!</f>
        <v>#REF!</v>
      </c>
    </row>
    <row r="494" spans="1:25" s="228" customFormat="1" ht="20.25">
      <c r="A494" s="257" t="s">
        <v>722</v>
      </c>
      <c r="B494" s="396" t="str">
        <f>IF(LEN(A494)=0,"",INDEX('[1]Smelter Reference List'!$A$1:$A$65536,MATCH($A494,'[1]Smelter Reference List'!$E$1:$E$65536,0)))</f>
        <v>Tungsten</v>
      </c>
      <c r="C494" s="397" t="str">
        <f>IF(LEN(A494)=0,"",INDEX('[1]Smelter Reference List'!$C$1:$C$65536,MATCH($A494,'[1]Smelter Reference List'!$E$1:$E$65536,0)))</f>
        <v>Ganzhou Seadragon W &amp; Mo Co., Ltd.</v>
      </c>
      <c r="D494" s="396" t="e">
        <f ca="1">IF(ISERROR('[1]Smelter List'!$S216),"",OFFSET('[1]Smelter Reference List'!$C$4,'[1]Smelter List'!$S216-4,0)&amp;"")</f>
        <v>#VALUE!</v>
      </c>
      <c r="E494" s="396" t="e">
        <f ca="1">IF(ISERROR('[1]Smelter List'!$S216),"",OFFSET('[1]Smelter Reference List'!$D$4,'[1]Smelter List'!$S216-4,0)&amp;"")</f>
        <v>#VALUE!</v>
      </c>
      <c r="F494" s="396" t="e">
        <f ca="1">IF(ISERROR('[1]Smelter List'!$S216),"",OFFSET('[1]Smelter Reference List'!$E$4,'[1]Smelter List'!$S216-4,0))</f>
        <v>#VALUE!</v>
      </c>
      <c r="G494" s="396" t="e">
        <f ca="1">IF(C494='[1]Smelter List'!$U$4,"Enter smelter details", IF(ISERROR('[1]Smelter List'!$S216),"",OFFSET('[1]Smelter Reference List'!$F$4,'[1]Smelter List'!$S216-4,0)))</f>
        <v>#VALUE!</v>
      </c>
      <c r="H494" s="398" t="e">
        <f ca="1">IF(ISERROR('[1]Smelter List'!$S216),"",OFFSET('[1]Smelter Reference List'!$G$4,'[1]Smelter List'!$S216-4,0))</f>
        <v>#VALUE!</v>
      </c>
      <c r="I494" s="399" t="e">
        <f ca="1">IF(ISERROR('[1]Smelter List'!$S216),"",OFFSET('[1]Smelter Reference List'!$H$4,'[1]Smelter List'!$S216-4,0))</f>
        <v>#VALUE!</v>
      </c>
      <c r="J494" s="399" t="e">
        <f ca="1">IF(ISERROR('[1]Smelter List'!$S216),"",OFFSET('[1]Smelter Reference List'!$I$4,'[1]Smelter List'!$S216-4,0))</f>
        <v>#VALUE!</v>
      </c>
      <c r="K494" s="402"/>
      <c r="L494" s="402"/>
      <c r="M494" s="402"/>
      <c r="N494" s="402"/>
      <c r="O494" s="402"/>
      <c r="P494" s="402"/>
      <c r="Q494" s="403"/>
      <c r="R494" s="233"/>
      <c r="S494" s="234" t="e">
        <f>IF(#REF!="",NA(),MATCH(#REF!&amp;#REF!,'Smelter Reference List'!$J:$J,0))</f>
        <v>#REF!</v>
      </c>
      <c r="T494" s="235"/>
      <c r="U494" s="235" t="e">
        <f>IF(AND(#REF!="Smelter not listed",OR(LEN(#REF!)=0,LEN(#REF!)=0)),1,0)</f>
        <v>#REF!</v>
      </c>
      <c r="V494" s="235"/>
      <c r="W494" s="235"/>
      <c r="Y494" s="228" t="e">
        <f>#REF!&amp;#REF!</f>
        <v>#REF!</v>
      </c>
    </row>
    <row r="495" spans="1:25" s="228" customFormat="1" ht="20.25">
      <c r="A495" s="257" t="s">
        <v>2716</v>
      </c>
      <c r="B495" s="396" t="str">
        <f>IF(LEN(A495)=0,"",INDEX('[1]Smelter Reference List'!$A$1:$A$65536,MATCH($A495,'[1]Smelter Reference List'!$E$1:$E$65536,0)))</f>
        <v>Tungsten</v>
      </c>
      <c r="C495" s="397" t="str">
        <f>IF(LEN(A495)=0,"",INDEX('[1]Smelter Reference List'!$C$1:$C$65536,MATCH($A495,'[1]Smelter Reference List'!$E$1:$E$65536,0)))</f>
        <v>Asia Tungsten Products Vietnam Ltd.</v>
      </c>
      <c r="D495" s="396" t="e">
        <f ca="1">IF(ISERROR('[1]Smelter List'!$S217),"",OFFSET('[1]Smelter Reference List'!$C$4,'[1]Smelter List'!$S217-4,0)&amp;"")</f>
        <v>#VALUE!</v>
      </c>
      <c r="E495" s="396" t="e">
        <f ca="1">IF(ISERROR('[1]Smelter List'!$S217),"",OFFSET('[1]Smelter Reference List'!$D$4,'[1]Smelter List'!$S217-4,0)&amp;"")</f>
        <v>#VALUE!</v>
      </c>
      <c r="F495" s="396" t="e">
        <f ca="1">IF(ISERROR('[1]Smelter List'!$S217),"",OFFSET('[1]Smelter Reference List'!$E$4,'[1]Smelter List'!$S217-4,0))</f>
        <v>#VALUE!</v>
      </c>
      <c r="G495" s="396" t="e">
        <f ca="1">IF(C495='[1]Smelter List'!$U$4,"Enter smelter details", IF(ISERROR('[1]Smelter List'!$S217),"",OFFSET('[1]Smelter Reference List'!$F$4,'[1]Smelter List'!$S217-4,0)))</f>
        <v>#VALUE!</v>
      </c>
      <c r="H495" s="398" t="e">
        <f ca="1">IF(ISERROR('[1]Smelter List'!$S217),"",OFFSET('[1]Smelter Reference List'!$G$4,'[1]Smelter List'!$S217-4,0))</f>
        <v>#VALUE!</v>
      </c>
      <c r="I495" s="399" t="e">
        <f ca="1">IF(ISERROR('[1]Smelter List'!$S217),"",OFFSET('[1]Smelter Reference List'!$H$4,'[1]Smelter List'!$S217-4,0))</f>
        <v>#VALUE!</v>
      </c>
      <c r="J495" s="399" t="e">
        <f ca="1">IF(ISERROR('[1]Smelter List'!$S217),"",OFFSET('[1]Smelter Reference List'!$I$4,'[1]Smelter List'!$S217-4,0))</f>
        <v>#VALUE!</v>
      </c>
      <c r="K495" s="402"/>
      <c r="L495" s="402"/>
      <c r="M495" s="402"/>
      <c r="N495" s="402"/>
      <c r="O495" s="402"/>
      <c r="P495" s="402"/>
      <c r="Q495" s="403"/>
      <c r="R495" s="233"/>
      <c r="S495" s="234" t="e">
        <f>IF(#REF!="",NA(),MATCH(#REF!&amp;#REF!,'Smelter Reference List'!$J:$J,0))</f>
        <v>#REF!</v>
      </c>
      <c r="T495" s="235"/>
      <c r="U495" s="235" t="e">
        <f>IF(AND(#REF!="Smelter not listed",OR(LEN(#REF!)=0,LEN(#REF!)=0)),1,0)</f>
        <v>#REF!</v>
      </c>
      <c r="V495" s="235"/>
      <c r="W495" s="235"/>
      <c r="Y495" s="228" t="e">
        <f>#REF!&amp;#REF!</f>
        <v>#REF!</v>
      </c>
    </row>
    <row r="496" spans="1:25" s="228" customFormat="1" ht="25.5">
      <c r="A496" s="257" t="s">
        <v>2718</v>
      </c>
      <c r="B496" s="396" t="str">
        <f>IF(LEN(A496)=0,"",INDEX('[1]Smelter Reference List'!$A$1:$A$65536,MATCH($A496,'[1]Smelter Reference List'!$E$1:$E$65536,0)))</f>
        <v>Tungsten</v>
      </c>
      <c r="C496" s="397" t="str">
        <f>IF(LEN(A496)=0,"",INDEX('[1]Smelter Reference List'!$C$1:$C$65536,MATCH($A496,'[1]Smelter Reference List'!$E$1:$E$65536,0)))</f>
        <v>Chenzhou Diamond Tungsten Products Co., Ltd.</v>
      </c>
      <c r="D496" s="396" t="e">
        <f ca="1">IF(ISERROR('[1]Smelter List'!$S218),"",OFFSET('[1]Smelter Reference List'!$C$4,'[1]Smelter List'!$S218-4,0)&amp;"")</f>
        <v>#VALUE!</v>
      </c>
      <c r="E496" s="396" t="e">
        <f ca="1">IF(ISERROR('[1]Smelter List'!$S218),"",OFFSET('[1]Smelter Reference List'!$D$4,'[1]Smelter List'!$S218-4,0)&amp;"")</f>
        <v>#VALUE!</v>
      </c>
      <c r="F496" s="396" t="e">
        <f ca="1">IF(ISERROR('[1]Smelter List'!$S218),"",OFFSET('[1]Smelter Reference List'!$E$4,'[1]Smelter List'!$S218-4,0))</f>
        <v>#VALUE!</v>
      </c>
      <c r="G496" s="396" t="e">
        <f ca="1">IF(C496='[1]Smelter List'!$U$4,"Enter smelter details", IF(ISERROR('[1]Smelter List'!$S218),"",OFFSET('[1]Smelter Reference List'!$F$4,'[1]Smelter List'!$S218-4,0)))</f>
        <v>#VALUE!</v>
      </c>
      <c r="H496" s="398" t="e">
        <f ca="1">IF(ISERROR('[1]Smelter List'!$S218),"",OFFSET('[1]Smelter Reference List'!$G$4,'[1]Smelter List'!$S218-4,0))</f>
        <v>#VALUE!</v>
      </c>
      <c r="I496" s="399" t="e">
        <f ca="1">IF(ISERROR('[1]Smelter List'!$S218),"",OFFSET('[1]Smelter Reference List'!$H$4,'[1]Smelter List'!$S218-4,0))</f>
        <v>#VALUE!</v>
      </c>
      <c r="J496" s="399" t="e">
        <f ca="1">IF(ISERROR('[1]Smelter List'!$S218),"",OFFSET('[1]Smelter Reference List'!$I$4,'[1]Smelter List'!$S218-4,0))</f>
        <v>#VALUE!</v>
      </c>
      <c r="K496" s="402"/>
      <c r="L496" s="402"/>
      <c r="M496" s="402"/>
      <c r="N496" s="402"/>
      <c r="O496" s="402"/>
      <c r="P496" s="402"/>
      <c r="Q496" s="403"/>
      <c r="R496" s="233"/>
      <c r="S496" s="234" t="e">
        <f>IF(#REF!="",NA(),MATCH(#REF!&amp;#REF!,'Smelter Reference List'!$J:$J,0))</f>
        <v>#REF!</v>
      </c>
      <c r="T496" s="235"/>
      <c r="U496" s="235" t="e">
        <f>IF(AND(#REF!="Smelter not listed",OR(LEN(#REF!)=0,LEN(#REF!)=0)),1,0)</f>
        <v>#REF!</v>
      </c>
      <c r="V496" s="235"/>
      <c r="W496" s="235"/>
      <c r="Y496" s="228" t="e">
        <f>#REF!&amp;#REF!</f>
        <v>#REF!</v>
      </c>
    </row>
    <row r="497" spans="1:25" s="228" customFormat="1" ht="25.5">
      <c r="A497" s="257" t="s">
        <v>2726</v>
      </c>
      <c r="B497" s="396" t="str">
        <f>IF(LEN(A497)=0,"",INDEX('[1]Smelter Reference List'!$A$1:$A$65536,MATCH($A497,'[1]Smelter Reference List'!$E$1:$E$65536,0)))</f>
        <v>Tungsten</v>
      </c>
      <c r="C497" s="397" t="str">
        <f>IF(LEN(A497)=0,"",INDEX('[1]Smelter Reference List'!$C$1:$C$65536,MATCH($A497,'[1]Smelter Reference List'!$E$1:$E$65536,0)))</f>
        <v>Jiangxi Xiushui Xianggan Nonferrous Metals Co., Ltd.</v>
      </c>
      <c r="D497" s="396" t="e">
        <f ca="1">IF(ISERROR('[1]Smelter List'!$S219),"",OFFSET('[1]Smelter Reference List'!$C$4,'[1]Smelter List'!$S219-4,0)&amp;"")</f>
        <v>#VALUE!</v>
      </c>
      <c r="E497" s="396" t="e">
        <f ca="1">IF(ISERROR('[1]Smelter List'!$S219),"",OFFSET('[1]Smelter Reference List'!$D$4,'[1]Smelter List'!$S219-4,0)&amp;"")</f>
        <v>#VALUE!</v>
      </c>
      <c r="F497" s="396" t="e">
        <f ca="1">IF(ISERROR('[1]Smelter List'!$S219),"",OFFSET('[1]Smelter Reference List'!$E$4,'[1]Smelter List'!$S219-4,0))</f>
        <v>#VALUE!</v>
      </c>
      <c r="G497" s="396" t="e">
        <f ca="1">IF(C497='[1]Smelter List'!$U$4,"Enter smelter details", IF(ISERROR('[1]Smelter List'!$S219),"",OFFSET('[1]Smelter Reference List'!$F$4,'[1]Smelter List'!$S219-4,0)))</f>
        <v>#VALUE!</v>
      </c>
      <c r="H497" s="398" t="e">
        <f ca="1">IF(ISERROR('[1]Smelter List'!$S219),"",OFFSET('[1]Smelter Reference List'!$G$4,'[1]Smelter List'!$S219-4,0))</f>
        <v>#VALUE!</v>
      </c>
      <c r="I497" s="399" t="e">
        <f ca="1">IF(ISERROR('[1]Smelter List'!$S219),"",OFFSET('[1]Smelter Reference List'!$H$4,'[1]Smelter List'!$S219-4,0))</f>
        <v>#VALUE!</v>
      </c>
      <c r="J497" s="399" t="e">
        <f ca="1">IF(ISERROR('[1]Smelter List'!$S219),"",OFFSET('[1]Smelter Reference List'!$I$4,'[1]Smelter List'!$S219-4,0))</f>
        <v>#VALUE!</v>
      </c>
      <c r="K497" s="402"/>
      <c r="L497" s="402"/>
      <c r="M497" s="402"/>
      <c r="N497" s="402"/>
      <c r="O497" s="402"/>
      <c r="P497" s="402"/>
      <c r="Q497" s="403"/>
      <c r="R497" s="233"/>
      <c r="S497" s="234" t="e">
        <f>IF(#REF!="",NA(),MATCH(#REF!&amp;#REF!,'Smelter Reference List'!$J:$J,0))</f>
        <v>#REF!</v>
      </c>
      <c r="T497" s="235"/>
      <c r="U497" s="235" t="e">
        <f>IF(AND(#REF!="Smelter not listed",OR(LEN(#REF!)=0,LEN(#REF!)=0)),1,0)</f>
        <v>#REF!</v>
      </c>
      <c r="V497" s="235"/>
      <c r="W497" s="235"/>
      <c r="Y497" s="228" t="e">
        <f>#REF!&amp;#REF!</f>
        <v>#REF!</v>
      </c>
    </row>
    <row r="498" spans="1:25" s="228" customFormat="1" ht="20.25">
      <c r="A498" s="257" t="s">
        <v>2761</v>
      </c>
      <c r="B498" s="396" t="str">
        <f>IF(LEN(A498)=0,"",INDEX('[1]Smelter Reference List'!$A$1:$A$65536,MATCH($A498,'[1]Smelter Reference List'!$E$1:$E$65536,0)))</f>
        <v>Tungsten</v>
      </c>
      <c r="C498" s="397" t="str">
        <f>IF(LEN(A498)=0,"",INDEX('[1]Smelter Reference List'!$C$1:$C$65536,MATCH($A498,'[1]Smelter Reference List'!$E$1:$E$65536,0)))</f>
        <v>H.C. Starck Smelting GmbH &amp; Co.KG</v>
      </c>
      <c r="D498" s="396" t="e">
        <f ca="1">IF(ISERROR('[1]Smelter List'!$S220),"",OFFSET('[1]Smelter Reference List'!$C$4,'[1]Smelter List'!$S220-4,0)&amp;"")</f>
        <v>#VALUE!</v>
      </c>
      <c r="E498" s="396" t="e">
        <f ca="1">IF(ISERROR('[1]Smelter List'!$S220),"",OFFSET('[1]Smelter Reference List'!$D$4,'[1]Smelter List'!$S220-4,0)&amp;"")</f>
        <v>#VALUE!</v>
      </c>
      <c r="F498" s="396" t="e">
        <f ca="1">IF(ISERROR('[1]Smelter List'!$S220),"",OFFSET('[1]Smelter Reference List'!$E$4,'[1]Smelter List'!$S220-4,0))</f>
        <v>#VALUE!</v>
      </c>
      <c r="G498" s="396" t="e">
        <f ca="1">IF(C498='[1]Smelter List'!$U$4,"Enter smelter details", IF(ISERROR('[1]Smelter List'!$S220),"",OFFSET('[1]Smelter Reference List'!$F$4,'[1]Smelter List'!$S220-4,0)))</f>
        <v>#VALUE!</v>
      </c>
      <c r="H498" s="398" t="e">
        <f ca="1">IF(ISERROR('[1]Smelter List'!$S220),"",OFFSET('[1]Smelter Reference List'!$G$4,'[1]Smelter List'!$S220-4,0))</f>
        <v>#VALUE!</v>
      </c>
      <c r="I498" s="399" t="e">
        <f ca="1">IF(ISERROR('[1]Smelter List'!$S220),"",OFFSET('[1]Smelter Reference List'!$H$4,'[1]Smelter List'!$S220-4,0))</f>
        <v>#VALUE!</v>
      </c>
      <c r="J498" s="399" t="e">
        <f ca="1">IF(ISERROR('[1]Smelter List'!$S220),"",OFFSET('[1]Smelter Reference List'!$I$4,'[1]Smelter List'!$S220-4,0))</f>
        <v>#VALUE!</v>
      </c>
      <c r="K498" s="402"/>
      <c r="L498" s="402"/>
      <c r="M498" s="402"/>
      <c r="N498" s="402"/>
      <c r="O498" s="402"/>
      <c r="P498" s="402"/>
      <c r="Q498" s="403"/>
      <c r="R498" s="233"/>
      <c r="S498" s="234" t="e">
        <f>IF(#REF!="",NA(),MATCH(#REF!&amp;#REF!,'Smelter Reference List'!$J:$J,0))</f>
        <v>#REF!</v>
      </c>
      <c r="T498" s="235"/>
      <c r="U498" s="235" t="e">
        <f>IF(AND(#REF!="Smelter not listed",OR(LEN(#REF!)=0,LEN(#REF!)=0)),1,0)</f>
        <v>#REF!</v>
      </c>
      <c r="V498" s="235"/>
      <c r="W498" s="235"/>
      <c r="Y498" s="228" t="e">
        <f>#REF!&amp;#REF!</f>
        <v>#REF!</v>
      </c>
    </row>
    <row r="499" spans="1:25" s="228" customFormat="1" ht="25.5">
      <c r="A499" s="257" t="s">
        <v>2764</v>
      </c>
      <c r="B499" s="396" t="str">
        <f>IF(LEN(A499)=0,"",INDEX('[1]Smelter Reference List'!$A$1:$A$65536,MATCH($A499,'[1]Smelter Reference List'!$E$1:$E$65536,0)))</f>
        <v>Tungsten</v>
      </c>
      <c r="C499" s="397" t="str">
        <f>IF(LEN(A499)=0,"",INDEX('[1]Smelter Reference List'!$C$1:$C$65536,MATCH($A499,'[1]Smelter Reference List'!$E$1:$E$65536,0)))</f>
        <v>Nui Phao H.C. Starck Tungsten Chemicals Manufacturing LLC</v>
      </c>
      <c r="D499" s="396" t="e">
        <f ca="1">IF(ISERROR('[1]Smelter List'!$S221),"",OFFSET('[1]Smelter Reference List'!$C$4,'[1]Smelter List'!$S221-4,0)&amp;"")</f>
        <v>#VALUE!</v>
      </c>
      <c r="E499" s="396" t="e">
        <f ca="1">IF(ISERROR('[1]Smelter List'!$S221),"",OFFSET('[1]Smelter Reference List'!$D$4,'[1]Smelter List'!$S221-4,0)&amp;"")</f>
        <v>#VALUE!</v>
      </c>
      <c r="F499" s="396" t="e">
        <f ca="1">IF(ISERROR('[1]Smelter List'!$S221),"",OFFSET('[1]Smelter Reference List'!$E$4,'[1]Smelter List'!$S221-4,0))</f>
        <v>#VALUE!</v>
      </c>
      <c r="G499" s="396" t="e">
        <f ca="1">IF(C499='[1]Smelter List'!$U$4,"Enter smelter details", IF(ISERROR('[1]Smelter List'!$S221),"",OFFSET('[1]Smelter Reference List'!$F$4,'[1]Smelter List'!$S221-4,0)))</f>
        <v>#VALUE!</v>
      </c>
      <c r="H499" s="398" t="e">
        <f ca="1">IF(ISERROR('[1]Smelter List'!$S221),"",OFFSET('[1]Smelter Reference List'!$G$4,'[1]Smelter List'!$S221-4,0))</f>
        <v>#VALUE!</v>
      </c>
      <c r="I499" s="399" t="e">
        <f ca="1">IF(ISERROR('[1]Smelter List'!$S221),"",OFFSET('[1]Smelter Reference List'!$H$4,'[1]Smelter List'!$S221-4,0))</f>
        <v>#VALUE!</v>
      </c>
      <c r="J499" s="399" t="e">
        <f ca="1">IF(ISERROR('[1]Smelter List'!$S221),"",OFFSET('[1]Smelter Reference List'!$I$4,'[1]Smelter List'!$S221-4,0))</f>
        <v>#VALUE!</v>
      </c>
      <c r="K499" s="402"/>
      <c r="L499" s="402"/>
      <c r="M499" s="402"/>
      <c r="N499" s="402"/>
      <c r="O499" s="402"/>
      <c r="P499" s="402"/>
      <c r="Q499" s="403"/>
      <c r="R499" s="233"/>
      <c r="S499" s="234" t="e">
        <f>IF(#REF!="",NA(),MATCH(#REF!&amp;#REF!,'Smelter Reference List'!$J:$J,0))</f>
        <v>#REF!</v>
      </c>
      <c r="T499" s="235"/>
      <c r="U499" s="235" t="e">
        <f>IF(AND(#REF!="Smelter not listed",OR(LEN(#REF!)=0,LEN(#REF!)=0)),1,0)</f>
        <v>#REF!</v>
      </c>
      <c r="V499" s="235"/>
      <c r="W499" s="235"/>
      <c r="Y499" s="228" t="e">
        <f>#REF!&amp;#REF!</f>
        <v>#REF!</v>
      </c>
    </row>
    <row r="500" spans="1:25" s="228" customFormat="1" ht="25.5">
      <c r="A500" s="257" t="s">
        <v>2763</v>
      </c>
      <c r="B500" s="396" t="str">
        <f>IF(LEN(A500)=0,"",INDEX('[1]Smelter Reference List'!$A$1:$A$65536,MATCH($A500,'[1]Smelter Reference List'!$E$1:$E$65536,0)))</f>
        <v>Tungsten</v>
      </c>
      <c r="C500" s="397" t="str">
        <f>IF(LEN(A500)=0,"",INDEX('[1]Smelter Reference List'!$C$1:$C$65536,MATCH($A500,'[1]Smelter Reference List'!$E$1:$E$65536,0)))</f>
        <v>Jiangwu H.C. Starck Tungsten Products Co., Ltd.</v>
      </c>
      <c r="D500" s="396" t="e">
        <f ca="1">IF(ISERROR('[1]Smelter List'!$S222),"",OFFSET('[1]Smelter Reference List'!$C$4,'[1]Smelter List'!$S222-4,0)&amp;"")</f>
        <v>#VALUE!</v>
      </c>
      <c r="E500" s="396" t="e">
        <f ca="1">IF(ISERROR('[1]Smelter List'!$S222),"",OFFSET('[1]Smelter Reference List'!$D$4,'[1]Smelter List'!$S222-4,0)&amp;"")</f>
        <v>#VALUE!</v>
      </c>
      <c r="F500" s="396" t="e">
        <f ca="1">IF(ISERROR('[1]Smelter List'!$S222),"",OFFSET('[1]Smelter Reference List'!$E$4,'[1]Smelter List'!$S222-4,0))</f>
        <v>#VALUE!</v>
      </c>
      <c r="G500" s="396" t="e">
        <f ca="1">IF(C500='[1]Smelter List'!$U$4,"Enter smelter details", IF(ISERROR('[1]Smelter List'!$S222),"",OFFSET('[1]Smelter Reference List'!$F$4,'[1]Smelter List'!$S222-4,0)))</f>
        <v>#VALUE!</v>
      </c>
      <c r="H500" s="398" t="e">
        <f ca="1">IF(ISERROR('[1]Smelter List'!$S222),"",OFFSET('[1]Smelter Reference List'!$G$4,'[1]Smelter List'!$S222-4,0))</f>
        <v>#VALUE!</v>
      </c>
      <c r="I500" s="399" t="e">
        <f ca="1">IF(ISERROR('[1]Smelter List'!$S222),"",OFFSET('[1]Smelter Reference List'!$H$4,'[1]Smelter List'!$S222-4,0))</f>
        <v>#VALUE!</v>
      </c>
      <c r="J500" s="399" t="e">
        <f ca="1">IF(ISERROR('[1]Smelter List'!$S222),"",OFFSET('[1]Smelter Reference List'!$I$4,'[1]Smelter List'!$S222-4,0))</f>
        <v>#VALUE!</v>
      </c>
      <c r="K500" s="402"/>
      <c r="L500" s="402"/>
      <c r="M500" s="402"/>
      <c r="N500" s="402"/>
      <c r="O500" s="402"/>
      <c r="P500" s="402"/>
      <c r="Q500" s="403"/>
      <c r="R500" s="233"/>
      <c r="S500" s="234" t="e">
        <f>IF(#REF!="",NA(),MATCH(#REF!&amp;#REF!,'Smelter Reference List'!$J:$J,0))</f>
        <v>#REF!</v>
      </c>
      <c r="T500" s="235"/>
      <c r="U500" s="235" t="e">
        <f>IF(AND(#REF!="Smelter not listed",OR(LEN(#REF!)=0,LEN(#REF!)=0)),1,0)</f>
        <v>#REF!</v>
      </c>
      <c r="V500" s="235"/>
      <c r="W500" s="235"/>
      <c r="Y500" s="228" t="e">
        <f>#REF!&amp;#REF!</f>
        <v>#REF!</v>
      </c>
    </row>
    <row r="501" spans="1:25" s="228" customFormat="1" ht="25.5">
      <c r="A501" s="257" t="s">
        <v>3592</v>
      </c>
      <c r="B501" s="396" t="str">
        <f>IF(LEN(A501)=0,"",INDEX('[1]Smelter Reference List'!$A$1:$A$65536,MATCH($A501,'[1]Smelter Reference List'!$E$1:$E$65536,0)))</f>
        <v>Tungsten</v>
      </c>
      <c r="C501" s="397" t="str">
        <f>IF(LEN(A501)=0,"",INDEX('[1]Smelter Reference List'!$C$1:$C$65536,MATCH($A501,'[1]Smelter Reference List'!$E$1:$E$65536,0)))</f>
        <v>Hunan Chuangda Vanadium Tungsten Co., Ltd. Wuji</v>
      </c>
      <c r="D501" s="396" t="e">
        <f ca="1">IF(ISERROR('[1]Smelter List'!$S223),"",OFFSET('[1]Smelter Reference List'!$C$4,'[1]Smelter List'!$S223-4,0)&amp;"")</f>
        <v>#VALUE!</v>
      </c>
      <c r="E501" s="396" t="e">
        <f ca="1">IF(ISERROR('[1]Smelter List'!$S223),"",OFFSET('[1]Smelter Reference List'!$D$4,'[1]Smelter List'!$S223-4,0)&amp;"")</f>
        <v>#VALUE!</v>
      </c>
      <c r="F501" s="396" t="e">
        <f ca="1">IF(ISERROR('[1]Smelter List'!$S223),"",OFFSET('[1]Smelter Reference List'!$E$4,'[1]Smelter List'!$S223-4,0))</f>
        <v>#VALUE!</v>
      </c>
      <c r="G501" s="396" t="e">
        <f ca="1">IF(C501='[1]Smelter List'!$U$4,"Enter smelter details", IF(ISERROR('[1]Smelter List'!$S223),"",OFFSET('[1]Smelter Reference List'!$F$4,'[1]Smelter List'!$S223-4,0)))</f>
        <v>#VALUE!</v>
      </c>
      <c r="H501" s="398" t="e">
        <f ca="1">IF(ISERROR('[1]Smelter List'!$S223),"",OFFSET('[1]Smelter Reference List'!$G$4,'[1]Smelter List'!$S223-4,0))</f>
        <v>#VALUE!</v>
      </c>
      <c r="I501" s="399" t="e">
        <f ca="1">IF(ISERROR('[1]Smelter List'!$S223),"",OFFSET('[1]Smelter Reference List'!$H$4,'[1]Smelter List'!$S223-4,0))</f>
        <v>#VALUE!</v>
      </c>
      <c r="J501" s="399" t="e">
        <f ca="1">IF(ISERROR('[1]Smelter List'!$S223),"",OFFSET('[1]Smelter Reference List'!$I$4,'[1]Smelter List'!$S223-4,0))</f>
        <v>#VALUE!</v>
      </c>
      <c r="K501" s="402"/>
      <c r="L501" s="402"/>
      <c r="M501" s="402"/>
      <c r="N501" s="402"/>
      <c r="O501" s="402"/>
      <c r="P501" s="402"/>
      <c r="Q501" s="403"/>
      <c r="R501" s="233"/>
      <c r="S501" s="234" t="e">
        <f>IF(#REF!="",NA(),MATCH(#REF!&amp;#REF!,'Smelter Reference List'!$J:$J,0))</f>
        <v>#REF!</v>
      </c>
      <c r="T501" s="235"/>
      <c r="U501" s="235" t="e">
        <f>IF(AND(#REF!="Smelter not listed",OR(LEN(#REF!)=0,LEN(#REF!)=0)),1,0)</f>
        <v>#REF!</v>
      </c>
      <c r="V501" s="235"/>
      <c r="W501" s="235"/>
      <c r="Y501" s="228" t="e">
        <f>#REF!&amp;#REF!</f>
        <v>#REF!</v>
      </c>
    </row>
    <row r="502" spans="1:25" s="228" customFormat="1" ht="20.25">
      <c r="A502" s="257" t="s">
        <v>3594</v>
      </c>
      <c r="B502" s="396" t="str">
        <f>IF(LEN(A502)=0,"",INDEX('[1]Smelter Reference List'!$A$1:$A$65536,MATCH($A502,'[1]Smelter Reference List'!$E$1:$E$65536,0)))</f>
        <v>Tungsten</v>
      </c>
      <c r="C502" s="397" t="str">
        <f>IF(LEN(A502)=0,"",INDEX('[1]Smelter Reference List'!$C$1:$C$65536,MATCH($A502,'[1]Smelter Reference List'!$E$1:$E$65536,0)))</f>
        <v>Niagara Refining LLC</v>
      </c>
      <c r="D502" s="396" t="e">
        <f ca="1">IF(ISERROR('[1]Smelter List'!$S224),"",OFFSET('[1]Smelter Reference List'!$C$4,'[1]Smelter List'!$S224-4,0)&amp;"")</f>
        <v>#VALUE!</v>
      </c>
      <c r="E502" s="396" t="e">
        <f ca="1">IF(ISERROR('[1]Smelter List'!$S224),"",OFFSET('[1]Smelter Reference List'!$D$4,'[1]Smelter List'!$S224-4,0)&amp;"")</f>
        <v>#VALUE!</v>
      </c>
      <c r="F502" s="396" t="e">
        <f ca="1">IF(ISERROR('[1]Smelter List'!$S224),"",OFFSET('[1]Smelter Reference List'!$E$4,'[1]Smelter List'!$S224-4,0))</f>
        <v>#VALUE!</v>
      </c>
      <c r="G502" s="396" t="e">
        <f ca="1">IF(C502='[1]Smelter List'!$U$4,"Enter smelter details", IF(ISERROR('[1]Smelter List'!$S224),"",OFFSET('[1]Smelter Reference List'!$F$4,'[1]Smelter List'!$S224-4,0)))</f>
        <v>#VALUE!</v>
      </c>
      <c r="H502" s="398" t="e">
        <f ca="1">IF(ISERROR('[1]Smelter List'!$S224),"",OFFSET('[1]Smelter Reference List'!$G$4,'[1]Smelter List'!$S224-4,0))</f>
        <v>#VALUE!</v>
      </c>
      <c r="I502" s="399" t="e">
        <f ca="1">IF(ISERROR('[1]Smelter List'!$S224),"",OFFSET('[1]Smelter Reference List'!$H$4,'[1]Smelter List'!$S224-4,0))</f>
        <v>#VALUE!</v>
      </c>
      <c r="J502" s="399" t="e">
        <f ca="1">IF(ISERROR('[1]Smelter List'!$S224),"",OFFSET('[1]Smelter Reference List'!$I$4,'[1]Smelter List'!$S224-4,0))</f>
        <v>#VALUE!</v>
      </c>
      <c r="K502" s="402"/>
      <c r="L502" s="402"/>
      <c r="M502" s="402"/>
      <c r="N502" s="402"/>
      <c r="O502" s="402"/>
      <c r="P502" s="402"/>
      <c r="Q502" s="403"/>
      <c r="R502" s="233"/>
      <c r="S502" s="234" t="e">
        <f>IF(#REF!="",NA(),MATCH(#REF!&amp;#REF!,'Smelter Reference List'!$J:$J,0))</f>
        <v>#REF!</v>
      </c>
      <c r="T502" s="235"/>
      <c r="U502" s="235" t="e">
        <f>IF(AND(#REF!="Smelter not listed",OR(LEN(#REF!)=0,LEN(#REF!)=0)),1,0)</f>
        <v>#REF!</v>
      </c>
      <c r="V502" s="235"/>
      <c r="W502" s="235"/>
      <c r="Y502" s="228" t="e">
        <f>#REF!&amp;#REF!</f>
        <v>#REF!</v>
      </c>
    </row>
    <row r="503" spans="1:25" s="228" customFormat="1" ht="25.5">
      <c r="A503" s="257" t="s">
        <v>3597</v>
      </c>
      <c r="B503" s="396" t="str">
        <f>IF(LEN(A503)=0,"",INDEX('[1]Smelter Reference List'!$A$1:$A$65536,MATCH($A503,'[1]Smelter Reference List'!$E$1:$E$65536,0)))</f>
        <v>Tungsten</v>
      </c>
      <c r="C503" s="397" t="str">
        <f>IF(LEN(A503)=0,"",INDEX('[1]Smelter Reference List'!$C$1:$C$65536,MATCH($A503,'[1]Smelter Reference List'!$E$1:$E$65536,0)))</f>
        <v>Hydrometallurg, JSC</v>
      </c>
      <c r="D503" s="396" t="e">
        <f ca="1">IF(ISERROR('[1]Smelter List'!$S225),"",OFFSET('[1]Smelter Reference List'!$C$4,'[1]Smelter List'!$S225-4,0)&amp;"")</f>
        <v>#VALUE!</v>
      </c>
      <c r="E503" s="396" t="e">
        <f ca="1">IF(ISERROR('[1]Smelter List'!$S225),"",OFFSET('[1]Smelter Reference List'!$D$4,'[1]Smelter List'!$S225-4,0)&amp;"")</f>
        <v>#VALUE!</v>
      </c>
      <c r="F503" s="396" t="e">
        <f ca="1">IF(ISERROR('[1]Smelter List'!$S225),"",OFFSET('[1]Smelter Reference List'!$E$4,'[1]Smelter List'!$S225-4,0))</f>
        <v>#VALUE!</v>
      </c>
      <c r="G503" s="396" t="e">
        <f ca="1">IF(C503='[1]Smelter List'!$U$4,"Enter smelter details", IF(ISERROR('[1]Smelter List'!$S225),"",OFFSET('[1]Smelter Reference List'!$F$4,'[1]Smelter List'!$S225-4,0)))</f>
        <v>#VALUE!</v>
      </c>
      <c r="H503" s="398" t="e">
        <f ca="1">IF(ISERROR('[1]Smelter List'!$S225),"",OFFSET('[1]Smelter Reference List'!$G$4,'[1]Smelter List'!$S225-4,0))</f>
        <v>#VALUE!</v>
      </c>
      <c r="I503" s="399" t="e">
        <f ca="1">IF(ISERROR('[1]Smelter List'!$S225),"",OFFSET('[1]Smelter Reference List'!$H$4,'[1]Smelter List'!$S225-4,0))</f>
        <v>#VALUE!</v>
      </c>
      <c r="J503" s="399" t="e">
        <f ca="1">IF(ISERROR('[1]Smelter List'!$S225),"",OFFSET('[1]Smelter Reference List'!$I$4,'[1]Smelter List'!$S225-4,0))</f>
        <v>#VALUE!</v>
      </c>
      <c r="K503" s="402"/>
      <c r="L503" s="402"/>
      <c r="M503" s="402"/>
      <c r="N503" s="402"/>
      <c r="O503" s="402"/>
      <c r="P503" s="402"/>
      <c r="Q503" s="403"/>
      <c r="R503" s="233"/>
      <c r="S503" s="234" t="e">
        <f>IF(#REF!="",NA(),MATCH(#REF!&amp;#REF!,'Smelter Reference List'!$J:$J,0))</f>
        <v>#REF!</v>
      </c>
      <c r="T503" s="235"/>
      <c r="U503" s="235" t="e">
        <f>IF(AND(#REF!="Smelter not listed",OR(LEN(#REF!)=0,LEN(#REF!)=0)),1,0)</f>
        <v>#REF!</v>
      </c>
      <c r="V503" s="235"/>
      <c r="W503" s="235"/>
      <c r="Y503" s="228" t="e">
        <f>#REF!&amp;#REF!</f>
        <v>#REF!</v>
      </c>
    </row>
    <row r="504" spans="1:25" s="228" customFormat="1" ht="20.25">
      <c r="A504" s="404" t="s">
        <v>1234</v>
      </c>
      <c r="B504" s="396" t="s">
        <v>2323</v>
      </c>
      <c r="C504" s="397" t="s">
        <v>4146</v>
      </c>
      <c r="D504" s="396" t="s">
        <v>4146</v>
      </c>
      <c r="E504" s="396" t="s">
        <v>2249</v>
      </c>
      <c r="F504" s="396" t="s">
        <v>1234</v>
      </c>
      <c r="G504" s="396" t="s">
        <v>3125</v>
      </c>
      <c r="H504" s="405" t="s">
        <v>5041</v>
      </c>
      <c r="I504" s="399" t="s">
        <v>3128</v>
      </c>
      <c r="J504" s="399" t="s">
        <v>3129</v>
      </c>
      <c r="K504" s="405" t="s">
        <v>5042</v>
      </c>
      <c r="L504" s="405" t="s">
        <v>5043</v>
      </c>
      <c r="M504" s="405" t="s">
        <v>5044</v>
      </c>
      <c r="N504" s="405" t="s">
        <v>5045</v>
      </c>
      <c r="O504" s="405" t="s">
        <v>5046</v>
      </c>
      <c r="P504" s="405" t="s">
        <v>925</v>
      </c>
      <c r="Q504" s="250" t="s">
        <v>5047</v>
      </c>
      <c r="R504" s="233"/>
      <c r="S504" s="234">
        <f>IF(C504="",NA(),MATCH($B504&amp;$C504,'Smelter Reference List'!$J:$J,0))</f>
        <v>9</v>
      </c>
      <c r="T504" s="235"/>
      <c r="U504" s="235">
        <f t="shared" ref="U454:U517" si="10">IF(AND(C504="Smelter not listed",OR(LEN(D504)=0,LEN(E504)=0)),1,0)</f>
        <v>0</v>
      </c>
      <c r="V504" s="235"/>
      <c r="W504" s="235"/>
      <c r="Y504" s="228" t="str">
        <f t="shared" ref="Y454:Y517" si="11">B504&amp;C504</f>
        <v>GoldAida Chemical Industries Co., Ltd.</v>
      </c>
    </row>
    <row r="505" spans="1:25" s="228" customFormat="1" ht="20.25">
      <c r="A505" s="404" t="s">
        <v>1235</v>
      </c>
      <c r="B505" s="396" t="s">
        <v>2323</v>
      </c>
      <c r="C505" s="397" t="s">
        <v>70</v>
      </c>
      <c r="D505" s="396" t="s">
        <v>70</v>
      </c>
      <c r="E505" s="396" t="s">
        <v>2195</v>
      </c>
      <c r="F505" s="396" t="s">
        <v>1235</v>
      </c>
      <c r="G505" s="396" t="s">
        <v>3125</v>
      </c>
      <c r="H505" s="405" t="s">
        <v>5048</v>
      </c>
      <c r="I505" s="399" t="s">
        <v>3130</v>
      </c>
      <c r="J505" s="399" t="s">
        <v>3131</v>
      </c>
      <c r="K505" s="405" t="s">
        <v>5049</v>
      </c>
      <c r="L505" s="405" t="s">
        <v>5050</v>
      </c>
      <c r="M505" s="405" t="s">
        <v>5051</v>
      </c>
      <c r="N505" s="405" t="s">
        <v>5052</v>
      </c>
      <c r="O505" s="405" t="s">
        <v>5053</v>
      </c>
      <c r="P505" s="405" t="s">
        <v>925</v>
      </c>
      <c r="Q505" s="250" t="s">
        <v>5047</v>
      </c>
      <c r="R505" s="233"/>
      <c r="S505" s="234">
        <f>IF(C505="",NA(),MATCH($B505&amp;$C505,'Smelter Reference List'!$J:$J,0))</f>
        <v>11</v>
      </c>
      <c r="T505" s="235"/>
      <c r="U505" s="235">
        <f t="shared" si="10"/>
        <v>0</v>
      </c>
      <c r="V505" s="235"/>
      <c r="W505" s="235"/>
      <c r="Y505" s="228" t="str">
        <f t="shared" si="11"/>
        <v>GoldAllgemeine Gold-und Silberscheideanstalt A.G.</v>
      </c>
    </row>
    <row r="506" spans="1:25" s="228" customFormat="1" ht="25.5">
      <c r="A506" s="404" t="s">
        <v>1236</v>
      </c>
      <c r="B506" s="396" t="s">
        <v>2323</v>
      </c>
      <c r="C506" s="397" t="s">
        <v>1190</v>
      </c>
      <c r="D506" s="396" t="s">
        <v>1190</v>
      </c>
      <c r="E506" s="396" t="s">
        <v>1760</v>
      </c>
      <c r="F506" s="396" t="s">
        <v>1236</v>
      </c>
      <c r="G506" s="396" t="s">
        <v>3125</v>
      </c>
      <c r="H506" s="405" t="s">
        <v>5054</v>
      </c>
      <c r="I506" s="399" t="s">
        <v>3132</v>
      </c>
      <c r="J506" s="399" t="s">
        <v>3133</v>
      </c>
      <c r="K506" s="405" t="s">
        <v>5055</v>
      </c>
      <c r="L506" s="405" t="s">
        <v>5055</v>
      </c>
      <c r="M506" s="405" t="s">
        <v>5055</v>
      </c>
      <c r="N506" s="405" t="s">
        <v>5055</v>
      </c>
      <c r="O506" s="405" t="s">
        <v>5055</v>
      </c>
      <c r="P506" s="405" t="s">
        <v>925</v>
      </c>
      <c r="Q506" s="250" t="s">
        <v>5047</v>
      </c>
      <c r="R506" s="233"/>
      <c r="S506" s="234">
        <f>IF(C506="",NA(),MATCH($B506&amp;$C506,'Smelter Reference List'!$J:$J,0))</f>
        <v>12</v>
      </c>
      <c r="T506" s="235"/>
      <c r="U506" s="235">
        <f t="shared" si="10"/>
        <v>0</v>
      </c>
      <c r="V506" s="235"/>
      <c r="W506" s="235"/>
      <c r="Y506" s="228" t="str">
        <f t="shared" si="11"/>
        <v>GoldAlmalyk Mining and Metallurgical Complex (AMMC)</v>
      </c>
    </row>
    <row r="507" spans="1:25" s="228" customFormat="1" ht="20.25">
      <c r="A507" s="404" t="s">
        <v>1237</v>
      </c>
      <c r="B507" s="396" t="s">
        <v>2323</v>
      </c>
      <c r="C507" s="397" t="s">
        <v>3134</v>
      </c>
      <c r="D507" s="396" t="s">
        <v>3134</v>
      </c>
      <c r="E507" s="396" t="s">
        <v>2170</v>
      </c>
      <c r="F507" s="396" t="s">
        <v>1237</v>
      </c>
      <c r="G507" s="396" t="s">
        <v>3125</v>
      </c>
      <c r="H507" s="405" t="s">
        <v>5055</v>
      </c>
      <c r="I507" s="399" t="s">
        <v>3135</v>
      </c>
      <c r="J507" s="399" t="s">
        <v>3136</v>
      </c>
      <c r="K507" s="405" t="s">
        <v>5055</v>
      </c>
      <c r="L507" s="405" t="s">
        <v>5055</v>
      </c>
      <c r="M507" s="405" t="s">
        <v>5056</v>
      </c>
      <c r="N507" s="405" t="s">
        <v>5052</v>
      </c>
      <c r="O507" s="405" t="s">
        <v>5057</v>
      </c>
      <c r="P507" s="405" t="s">
        <v>925</v>
      </c>
      <c r="Q507" s="250" t="s">
        <v>5047</v>
      </c>
      <c r="R507" s="233"/>
      <c r="S507" s="234">
        <f>IF(C507="",NA(),MATCH($B507&amp;$C507,'Smelter Reference List'!$J:$J,0))</f>
        <v>14</v>
      </c>
      <c r="T507" s="235"/>
      <c r="U507" s="235">
        <f t="shared" si="10"/>
        <v>0</v>
      </c>
      <c r="V507" s="235"/>
      <c r="W507" s="235"/>
      <c r="Y507" s="228" t="str">
        <f t="shared" si="11"/>
        <v>GoldAngloGold Ashanti Córrego do Sítio Mineração</v>
      </c>
    </row>
    <row r="508" spans="1:25" s="228" customFormat="1" ht="20.25">
      <c r="A508" s="404" t="s">
        <v>1238</v>
      </c>
      <c r="B508" s="396" t="s">
        <v>2323</v>
      </c>
      <c r="C508" s="397" t="s">
        <v>4669</v>
      </c>
      <c r="D508" s="396" t="s">
        <v>4669</v>
      </c>
      <c r="E508" s="396" t="s">
        <v>2179</v>
      </c>
      <c r="F508" s="396" t="s">
        <v>1238</v>
      </c>
      <c r="G508" s="396" t="s">
        <v>3125</v>
      </c>
      <c r="H508" s="405" t="s">
        <v>5058</v>
      </c>
      <c r="I508" s="399" t="s">
        <v>3137</v>
      </c>
      <c r="J508" s="399" t="s">
        <v>3138</v>
      </c>
      <c r="K508" s="405" t="s">
        <v>5059</v>
      </c>
      <c r="L508" s="405" t="s">
        <v>5060</v>
      </c>
      <c r="M508" s="405" t="s">
        <v>5055</v>
      </c>
      <c r="N508" s="405" t="s">
        <v>5061</v>
      </c>
      <c r="O508" s="405" t="s">
        <v>5057</v>
      </c>
      <c r="P508" s="405" t="s">
        <v>925</v>
      </c>
      <c r="Q508" s="250" t="s">
        <v>5047</v>
      </c>
      <c r="R508" s="233"/>
      <c r="S508" s="234">
        <f>IF(C508="",NA(),MATCH($B508&amp;$C508,'Smelter Reference List'!$J:$J,0))</f>
        <v>17</v>
      </c>
      <c r="T508" s="235"/>
      <c r="U508" s="235">
        <f t="shared" si="10"/>
        <v>0</v>
      </c>
      <c r="V508" s="235"/>
      <c r="W508" s="235"/>
      <c r="Y508" s="228" t="str">
        <f t="shared" si="11"/>
        <v>GoldArgor-Heraeus S.A.</v>
      </c>
    </row>
    <row r="509" spans="1:25" s="228" customFormat="1" ht="20.25">
      <c r="A509" s="404" t="s">
        <v>1239</v>
      </c>
      <c r="B509" s="396" t="s">
        <v>2323</v>
      </c>
      <c r="C509" s="397" t="s">
        <v>4670</v>
      </c>
      <c r="D509" s="396" t="s">
        <v>4670</v>
      </c>
      <c r="E509" s="396" t="s">
        <v>2249</v>
      </c>
      <c r="F509" s="396" t="s">
        <v>1239</v>
      </c>
      <c r="G509" s="396" t="s">
        <v>3125</v>
      </c>
      <c r="H509" s="405" t="s">
        <v>5062</v>
      </c>
      <c r="I509" s="399" t="s">
        <v>3139</v>
      </c>
      <c r="J509" s="399" t="s">
        <v>3140</v>
      </c>
      <c r="K509" s="406" t="s">
        <v>5063</v>
      </c>
      <c r="L509" s="406" t="s">
        <v>5064</v>
      </c>
      <c r="M509" s="406"/>
      <c r="N509" s="406" t="s">
        <v>5063</v>
      </c>
      <c r="O509" s="406" t="s">
        <v>5063</v>
      </c>
      <c r="P509" s="406" t="s">
        <v>925</v>
      </c>
      <c r="Q509" s="250" t="s">
        <v>5047</v>
      </c>
      <c r="R509" s="233"/>
      <c r="S509" s="234">
        <f>IF(C509="",NA(),MATCH($B509&amp;$C509,'Smelter Reference List'!$J:$J,0))</f>
        <v>18</v>
      </c>
      <c r="T509" s="235"/>
      <c r="U509" s="235">
        <f t="shared" si="10"/>
        <v>0</v>
      </c>
      <c r="V509" s="235"/>
      <c r="W509" s="235"/>
      <c r="Y509" s="228" t="str">
        <f t="shared" si="11"/>
        <v>GoldAsahi Pretec Corp.</v>
      </c>
    </row>
    <row r="510" spans="1:25" s="228" customFormat="1" ht="20.25">
      <c r="A510" s="404" t="s">
        <v>1240</v>
      </c>
      <c r="B510" s="396" t="s">
        <v>2323</v>
      </c>
      <c r="C510" s="397" t="s">
        <v>4147</v>
      </c>
      <c r="D510" s="396" t="s">
        <v>4147</v>
      </c>
      <c r="E510" s="396" t="s">
        <v>2249</v>
      </c>
      <c r="F510" s="396" t="s">
        <v>1240</v>
      </c>
      <c r="G510" s="396" t="s">
        <v>3125</v>
      </c>
      <c r="H510" s="405" t="s">
        <v>5065</v>
      </c>
      <c r="I510" s="399" t="s">
        <v>3142</v>
      </c>
      <c r="J510" s="399" t="s">
        <v>3143</v>
      </c>
      <c r="K510" s="405" t="s">
        <v>5066</v>
      </c>
      <c r="L510" s="405" t="s">
        <v>5067</v>
      </c>
      <c r="M510" s="405" t="s">
        <v>5068</v>
      </c>
      <c r="N510" s="405" t="s">
        <v>5045</v>
      </c>
      <c r="O510" s="405" t="s">
        <v>5046</v>
      </c>
      <c r="P510" s="405" t="s">
        <v>925</v>
      </c>
      <c r="Q510" s="250" t="s">
        <v>5047</v>
      </c>
      <c r="R510" s="233"/>
      <c r="S510" s="234">
        <f>IF(C510="",NA(),MATCH($B510&amp;$C510,'Smelter Reference List'!$J:$J,0))</f>
        <v>21</v>
      </c>
      <c r="T510" s="235"/>
      <c r="U510" s="235">
        <f t="shared" si="10"/>
        <v>0</v>
      </c>
      <c r="V510" s="235"/>
      <c r="W510" s="235"/>
      <c r="Y510" s="228" t="str">
        <f t="shared" si="11"/>
        <v>GoldAsaka Riken Co., Ltd.</v>
      </c>
    </row>
    <row r="511" spans="1:25" s="228" customFormat="1" ht="20.25">
      <c r="A511" s="404" t="s">
        <v>1242</v>
      </c>
      <c r="B511" s="396" t="s">
        <v>2323</v>
      </c>
      <c r="C511" s="397" t="s">
        <v>2448</v>
      </c>
      <c r="D511" s="396" t="s">
        <v>2448</v>
      </c>
      <c r="E511" s="396" t="s">
        <v>2195</v>
      </c>
      <c r="F511" s="396" t="s">
        <v>1242</v>
      </c>
      <c r="G511" s="396" t="s">
        <v>3125</v>
      </c>
      <c r="H511" s="405" t="s">
        <v>5069</v>
      </c>
      <c r="I511" s="399" t="s">
        <v>3146</v>
      </c>
      <c r="J511" s="399" t="s">
        <v>3147</v>
      </c>
      <c r="K511" s="405" t="s">
        <v>5070</v>
      </c>
      <c r="L511" s="405" t="s">
        <v>5071</v>
      </c>
      <c r="M511" s="405" t="s">
        <v>5072</v>
      </c>
      <c r="N511" s="405" t="s">
        <v>5073</v>
      </c>
      <c r="O511" s="405" t="s">
        <v>5057</v>
      </c>
      <c r="P511" s="405" t="s">
        <v>925</v>
      </c>
      <c r="Q511" s="250" t="s">
        <v>5047</v>
      </c>
      <c r="R511" s="233"/>
      <c r="S511" s="234">
        <f>IF(C511="",NA(),MATCH($B511&amp;$C511,'Smelter Reference List'!$J:$J,0))</f>
        <v>26</v>
      </c>
      <c r="T511" s="235"/>
      <c r="U511" s="235">
        <f t="shared" si="10"/>
        <v>0</v>
      </c>
      <c r="V511" s="235"/>
      <c r="W511" s="235"/>
      <c r="Y511" s="228" t="str">
        <f t="shared" si="11"/>
        <v>GoldAurubis AG</v>
      </c>
    </row>
    <row r="512" spans="1:25" s="228" customFormat="1" ht="25.5">
      <c r="A512" s="404" t="s">
        <v>1243</v>
      </c>
      <c r="B512" s="396" t="s">
        <v>2323</v>
      </c>
      <c r="C512" s="397" t="s">
        <v>1786</v>
      </c>
      <c r="D512" s="396" t="s">
        <v>1786</v>
      </c>
      <c r="E512" s="396" t="s">
        <v>1705</v>
      </c>
      <c r="F512" s="396" t="s">
        <v>1243</v>
      </c>
      <c r="G512" s="396" t="s">
        <v>3125</v>
      </c>
      <c r="H512" s="405" t="s">
        <v>5074</v>
      </c>
      <c r="I512" s="399" t="s">
        <v>4269</v>
      </c>
      <c r="J512" s="399" t="s">
        <v>3149</v>
      </c>
      <c r="K512" s="405" t="s">
        <v>5075</v>
      </c>
      <c r="L512" s="405" t="s">
        <v>5076</v>
      </c>
      <c r="M512" s="405" t="s">
        <v>5077</v>
      </c>
      <c r="N512" s="405" t="s">
        <v>5052</v>
      </c>
      <c r="O512" s="405" t="s">
        <v>5057</v>
      </c>
      <c r="P512" s="405" t="s">
        <v>925</v>
      </c>
      <c r="Q512" s="250" t="s">
        <v>5047</v>
      </c>
      <c r="R512" s="233"/>
      <c r="S512" s="234">
        <f>IF(C512="",NA(),MATCH($B512&amp;$C512,'Smelter Reference List'!$J:$J,0))</f>
        <v>28</v>
      </c>
      <c r="T512" s="235"/>
      <c r="U512" s="235">
        <f t="shared" si="10"/>
        <v>0</v>
      </c>
      <c r="V512" s="235"/>
      <c r="W512" s="235"/>
      <c r="Y512" s="228" t="str">
        <f t="shared" si="11"/>
        <v>GoldBangko Sentral ng Pilipinas (Central Bank of the Philippines)</v>
      </c>
    </row>
    <row r="513" spans="1:25" s="228" customFormat="1" ht="20.25">
      <c r="A513" s="404" t="s">
        <v>1244</v>
      </c>
      <c r="B513" s="396" t="s">
        <v>2323</v>
      </c>
      <c r="C513" s="397" t="s">
        <v>2450</v>
      </c>
      <c r="D513" s="396" t="s">
        <v>2450</v>
      </c>
      <c r="E513" s="396" t="s">
        <v>1736</v>
      </c>
      <c r="F513" s="396" t="s">
        <v>1244</v>
      </c>
      <c r="G513" s="396" t="s">
        <v>3125</v>
      </c>
      <c r="H513" s="405" t="s">
        <v>5078</v>
      </c>
      <c r="I513" s="399" t="s">
        <v>3150</v>
      </c>
      <c r="J513" s="399" t="s">
        <v>3151</v>
      </c>
      <c r="K513" s="405" t="s">
        <v>5055</v>
      </c>
      <c r="L513" s="405" t="s">
        <v>5055</v>
      </c>
      <c r="M513" s="405" t="s">
        <v>5079</v>
      </c>
      <c r="N513" s="405" t="s">
        <v>5052</v>
      </c>
      <c r="O513" s="405" t="s">
        <v>5057</v>
      </c>
      <c r="P513" s="405" t="s">
        <v>925</v>
      </c>
      <c r="Q513" s="250" t="s">
        <v>5047</v>
      </c>
      <c r="R513" s="233"/>
      <c r="S513" s="234">
        <f>IF(C513="",NA(),MATCH($B513&amp;$C513,'Smelter Reference List'!$J:$J,0))</f>
        <v>29</v>
      </c>
      <c r="T513" s="235"/>
      <c r="U513" s="235">
        <f t="shared" si="10"/>
        <v>0</v>
      </c>
      <c r="V513" s="235"/>
      <c r="W513" s="235"/>
      <c r="Y513" s="228" t="str">
        <f t="shared" si="11"/>
        <v>GoldBoliden AB</v>
      </c>
    </row>
    <row r="514" spans="1:25" s="228" customFormat="1" ht="20.25">
      <c r="A514" s="404" t="s">
        <v>1246</v>
      </c>
      <c r="B514" s="396" t="s">
        <v>2323</v>
      </c>
      <c r="C514" s="397" t="s">
        <v>1245</v>
      </c>
      <c r="D514" s="396" t="s">
        <v>1245</v>
      </c>
      <c r="E514" s="396" t="s">
        <v>2195</v>
      </c>
      <c r="F514" s="396" t="s">
        <v>1246</v>
      </c>
      <c r="G514" s="396" t="s">
        <v>3125</v>
      </c>
      <c r="H514" s="405" t="s">
        <v>5080</v>
      </c>
      <c r="I514" s="399" t="s">
        <v>3130</v>
      </c>
      <c r="J514" s="399" t="s">
        <v>3131</v>
      </c>
      <c r="K514" s="405" t="s">
        <v>5081</v>
      </c>
      <c r="L514" s="405" t="s">
        <v>5082</v>
      </c>
      <c r="M514" s="405" t="s">
        <v>5083</v>
      </c>
      <c r="N514" s="405" t="s">
        <v>5052</v>
      </c>
      <c r="O514" s="405" t="s">
        <v>5057</v>
      </c>
      <c r="P514" s="405" t="s">
        <v>925</v>
      </c>
      <c r="Q514" s="250" t="s">
        <v>5047</v>
      </c>
      <c r="R514" s="233"/>
      <c r="S514" s="234">
        <f>IF(C514="",NA(),MATCH($B514&amp;$C514,'Smelter Reference List'!$J:$J,0))</f>
        <v>30</v>
      </c>
      <c r="T514" s="235"/>
      <c r="U514" s="235">
        <f t="shared" si="10"/>
        <v>0</v>
      </c>
      <c r="V514" s="235"/>
      <c r="W514" s="235"/>
      <c r="Y514" s="228" t="str">
        <f t="shared" si="11"/>
        <v>GoldC. Hafner GmbH + Co. KG</v>
      </c>
    </row>
    <row r="515" spans="1:25" s="228" customFormat="1" ht="20.25">
      <c r="A515" s="404" t="s">
        <v>1248</v>
      </c>
      <c r="B515" s="396" t="s">
        <v>2323</v>
      </c>
      <c r="C515" s="397" t="s">
        <v>4323</v>
      </c>
      <c r="D515" s="396" t="s">
        <v>4323</v>
      </c>
      <c r="E515" s="396" t="s">
        <v>2177</v>
      </c>
      <c r="F515" s="396" t="s">
        <v>1248</v>
      </c>
      <c r="G515" s="396" t="s">
        <v>3125</v>
      </c>
      <c r="H515" s="405" t="s">
        <v>5084</v>
      </c>
      <c r="I515" s="399" t="s">
        <v>3154</v>
      </c>
      <c r="J515" s="399" t="s">
        <v>3155</v>
      </c>
      <c r="K515" s="405" t="s">
        <v>5085</v>
      </c>
      <c r="L515" s="405" t="s">
        <v>5086</v>
      </c>
      <c r="M515" s="405" t="s">
        <v>5087</v>
      </c>
      <c r="N515" s="405" t="s">
        <v>5088</v>
      </c>
      <c r="O515" s="405" t="s">
        <v>5057</v>
      </c>
      <c r="P515" s="405" t="s">
        <v>925</v>
      </c>
      <c r="Q515" s="250" t="s">
        <v>5047</v>
      </c>
      <c r="R515" s="233"/>
      <c r="S515" s="234">
        <f>IF(C515="",NA(),MATCH($B515&amp;$C515,'Smelter Reference List'!$J:$J,0))</f>
        <v>33</v>
      </c>
      <c r="T515" s="235"/>
      <c r="U515" s="235">
        <f t="shared" si="10"/>
        <v>0</v>
      </c>
      <c r="V515" s="235"/>
      <c r="W515" s="235"/>
      <c r="Y515" s="228" t="str">
        <f t="shared" si="11"/>
        <v>GoldCCR Refinery - Glencore Canada Corporation</v>
      </c>
    </row>
    <row r="516" spans="1:25" s="228" customFormat="1" ht="20.25">
      <c r="A516" s="404" t="s">
        <v>1250</v>
      </c>
      <c r="B516" s="396" t="s">
        <v>2323</v>
      </c>
      <c r="C516" s="397" t="s">
        <v>71</v>
      </c>
      <c r="D516" s="396" t="s">
        <v>71</v>
      </c>
      <c r="E516" s="396" t="s">
        <v>2246</v>
      </c>
      <c r="F516" s="396" t="s">
        <v>1250</v>
      </c>
      <c r="G516" s="396" t="s">
        <v>3125</v>
      </c>
      <c r="H516" s="405" t="s">
        <v>5089</v>
      </c>
      <c r="I516" s="399" t="s">
        <v>3163</v>
      </c>
      <c r="J516" s="399" t="s">
        <v>3164</v>
      </c>
      <c r="K516" s="405" t="s">
        <v>5055</v>
      </c>
      <c r="L516" s="405" t="s">
        <v>5055</v>
      </c>
      <c r="M516" s="405" t="s">
        <v>5055</v>
      </c>
      <c r="N516" s="405" t="s">
        <v>5055</v>
      </c>
      <c r="O516" s="405" t="s">
        <v>5057</v>
      </c>
      <c r="P516" s="405" t="s">
        <v>925</v>
      </c>
      <c r="Q516" s="250" t="s">
        <v>5047</v>
      </c>
      <c r="R516" s="233"/>
      <c r="S516" s="234">
        <f>IF(C516="",NA(),MATCH($B516&amp;$C516,'Smelter Reference List'!$J:$J,0))</f>
        <v>38</v>
      </c>
      <c r="T516" s="235"/>
      <c r="U516" s="235">
        <f t="shared" si="10"/>
        <v>0</v>
      </c>
      <c r="V516" s="235"/>
      <c r="W516" s="235"/>
      <c r="Y516" s="228" t="str">
        <f t="shared" si="11"/>
        <v>GoldChimet S.p.A.</v>
      </c>
    </row>
    <row r="517" spans="1:25" s="228" customFormat="1" ht="20.25">
      <c r="A517" s="404" t="s">
        <v>1257</v>
      </c>
      <c r="B517" s="396" t="s">
        <v>2323</v>
      </c>
      <c r="C517" s="397" t="s">
        <v>4292</v>
      </c>
      <c r="D517" s="396" t="s">
        <v>4292</v>
      </c>
      <c r="E517" s="396" t="s">
        <v>2195</v>
      </c>
      <c r="F517" s="396" t="s">
        <v>1257</v>
      </c>
      <c r="G517" s="396" t="s">
        <v>3125</v>
      </c>
      <c r="H517" s="405">
        <v>0</v>
      </c>
      <c r="I517" s="399" t="s">
        <v>3130</v>
      </c>
      <c r="J517" s="399" t="s">
        <v>3131</v>
      </c>
      <c r="K517" s="406"/>
      <c r="L517" s="406"/>
      <c r="M517" s="406"/>
      <c r="N517" s="406"/>
      <c r="O517" s="406"/>
      <c r="P517" s="406"/>
      <c r="Q517" s="250" t="s">
        <v>5047</v>
      </c>
      <c r="R517" s="233"/>
      <c r="S517" s="234">
        <f>IF(C517="",NA(),MATCH($B517&amp;$C517,'Smelter Reference List'!$J:$J,0))</f>
        <v>47</v>
      </c>
      <c r="T517" s="235"/>
      <c r="U517" s="235">
        <f t="shared" si="10"/>
        <v>0</v>
      </c>
      <c r="V517" s="235"/>
      <c r="W517" s="235"/>
      <c r="Y517" s="228" t="str">
        <f t="shared" si="11"/>
        <v>GoldDODUCO GmbH</v>
      </c>
    </row>
    <row r="518" spans="1:25" s="228" customFormat="1" ht="20.25">
      <c r="A518" s="404" t="s">
        <v>1258</v>
      </c>
      <c r="B518" s="396" t="s">
        <v>2323</v>
      </c>
      <c r="C518" s="397" t="s">
        <v>1788</v>
      </c>
      <c r="D518" s="396" t="s">
        <v>1788</v>
      </c>
      <c r="E518" s="396" t="s">
        <v>2249</v>
      </c>
      <c r="F518" s="396" t="s">
        <v>1258</v>
      </c>
      <c r="G518" s="396" t="s">
        <v>3125</v>
      </c>
      <c r="H518" s="405" t="s">
        <v>5090</v>
      </c>
      <c r="I518" s="399" t="s">
        <v>3173</v>
      </c>
      <c r="J518" s="399" t="s">
        <v>3174</v>
      </c>
      <c r="K518" s="405" t="s">
        <v>5091</v>
      </c>
      <c r="L518" s="405" t="s">
        <v>5092</v>
      </c>
      <c r="M518" s="405" t="s">
        <v>5093</v>
      </c>
      <c r="N518" s="405" t="s">
        <v>5094</v>
      </c>
      <c r="O518" s="405" t="s">
        <v>5046</v>
      </c>
      <c r="P518" s="405" t="s">
        <v>925</v>
      </c>
      <c r="Q518" s="250" t="s">
        <v>5047</v>
      </c>
      <c r="R518" s="233"/>
      <c r="S518" s="234">
        <f>IF(C518="",NA(),MATCH($B518&amp;$C518,'Smelter Reference List'!$J:$J,0))</f>
        <v>49</v>
      </c>
      <c r="T518" s="235"/>
      <c r="U518" s="235">
        <f t="shared" ref="U518:U581" si="12">IF(AND(C518="Smelter not listed",OR(LEN(D518)=0,LEN(E518)=0)),1,0)</f>
        <v>0</v>
      </c>
      <c r="V518" s="235"/>
      <c r="W518" s="235"/>
      <c r="Y518" s="228" t="str">
        <f t="shared" ref="Y518:Y581" si="13">B518&amp;C518</f>
        <v>GoldDowa</v>
      </c>
    </row>
    <row r="519" spans="1:25" s="228" customFormat="1" ht="20.25">
      <c r="A519" s="404" t="s">
        <v>727</v>
      </c>
      <c r="B519" s="396" t="s">
        <v>2323</v>
      </c>
      <c r="C519" s="397" t="s">
        <v>726</v>
      </c>
      <c r="D519" s="396" t="s">
        <v>726</v>
      </c>
      <c r="E519" s="396" t="s">
        <v>2249</v>
      </c>
      <c r="F519" s="396" t="s">
        <v>727</v>
      </c>
      <c r="G519" s="396" t="s">
        <v>3125</v>
      </c>
      <c r="H519" s="405" t="s">
        <v>5095</v>
      </c>
      <c r="I519" s="399" t="s">
        <v>3178</v>
      </c>
      <c r="J519" s="399" t="s">
        <v>3179</v>
      </c>
      <c r="K519" s="405" t="s">
        <v>5096</v>
      </c>
      <c r="L519" s="405" t="s">
        <v>5097</v>
      </c>
      <c r="M519" s="405" t="s">
        <v>5098</v>
      </c>
      <c r="N519" s="405" t="s">
        <v>5099</v>
      </c>
      <c r="O519" s="405" t="s">
        <v>5046</v>
      </c>
      <c r="P519" s="405" t="s">
        <v>925</v>
      </c>
      <c r="Q519" s="250" t="s">
        <v>5047</v>
      </c>
      <c r="R519" s="233"/>
      <c r="S519" s="234">
        <f>IF(C519="",NA(),MATCH($B519&amp;$C519,'Smelter Reference List'!$J:$J,0))</f>
        <v>54</v>
      </c>
      <c r="T519" s="235"/>
      <c r="U519" s="235">
        <f t="shared" si="12"/>
        <v>0</v>
      </c>
      <c r="V519" s="235"/>
      <c r="W519" s="235"/>
      <c r="Y519" s="228" t="str">
        <f t="shared" si="13"/>
        <v>GoldEco-System Recycling Co., Ltd.</v>
      </c>
    </row>
    <row r="520" spans="1:25" s="228" customFormat="1" ht="20.25">
      <c r="A520" s="404" t="s">
        <v>1259</v>
      </c>
      <c r="B520" s="396" t="s">
        <v>2323</v>
      </c>
      <c r="C520" s="397" t="s">
        <v>4265</v>
      </c>
      <c r="D520" s="396" t="s">
        <v>4265</v>
      </c>
      <c r="E520" s="396" t="s">
        <v>1717</v>
      </c>
      <c r="F520" s="396" t="s">
        <v>1259</v>
      </c>
      <c r="G520" s="396" t="s">
        <v>3125</v>
      </c>
      <c r="H520" s="405" t="s">
        <v>5024</v>
      </c>
      <c r="I520" s="399" t="s">
        <v>3180</v>
      </c>
      <c r="J520" s="399" t="s">
        <v>4343</v>
      </c>
      <c r="K520" s="406" t="s">
        <v>5024</v>
      </c>
      <c r="L520" s="406" t="s">
        <v>5024</v>
      </c>
      <c r="M520" s="406" t="s">
        <v>5024</v>
      </c>
      <c r="N520" s="406" t="s">
        <v>5024</v>
      </c>
      <c r="O520" s="406" t="s">
        <v>5024</v>
      </c>
      <c r="P520" s="406" t="s">
        <v>5024</v>
      </c>
      <c r="Q520" s="250" t="s">
        <v>5047</v>
      </c>
      <c r="R520" s="233"/>
      <c r="S520" s="234">
        <f>IF(C520="",NA(),MATCH($B520&amp;$C520,'Smelter Reference List'!$J:$J,0))</f>
        <v>144</v>
      </c>
      <c r="T520" s="235"/>
      <c r="U520" s="235">
        <f t="shared" si="12"/>
        <v>0</v>
      </c>
      <c r="V520" s="235"/>
      <c r="W520" s="235"/>
      <c r="Y520" s="228" t="str">
        <f t="shared" si="13"/>
        <v>GoldOJSC Novosibirsk Refinery</v>
      </c>
    </row>
    <row r="521" spans="1:25" s="228" customFormat="1" ht="20.25">
      <c r="A521" s="404" t="s">
        <v>1263</v>
      </c>
      <c r="B521" s="396" t="s">
        <v>2323</v>
      </c>
      <c r="C521" s="397" t="s">
        <v>1959</v>
      </c>
      <c r="D521" s="396" t="s">
        <v>1959</v>
      </c>
      <c r="E521" s="396" t="s">
        <v>2195</v>
      </c>
      <c r="F521" s="396" t="s">
        <v>1263</v>
      </c>
      <c r="G521" s="396" t="s">
        <v>3125</v>
      </c>
      <c r="H521" s="405" t="s">
        <v>5100</v>
      </c>
      <c r="I521" s="399" t="s">
        <v>3130</v>
      </c>
      <c r="J521" s="399" t="s">
        <v>3131</v>
      </c>
      <c r="K521" s="405" t="s">
        <v>5101</v>
      </c>
      <c r="L521" s="405" t="s">
        <v>5102</v>
      </c>
      <c r="M521" s="405" t="s">
        <v>5103</v>
      </c>
      <c r="N521" s="405" t="s">
        <v>5045</v>
      </c>
      <c r="O521" s="405" t="s">
        <v>5046</v>
      </c>
      <c r="P521" s="405" t="s">
        <v>925</v>
      </c>
      <c r="Q521" s="250" t="s">
        <v>5047</v>
      </c>
      <c r="R521" s="233"/>
      <c r="S521" s="234">
        <f>IF(C521="",NA(),MATCH($B521&amp;$C521,'Smelter Reference List'!$J:$J,0))</f>
        <v>71</v>
      </c>
      <c r="T521" s="235"/>
      <c r="U521" s="235">
        <f t="shared" si="12"/>
        <v>0</v>
      </c>
      <c r="V521" s="235"/>
      <c r="W521" s="235"/>
      <c r="Y521" s="228" t="str">
        <f t="shared" si="13"/>
        <v>GoldHeimerle + Meule GmbH</v>
      </c>
    </row>
    <row r="522" spans="1:25" s="228" customFormat="1" ht="20.25">
      <c r="A522" s="404" t="s">
        <v>1264</v>
      </c>
      <c r="B522" s="396" t="s">
        <v>2323</v>
      </c>
      <c r="C522" s="397" t="s">
        <v>72</v>
      </c>
      <c r="D522" s="396" t="s">
        <v>72</v>
      </c>
      <c r="E522" s="396" t="s">
        <v>2181</v>
      </c>
      <c r="F522" s="396" t="s">
        <v>1264</v>
      </c>
      <c r="G522" s="396" t="s">
        <v>3125</v>
      </c>
      <c r="H522" s="405" t="s">
        <v>5104</v>
      </c>
      <c r="I522" s="399" t="s">
        <v>3190</v>
      </c>
      <c r="J522" s="399" t="s">
        <v>3191</v>
      </c>
      <c r="K522" s="405" t="s">
        <v>5105</v>
      </c>
      <c r="L522" s="405" t="s">
        <v>5106</v>
      </c>
      <c r="M522" s="405" t="s">
        <v>5055</v>
      </c>
      <c r="N522" s="405" t="s">
        <v>5107</v>
      </c>
      <c r="O522" s="405" t="s">
        <v>5057</v>
      </c>
      <c r="P522" s="405" t="s">
        <v>925</v>
      </c>
      <c r="Q522" s="250" t="s">
        <v>5047</v>
      </c>
      <c r="R522" s="233"/>
      <c r="S522" s="234">
        <f>IF(C522="",NA(),MATCH($B522&amp;$C522,'Smelter Reference List'!$J:$J,0))</f>
        <v>75</v>
      </c>
      <c r="T522" s="235"/>
      <c r="U522" s="235">
        <f t="shared" si="12"/>
        <v>0</v>
      </c>
      <c r="V522" s="235"/>
      <c r="W522" s="235"/>
      <c r="Y522" s="228" t="str">
        <f t="shared" si="13"/>
        <v>GoldHeraeus Ltd. Hong Kong</v>
      </c>
    </row>
    <row r="523" spans="1:25" s="228" customFormat="1" ht="20.25">
      <c r="A523" s="404" t="s">
        <v>1265</v>
      </c>
      <c r="B523" s="396" t="s">
        <v>2323</v>
      </c>
      <c r="C523" s="397" t="s">
        <v>2451</v>
      </c>
      <c r="D523" s="396" t="s">
        <v>2451</v>
      </c>
      <c r="E523" s="396" t="s">
        <v>2195</v>
      </c>
      <c r="F523" s="396" t="s">
        <v>1265</v>
      </c>
      <c r="G523" s="396" t="s">
        <v>3125</v>
      </c>
      <c r="H523" s="405" t="s">
        <v>5108</v>
      </c>
      <c r="I523" s="399" t="s">
        <v>3192</v>
      </c>
      <c r="J523" s="399" t="s">
        <v>3193</v>
      </c>
      <c r="K523" s="405" t="s">
        <v>5109</v>
      </c>
      <c r="L523" s="405" t="s">
        <v>5110</v>
      </c>
      <c r="M523" s="405" t="s">
        <v>5056</v>
      </c>
      <c r="N523" s="405" t="s">
        <v>5111</v>
      </c>
      <c r="O523" s="405" t="s">
        <v>5057</v>
      </c>
      <c r="P523" s="405" t="s">
        <v>925</v>
      </c>
      <c r="Q523" s="250" t="s">
        <v>5047</v>
      </c>
      <c r="R523" s="233"/>
      <c r="S523" s="234">
        <f>IF(C523="",NA(),MATCH($B523&amp;$C523,'Smelter Reference List'!$J:$J,0))</f>
        <v>76</v>
      </c>
      <c r="T523" s="235"/>
      <c r="U523" s="235">
        <f t="shared" si="12"/>
        <v>0</v>
      </c>
      <c r="V523" s="235"/>
      <c r="W523" s="235"/>
      <c r="Y523" s="228" t="str">
        <f t="shared" si="13"/>
        <v>GoldHeraeus Precious Metals GmbH &amp; Co. KG</v>
      </c>
    </row>
    <row r="524" spans="1:25" s="228" customFormat="1" ht="25.5">
      <c r="A524" s="404" t="s">
        <v>1268</v>
      </c>
      <c r="B524" s="396" t="s">
        <v>2323</v>
      </c>
      <c r="C524" s="397" t="s">
        <v>4688</v>
      </c>
      <c r="D524" s="396" t="s">
        <v>4688</v>
      </c>
      <c r="E524" s="396" t="s">
        <v>2181</v>
      </c>
      <c r="F524" s="396" t="s">
        <v>1268</v>
      </c>
      <c r="G524" s="396" t="s">
        <v>3125</v>
      </c>
      <c r="H524" s="405" t="s">
        <v>5055</v>
      </c>
      <c r="I524" s="399" t="s">
        <v>3197</v>
      </c>
      <c r="J524" s="399" t="s">
        <v>3198</v>
      </c>
      <c r="K524" s="405" t="s">
        <v>5055</v>
      </c>
      <c r="L524" s="405" t="s">
        <v>5055</v>
      </c>
      <c r="M524" s="405" t="s">
        <v>5112</v>
      </c>
      <c r="N524" s="405" t="s">
        <v>5055</v>
      </c>
      <c r="O524" s="405" t="s">
        <v>5055</v>
      </c>
      <c r="P524" s="405" t="s">
        <v>925</v>
      </c>
      <c r="Q524" s="250" t="s">
        <v>5047</v>
      </c>
      <c r="R524" s="233"/>
      <c r="S524" s="234">
        <f>IF(C524="",NA(),MATCH($B524&amp;$C524,'Smelter Reference List'!$J:$J,0))</f>
        <v>81</v>
      </c>
      <c r="T524" s="235"/>
      <c r="U524" s="235">
        <f t="shared" si="12"/>
        <v>0</v>
      </c>
      <c r="V524" s="235"/>
      <c r="W524" s="235"/>
      <c r="Y524" s="228" t="str">
        <f t="shared" si="13"/>
        <v>GoldInner Mongolia Qiankun Gold and Silver Refinery Share Co., Ltd.</v>
      </c>
    </row>
    <row r="525" spans="1:25" s="228" customFormat="1" ht="20.25">
      <c r="A525" s="404" t="s">
        <v>1269</v>
      </c>
      <c r="B525" s="396" t="s">
        <v>2323</v>
      </c>
      <c r="C525" s="397" t="s">
        <v>2452</v>
      </c>
      <c r="D525" s="396" t="s">
        <v>2452</v>
      </c>
      <c r="E525" s="396" t="s">
        <v>2249</v>
      </c>
      <c r="F525" s="396" t="s">
        <v>1269</v>
      </c>
      <c r="G525" s="396" t="s">
        <v>3125</v>
      </c>
      <c r="H525" s="405" t="s">
        <v>5113</v>
      </c>
      <c r="I525" s="399" t="s">
        <v>3199</v>
      </c>
      <c r="J525" s="399" t="s">
        <v>3179</v>
      </c>
      <c r="K525" s="405" t="s">
        <v>5114</v>
      </c>
      <c r="L525" s="405" t="s">
        <v>5115</v>
      </c>
      <c r="M525" s="405" t="s">
        <v>5087</v>
      </c>
      <c r="N525" s="405" t="s">
        <v>5061</v>
      </c>
      <c r="O525" s="405" t="s">
        <v>5057</v>
      </c>
      <c r="P525" s="405" t="s">
        <v>925</v>
      </c>
      <c r="Q525" s="250" t="s">
        <v>5047</v>
      </c>
      <c r="R525" s="233"/>
      <c r="S525" s="234">
        <f>IF(C525="",NA(),MATCH($B525&amp;$C525,'Smelter Reference List'!$J:$J,0))</f>
        <v>82</v>
      </c>
      <c r="T525" s="235"/>
      <c r="U525" s="235">
        <f t="shared" si="12"/>
        <v>0</v>
      </c>
      <c r="V525" s="235"/>
      <c r="W525" s="235"/>
      <c r="Y525" s="228" t="str">
        <f t="shared" si="13"/>
        <v>GoldIshifuku Metal Industry Co., Ltd.</v>
      </c>
    </row>
    <row r="526" spans="1:25" s="228" customFormat="1" ht="20.25">
      <c r="A526" s="404" t="s">
        <v>1270</v>
      </c>
      <c r="B526" s="396" t="s">
        <v>2323</v>
      </c>
      <c r="C526" s="397" t="s">
        <v>2459</v>
      </c>
      <c r="D526" s="396" t="s">
        <v>2459</v>
      </c>
      <c r="E526" s="396" t="s">
        <v>1751</v>
      </c>
      <c r="F526" s="396" t="s">
        <v>1270</v>
      </c>
      <c r="G526" s="396" t="s">
        <v>3125</v>
      </c>
      <c r="H526" s="405" t="s">
        <v>5116</v>
      </c>
      <c r="I526" s="399" t="s">
        <v>3200</v>
      </c>
      <c r="J526" s="399" t="s">
        <v>3144</v>
      </c>
      <c r="K526" s="405" t="s">
        <v>5055</v>
      </c>
      <c r="L526" s="405" t="s">
        <v>5117</v>
      </c>
      <c r="M526" s="405" t="s">
        <v>5118</v>
      </c>
      <c r="N526" s="405" t="s">
        <v>5052</v>
      </c>
      <c r="O526" s="405" t="s">
        <v>5057</v>
      </c>
      <c r="P526" s="405" t="s">
        <v>925</v>
      </c>
      <c r="Q526" s="250" t="s">
        <v>5047</v>
      </c>
      <c r="R526" s="233"/>
      <c r="S526" s="234">
        <f>IF(C526="",NA(),MATCH($B526&amp;$C526,'Smelter Reference List'!$J:$J,0))</f>
        <v>83</v>
      </c>
      <c r="T526" s="235"/>
      <c r="U526" s="235">
        <f t="shared" si="12"/>
        <v>0</v>
      </c>
      <c r="V526" s="235"/>
      <c r="W526" s="235"/>
      <c r="Y526" s="228" t="str">
        <f t="shared" si="13"/>
        <v>GoldIstanbul Gold Refinery</v>
      </c>
    </row>
    <row r="527" spans="1:25" s="228" customFormat="1" ht="20.25">
      <c r="A527" s="404" t="s">
        <v>1271</v>
      </c>
      <c r="B527" s="396" t="s">
        <v>2323</v>
      </c>
      <c r="C527" s="397" t="s">
        <v>1790</v>
      </c>
      <c r="D527" s="396" t="s">
        <v>1790</v>
      </c>
      <c r="E527" s="396" t="s">
        <v>2249</v>
      </c>
      <c r="F527" s="396" t="s">
        <v>1271</v>
      </c>
      <c r="G527" s="396" t="s">
        <v>3125</v>
      </c>
      <c r="H527" s="405" t="s">
        <v>5024</v>
      </c>
      <c r="I527" s="399" t="s">
        <v>3201</v>
      </c>
      <c r="J527" s="399" t="s">
        <v>3202</v>
      </c>
      <c r="K527" s="406" t="s">
        <v>5024</v>
      </c>
      <c r="L527" s="406" t="s">
        <v>5024</v>
      </c>
      <c r="M527" s="406" t="s">
        <v>5024</v>
      </c>
      <c r="N527" s="406" t="s">
        <v>5024</v>
      </c>
      <c r="O527" s="406" t="s">
        <v>5024</v>
      </c>
      <c r="P527" s="406" t="s">
        <v>5024</v>
      </c>
      <c r="Q527" s="250" t="s">
        <v>5047</v>
      </c>
      <c r="R527" s="233"/>
      <c r="S527" s="234">
        <f>IF(C527="",NA(),MATCH($B527&amp;$C527,'Smelter Reference List'!$J:$J,0))</f>
        <v>84</v>
      </c>
      <c r="T527" s="235"/>
      <c r="U527" s="235">
        <f t="shared" si="12"/>
        <v>0</v>
      </c>
      <c r="V527" s="235"/>
      <c r="W527" s="235"/>
      <c r="Y527" s="228" t="str">
        <f t="shared" si="13"/>
        <v>GoldJapan Mint</v>
      </c>
    </row>
    <row r="528" spans="1:25" s="228" customFormat="1" ht="20.25">
      <c r="A528" s="404" t="s">
        <v>1272</v>
      </c>
      <c r="B528" s="396" t="s">
        <v>2323</v>
      </c>
      <c r="C528" s="397" t="s">
        <v>4689</v>
      </c>
      <c r="D528" s="396" t="s">
        <v>4689</v>
      </c>
      <c r="E528" s="396" t="s">
        <v>2181</v>
      </c>
      <c r="F528" s="396" t="s">
        <v>1272</v>
      </c>
      <c r="G528" s="396" t="s">
        <v>3125</v>
      </c>
      <c r="H528" s="405" t="s">
        <v>5119</v>
      </c>
      <c r="I528" s="399" t="s">
        <v>3203</v>
      </c>
      <c r="J528" s="399" t="s">
        <v>3204</v>
      </c>
      <c r="K528" s="405" t="s">
        <v>5055</v>
      </c>
      <c r="L528" s="405" t="s">
        <v>5055</v>
      </c>
      <c r="M528" s="405" t="s">
        <v>5055</v>
      </c>
      <c r="N528" s="405" t="s">
        <v>5055</v>
      </c>
      <c r="O528" s="405" t="s">
        <v>5057</v>
      </c>
      <c r="P528" s="405" t="s">
        <v>925</v>
      </c>
      <c r="Q528" s="250" t="s">
        <v>5047</v>
      </c>
      <c r="R528" s="233"/>
      <c r="S528" s="234">
        <f>IF(C528="",NA(),MATCH($B528&amp;$C528,'Smelter Reference List'!$J:$J,0))</f>
        <v>86</v>
      </c>
      <c r="T528" s="235"/>
      <c r="U528" s="235">
        <f t="shared" si="12"/>
        <v>0</v>
      </c>
      <c r="V528" s="235"/>
      <c r="W528" s="235"/>
      <c r="Y528" s="228" t="str">
        <f t="shared" si="13"/>
        <v>GoldJiangxi Copper Co., Ltd.</v>
      </c>
    </row>
    <row r="529" spans="1:25" s="228" customFormat="1" ht="20.25">
      <c r="A529" s="404" t="s">
        <v>1273</v>
      </c>
      <c r="B529" s="396" t="s">
        <v>2323</v>
      </c>
      <c r="C529" s="397" t="s">
        <v>4267</v>
      </c>
      <c r="D529" s="396" t="s">
        <v>4267</v>
      </c>
      <c r="E529" s="396" t="s">
        <v>5016</v>
      </c>
      <c r="F529" s="396" t="s">
        <v>1273</v>
      </c>
      <c r="G529" s="396" t="s">
        <v>3125</v>
      </c>
      <c r="H529" s="405" t="s">
        <v>5120</v>
      </c>
      <c r="I529" s="399" t="s">
        <v>3206</v>
      </c>
      <c r="J529" s="399" t="s">
        <v>3207</v>
      </c>
      <c r="K529" s="405" t="s">
        <v>5121</v>
      </c>
      <c r="L529" s="405" t="s">
        <v>5122</v>
      </c>
      <c r="M529" s="405" t="s">
        <v>5123</v>
      </c>
      <c r="N529" s="405" t="s">
        <v>5061</v>
      </c>
      <c r="O529" s="405" t="s">
        <v>5057</v>
      </c>
      <c r="P529" s="405" t="s">
        <v>925</v>
      </c>
      <c r="Q529" s="250" t="s">
        <v>5047</v>
      </c>
      <c r="R529" s="233"/>
      <c r="S529" s="234">
        <f>IF(C529="",NA(),MATCH($B529&amp;$C529,'Smelter Reference List'!$J:$J,0))</f>
        <v>20</v>
      </c>
      <c r="T529" s="235"/>
      <c r="U529" s="235">
        <f t="shared" si="12"/>
        <v>0</v>
      </c>
      <c r="V529" s="235"/>
      <c r="W529" s="235"/>
      <c r="Y529" s="228" t="str">
        <f t="shared" si="13"/>
        <v>GoldAsahi Refining USA Inc.</v>
      </c>
    </row>
    <row r="530" spans="1:25" s="228" customFormat="1" ht="20.25">
      <c r="A530" s="404" t="s">
        <v>1274</v>
      </c>
      <c r="B530" s="396" t="s">
        <v>2323</v>
      </c>
      <c r="C530" s="397" t="s">
        <v>4671</v>
      </c>
      <c r="D530" s="396" t="s">
        <v>4671</v>
      </c>
      <c r="E530" s="396" t="s">
        <v>2177</v>
      </c>
      <c r="F530" s="396" t="s">
        <v>1274</v>
      </c>
      <c r="G530" s="396" t="s">
        <v>3125</v>
      </c>
      <c r="H530" s="405" t="s">
        <v>5124</v>
      </c>
      <c r="I530" s="399" t="s">
        <v>3209</v>
      </c>
      <c r="J530" s="399" t="s">
        <v>3210</v>
      </c>
      <c r="K530" s="405" t="s">
        <v>5125</v>
      </c>
      <c r="L530" s="405" t="s">
        <v>5126</v>
      </c>
      <c r="M530" s="405" t="s">
        <v>5123</v>
      </c>
      <c r="N530" s="405" t="s">
        <v>5061</v>
      </c>
      <c r="O530" s="405" t="s">
        <v>5057</v>
      </c>
      <c r="P530" s="405" t="s">
        <v>925</v>
      </c>
      <c r="Q530" s="250" t="s">
        <v>5047</v>
      </c>
      <c r="R530" s="233"/>
      <c r="S530" s="234">
        <f>IF(C530="",NA(),MATCH($B530&amp;$C530,'Smelter Reference List'!$J:$J,0))</f>
        <v>19</v>
      </c>
      <c r="T530" s="235"/>
      <c r="U530" s="235">
        <f t="shared" si="12"/>
        <v>0</v>
      </c>
      <c r="V530" s="235"/>
      <c r="W530" s="235"/>
      <c r="Y530" s="228" t="str">
        <f t="shared" si="13"/>
        <v>GoldAsahi Refining Canada Ltd.</v>
      </c>
    </row>
    <row r="531" spans="1:25" s="228" customFormat="1" ht="25.5">
      <c r="A531" s="404" t="s">
        <v>1275</v>
      </c>
      <c r="B531" s="396" t="s">
        <v>2323</v>
      </c>
      <c r="C531" s="397" t="s">
        <v>1791</v>
      </c>
      <c r="D531" s="396" t="s">
        <v>1791</v>
      </c>
      <c r="E531" s="396" t="s">
        <v>1717</v>
      </c>
      <c r="F531" s="396" t="s">
        <v>1275</v>
      </c>
      <c r="G531" s="396" t="s">
        <v>3125</v>
      </c>
      <c r="H531" s="405" t="s">
        <v>5024</v>
      </c>
      <c r="I531" s="399" t="s">
        <v>3211</v>
      </c>
      <c r="J531" s="399" t="s">
        <v>3212</v>
      </c>
      <c r="K531" s="406" t="s">
        <v>5024</v>
      </c>
      <c r="L531" s="406" t="s">
        <v>5024</v>
      </c>
      <c r="M531" s="406" t="s">
        <v>5024</v>
      </c>
      <c r="N531" s="406" t="s">
        <v>5024</v>
      </c>
      <c r="O531" s="406" t="s">
        <v>5024</v>
      </c>
      <c r="P531" s="406" t="s">
        <v>5024</v>
      </c>
      <c r="Q531" s="250" t="s">
        <v>5047</v>
      </c>
      <c r="R531" s="233"/>
      <c r="S531" s="234">
        <f>IF(C531="",NA(),MATCH($B531&amp;$C531,'Smelter Reference List'!$J:$J,0))</f>
        <v>91</v>
      </c>
      <c r="T531" s="235"/>
      <c r="U531" s="235">
        <f t="shared" si="12"/>
        <v>0</v>
      </c>
      <c r="V531" s="235"/>
      <c r="W531" s="235"/>
      <c r="Y531" s="228" t="str">
        <f t="shared" si="13"/>
        <v>GoldJSC Ekaterinburg Non-Ferrous Metal Processing Plant</v>
      </c>
    </row>
    <row r="532" spans="1:25" s="228" customFormat="1" ht="20.25">
      <c r="A532" s="404" t="s">
        <v>1276</v>
      </c>
      <c r="B532" s="396" t="s">
        <v>2323</v>
      </c>
      <c r="C532" s="397" t="s">
        <v>2729</v>
      </c>
      <c r="D532" s="396" t="s">
        <v>2729</v>
      </c>
      <c r="E532" s="396" t="s">
        <v>1717</v>
      </c>
      <c r="F532" s="396" t="s">
        <v>1276</v>
      </c>
      <c r="G532" s="396" t="s">
        <v>3125</v>
      </c>
      <c r="H532" s="405" t="s">
        <v>5024</v>
      </c>
      <c r="I532" s="399" t="s">
        <v>3211</v>
      </c>
      <c r="J532" s="399" t="s">
        <v>3212</v>
      </c>
      <c r="K532" s="406" t="s">
        <v>5024</v>
      </c>
      <c r="L532" s="406" t="s">
        <v>5024</v>
      </c>
      <c r="M532" s="406" t="s">
        <v>5024</v>
      </c>
      <c r="N532" s="406" t="s">
        <v>5024</v>
      </c>
      <c r="O532" s="406" t="s">
        <v>5024</v>
      </c>
      <c r="P532" s="406" t="s">
        <v>5024</v>
      </c>
      <c r="Q532" s="250" t="s">
        <v>5047</v>
      </c>
      <c r="R532" s="233"/>
      <c r="S532" s="234">
        <f>IF(C532="",NA(),MATCH($B532&amp;$C532,'Smelter Reference List'!$J:$J,0))</f>
        <v>92</v>
      </c>
      <c r="T532" s="235"/>
      <c r="U532" s="235">
        <f t="shared" si="12"/>
        <v>0</v>
      </c>
      <c r="V532" s="235"/>
      <c r="W532" s="235"/>
      <c r="Y532" s="228" t="str">
        <f t="shared" si="13"/>
        <v>GoldJSC Uralelectromed</v>
      </c>
    </row>
    <row r="533" spans="1:25" s="228" customFormat="1" ht="20.25">
      <c r="A533" s="404" t="s">
        <v>1277</v>
      </c>
      <c r="B533" s="396" t="s">
        <v>2323</v>
      </c>
      <c r="C533" s="397" t="s">
        <v>73</v>
      </c>
      <c r="D533" s="396" t="s">
        <v>73</v>
      </c>
      <c r="E533" s="396" t="s">
        <v>2249</v>
      </c>
      <c r="F533" s="396" t="s">
        <v>1277</v>
      </c>
      <c r="G533" s="396" t="s">
        <v>3125</v>
      </c>
      <c r="H533" s="405" t="s">
        <v>5127</v>
      </c>
      <c r="I533" s="399" t="s">
        <v>4844</v>
      </c>
      <c r="J533" s="399" t="s">
        <v>4844</v>
      </c>
      <c r="K533" s="405" t="s">
        <v>5128</v>
      </c>
      <c r="L533" s="405" t="s">
        <v>5129</v>
      </c>
      <c r="M533" s="405" t="s">
        <v>5123</v>
      </c>
      <c r="N533" s="405" t="s">
        <v>5130</v>
      </c>
      <c r="O533" s="405" t="s">
        <v>5057</v>
      </c>
      <c r="P533" s="405" t="s">
        <v>925</v>
      </c>
      <c r="Q533" s="250" t="s">
        <v>5047</v>
      </c>
      <c r="R533" s="233"/>
      <c r="S533" s="234">
        <f>IF(C533="",NA(),MATCH($B533&amp;$C533,'Smelter Reference List'!$J:$J,0))</f>
        <v>93</v>
      </c>
      <c r="T533" s="235"/>
      <c r="U533" s="235">
        <f t="shared" si="12"/>
        <v>0</v>
      </c>
      <c r="V533" s="235"/>
      <c r="W533" s="235"/>
      <c r="Y533" s="228" t="str">
        <f t="shared" si="13"/>
        <v>GoldJX Nippon Mining &amp; Metals Co., Ltd.</v>
      </c>
    </row>
    <row r="534" spans="1:25" s="228" customFormat="1" ht="20.25">
      <c r="A534" s="404" t="s">
        <v>1278</v>
      </c>
      <c r="B534" s="396" t="s">
        <v>2323</v>
      </c>
      <c r="C534" s="397" t="s">
        <v>3213</v>
      </c>
      <c r="D534" s="396" t="s">
        <v>3213</v>
      </c>
      <c r="E534" s="396" t="s">
        <v>2250</v>
      </c>
      <c r="F534" s="396" t="s">
        <v>1278</v>
      </c>
      <c r="G534" s="396" t="s">
        <v>3125</v>
      </c>
      <c r="H534" s="405" t="s">
        <v>5024</v>
      </c>
      <c r="I534" s="399" t="s">
        <v>3214</v>
      </c>
      <c r="J534" s="399" t="s">
        <v>3403</v>
      </c>
      <c r="K534" s="406" t="s">
        <v>5024</v>
      </c>
      <c r="L534" s="406" t="s">
        <v>5024</v>
      </c>
      <c r="M534" s="406" t="s">
        <v>5024</v>
      </c>
      <c r="N534" s="406" t="s">
        <v>5024</v>
      </c>
      <c r="O534" s="406" t="s">
        <v>5024</v>
      </c>
      <c r="P534" s="406" t="s">
        <v>5024</v>
      </c>
      <c r="Q534" s="250" t="s">
        <v>5047</v>
      </c>
      <c r="R534" s="233"/>
      <c r="S534" s="234">
        <f>IF(C534="",NA(),MATCH($B534&amp;$C534,'Smelter Reference List'!$J:$J,0))</f>
        <v>96</v>
      </c>
      <c r="T534" s="235"/>
      <c r="U534" s="235">
        <f t="shared" si="12"/>
        <v>0</v>
      </c>
      <c r="V534" s="235"/>
      <c r="W534" s="235"/>
      <c r="Y534" s="228" t="str">
        <f t="shared" si="13"/>
        <v>GoldKazzinc</v>
      </c>
    </row>
    <row r="535" spans="1:25" s="228" customFormat="1" ht="20.25">
      <c r="A535" s="404" t="s">
        <v>1280</v>
      </c>
      <c r="B535" s="396" t="s">
        <v>2323</v>
      </c>
      <c r="C535" s="397" t="s">
        <v>1279</v>
      </c>
      <c r="D535" s="396" t="s">
        <v>1279</v>
      </c>
      <c r="E535" s="396" t="s">
        <v>5016</v>
      </c>
      <c r="F535" s="396" t="s">
        <v>1280</v>
      </c>
      <c r="G535" s="396" t="s">
        <v>3125</v>
      </c>
      <c r="H535" s="405" t="s">
        <v>5131</v>
      </c>
      <c r="I535" s="399" t="s">
        <v>3215</v>
      </c>
      <c r="J535" s="399" t="s">
        <v>3207</v>
      </c>
      <c r="K535" s="405" t="s">
        <v>5132</v>
      </c>
      <c r="L535" s="405" t="s">
        <v>5133</v>
      </c>
      <c r="M535" s="405" t="s">
        <v>5134</v>
      </c>
      <c r="N535" s="405" t="s">
        <v>5061</v>
      </c>
      <c r="O535" s="405" t="s">
        <v>5053</v>
      </c>
      <c r="P535" s="405" t="s">
        <v>925</v>
      </c>
      <c r="Q535" s="250" t="s">
        <v>5047</v>
      </c>
      <c r="R535" s="233"/>
      <c r="S535" s="234">
        <f>IF(C535="",NA(),MATCH($B535&amp;$C535,'Smelter Reference List'!$J:$J,0))</f>
        <v>97</v>
      </c>
      <c r="T535" s="235"/>
      <c r="U535" s="235">
        <f t="shared" si="12"/>
        <v>0</v>
      </c>
      <c r="V535" s="235"/>
      <c r="W535" s="235"/>
      <c r="Y535" s="228" t="str">
        <f t="shared" si="13"/>
        <v>GoldKennecott Utah Copper LLC</v>
      </c>
    </row>
    <row r="536" spans="1:25" s="228" customFormat="1" ht="20.25">
      <c r="A536" s="404" t="s">
        <v>1281</v>
      </c>
      <c r="B536" s="396" t="s">
        <v>2323</v>
      </c>
      <c r="C536" s="397" t="s">
        <v>4158</v>
      </c>
      <c r="D536" s="396" t="s">
        <v>4158</v>
      </c>
      <c r="E536" s="396" t="s">
        <v>2249</v>
      </c>
      <c r="F536" s="396" t="s">
        <v>1281</v>
      </c>
      <c r="G536" s="396" t="s">
        <v>3125</v>
      </c>
      <c r="H536" s="405" t="s">
        <v>5135</v>
      </c>
      <c r="I536" s="399" t="s">
        <v>3216</v>
      </c>
      <c r="J536" s="399" t="s">
        <v>3179</v>
      </c>
      <c r="K536" s="405" t="s">
        <v>5136</v>
      </c>
      <c r="L536" s="405" t="s">
        <v>5055</v>
      </c>
      <c r="M536" s="405" t="s">
        <v>5137</v>
      </c>
      <c r="N536" s="405" t="s">
        <v>5138</v>
      </c>
      <c r="O536" s="405" t="s">
        <v>5139</v>
      </c>
      <c r="P536" s="405" t="s">
        <v>924</v>
      </c>
      <c r="Q536" s="250" t="s">
        <v>5047</v>
      </c>
      <c r="R536" s="233"/>
      <c r="S536" s="234">
        <f>IF(C536="",NA(),MATCH($B536&amp;$C536,'Smelter Reference List'!$J:$J,0))</f>
        <v>99</v>
      </c>
      <c r="T536" s="235"/>
      <c r="U536" s="235">
        <f t="shared" si="12"/>
        <v>0</v>
      </c>
      <c r="V536" s="235"/>
      <c r="W536" s="235"/>
      <c r="Y536" s="228" t="str">
        <f t="shared" si="13"/>
        <v>GoldKojima Chemicals Co., Ltd.</v>
      </c>
    </row>
    <row r="537" spans="1:25" s="228" customFormat="1" ht="20.25">
      <c r="A537" s="404" t="s">
        <v>1286</v>
      </c>
      <c r="B537" s="396" t="s">
        <v>2323</v>
      </c>
      <c r="C537" s="397" t="s">
        <v>74</v>
      </c>
      <c r="D537" s="396" t="s">
        <v>74</v>
      </c>
      <c r="E537" s="396" t="s">
        <v>5017</v>
      </c>
      <c r="F537" s="396" t="s">
        <v>1286</v>
      </c>
      <c r="G537" s="396" t="s">
        <v>3125</v>
      </c>
      <c r="H537" s="405" t="s">
        <v>5140</v>
      </c>
      <c r="I537" s="399" t="s">
        <v>3225</v>
      </c>
      <c r="J537" s="399" t="s">
        <v>3226</v>
      </c>
      <c r="K537" s="405" t="s">
        <v>5141</v>
      </c>
      <c r="L537" s="405" t="s">
        <v>5142</v>
      </c>
      <c r="M537" s="405" t="s">
        <v>5143</v>
      </c>
      <c r="N537" s="405" t="s">
        <v>5144</v>
      </c>
      <c r="O537" s="405" t="s">
        <v>5057</v>
      </c>
      <c r="P537" s="405" t="s">
        <v>925</v>
      </c>
      <c r="Q537" s="250" t="s">
        <v>5047</v>
      </c>
      <c r="R537" s="233"/>
      <c r="S537" s="234">
        <f>IF(C537="",NA(),MATCH($B537&amp;$C537,'Smelter Reference List'!$J:$J,0))</f>
        <v>111</v>
      </c>
      <c r="T537" s="235"/>
      <c r="U537" s="235">
        <f t="shared" si="12"/>
        <v>0</v>
      </c>
      <c r="V537" s="235"/>
      <c r="W537" s="235"/>
      <c r="Y537" s="228" t="str">
        <f t="shared" si="13"/>
        <v>GoldLS-NIKKO Copper Inc.</v>
      </c>
    </row>
    <row r="538" spans="1:25" s="228" customFormat="1" ht="20.25">
      <c r="A538" s="404" t="s">
        <v>1289</v>
      </c>
      <c r="B538" s="396" t="s">
        <v>2323</v>
      </c>
      <c r="C538" s="397" t="s">
        <v>1792</v>
      </c>
      <c r="D538" s="396" t="s">
        <v>1792</v>
      </c>
      <c r="E538" s="396" t="s">
        <v>5016</v>
      </c>
      <c r="F538" s="396" t="s">
        <v>1289</v>
      </c>
      <c r="G538" s="396" t="s">
        <v>3125</v>
      </c>
      <c r="H538" s="405" t="s">
        <v>5145</v>
      </c>
      <c r="I538" s="399" t="s">
        <v>3229</v>
      </c>
      <c r="J538" s="399" t="s">
        <v>3230</v>
      </c>
      <c r="K538" s="405" t="s">
        <v>5146</v>
      </c>
      <c r="L538" s="405" t="s">
        <v>5147</v>
      </c>
      <c r="M538" s="405" t="s">
        <v>5148</v>
      </c>
      <c r="N538" s="405" t="s">
        <v>5149</v>
      </c>
      <c r="O538" s="405" t="s">
        <v>5139</v>
      </c>
      <c r="P538" s="405" t="s">
        <v>924</v>
      </c>
      <c r="Q538" s="250" t="s">
        <v>5047</v>
      </c>
      <c r="R538" s="233"/>
      <c r="S538" s="234">
        <f>IF(C538="",NA(),MATCH($B538&amp;$C538,'Smelter Reference List'!$J:$J,0))</f>
        <v>115</v>
      </c>
      <c r="T538" s="235"/>
      <c r="U538" s="235">
        <f t="shared" si="12"/>
        <v>0</v>
      </c>
      <c r="V538" s="235"/>
      <c r="W538" s="235"/>
      <c r="Y538" s="228" t="str">
        <f t="shared" si="13"/>
        <v>GoldMaterion</v>
      </c>
    </row>
    <row r="539" spans="1:25" s="228" customFormat="1" ht="20.25">
      <c r="A539" s="404" t="s">
        <v>1290</v>
      </c>
      <c r="B539" s="396" t="s">
        <v>2323</v>
      </c>
      <c r="C539" s="397" t="s">
        <v>75</v>
      </c>
      <c r="D539" s="396" t="s">
        <v>75</v>
      </c>
      <c r="E539" s="396" t="s">
        <v>2249</v>
      </c>
      <c r="F539" s="396" t="s">
        <v>1290</v>
      </c>
      <c r="G539" s="396" t="s">
        <v>3125</v>
      </c>
      <c r="H539" s="405" t="s">
        <v>5150</v>
      </c>
      <c r="I539" s="399" t="s">
        <v>3231</v>
      </c>
      <c r="J539" s="399" t="s">
        <v>3179</v>
      </c>
      <c r="K539" s="405" t="s">
        <v>5151</v>
      </c>
      <c r="L539" s="405" t="s">
        <v>5152</v>
      </c>
      <c r="M539" s="405" t="s">
        <v>5153</v>
      </c>
      <c r="N539" s="405" t="s">
        <v>5061</v>
      </c>
      <c r="O539" s="405" t="s">
        <v>5057</v>
      </c>
      <c r="P539" s="405" t="s">
        <v>925</v>
      </c>
      <c r="Q539" s="250" t="s">
        <v>5047</v>
      </c>
      <c r="R539" s="233"/>
      <c r="S539" s="234">
        <f>IF(C539="",NA(),MATCH($B539&amp;$C539,'Smelter Reference List'!$J:$J,0))</f>
        <v>116</v>
      </c>
      <c r="T539" s="235"/>
      <c r="U539" s="235">
        <f t="shared" si="12"/>
        <v>0</v>
      </c>
      <c r="V539" s="235"/>
      <c r="W539" s="235"/>
      <c r="Y539" s="228" t="str">
        <f t="shared" si="13"/>
        <v>GoldMatsuda Sangyo Co., Ltd.</v>
      </c>
    </row>
    <row r="540" spans="1:25" s="228" customFormat="1" ht="20.25">
      <c r="A540" s="404" t="s">
        <v>1291</v>
      </c>
      <c r="B540" s="396" t="s">
        <v>2323</v>
      </c>
      <c r="C540" s="397" t="s">
        <v>4162</v>
      </c>
      <c r="D540" s="396" t="s">
        <v>4162</v>
      </c>
      <c r="E540" s="396" t="s">
        <v>2181</v>
      </c>
      <c r="F540" s="396" t="s">
        <v>1291</v>
      </c>
      <c r="G540" s="396" t="s">
        <v>3125</v>
      </c>
      <c r="H540" s="405" t="s">
        <v>5154</v>
      </c>
      <c r="I540" s="399" t="s">
        <v>3236</v>
      </c>
      <c r="J540" s="399" t="s">
        <v>3191</v>
      </c>
      <c r="K540" s="405" t="s">
        <v>5155</v>
      </c>
      <c r="L540" s="405" t="s">
        <v>5156</v>
      </c>
      <c r="M540" s="405" t="s">
        <v>5157</v>
      </c>
      <c r="N540" s="405" t="s">
        <v>5149</v>
      </c>
      <c r="O540" s="405" t="s">
        <v>5057</v>
      </c>
      <c r="P540" s="405" t="s">
        <v>925</v>
      </c>
      <c r="Q540" s="250" t="s">
        <v>5047</v>
      </c>
      <c r="R540" s="233"/>
      <c r="S540" s="234">
        <f>IF(C540="",NA(),MATCH($B540&amp;$C540,'Smelter Reference List'!$J:$J,0))</f>
        <v>120</v>
      </c>
      <c r="T540" s="235"/>
      <c r="U540" s="235">
        <f t="shared" si="12"/>
        <v>0</v>
      </c>
      <c r="V540" s="235"/>
      <c r="W540" s="235"/>
      <c r="Y540" s="228" t="str">
        <f t="shared" si="13"/>
        <v>GoldMetalor Technologies (Hong Kong) Ltd.</v>
      </c>
    </row>
    <row r="541" spans="1:25" s="228" customFormat="1" ht="20.25">
      <c r="A541" s="404" t="s">
        <v>1292</v>
      </c>
      <c r="B541" s="396" t="s">
        <v>2323</v>
      </c>
      <c r="C541" s="397" t="s">
        <v>4163</v>
      </c>
      <c r="D541" s="396" t="s">
        <v>4163</v>
      </c>
      <c r="E541" s="396" t="s">
        <v>1722</v>
      </c>
      <c r="F541" s="396" t="s">
        <v>1292</v>
      </c>
      <c r="G541" s="396" t="s">
        <v>3125</v>
      </c>
      <c r="H541" s="405" t="s">
        <v>5055</v>
      </c>
      <c r="I541" s="399" t="s">
        <v>3237</v>
      </c>
      <c r="J541" s="399" t="s">
        <v>3238</v>
      </c>
      <c r="K541" s="405" t="s">
        <v>5055</v>
      </c>
      <c r="L541" s="405" t="s">
        <v>5055</v>
      </c>
      <c r="M541" s="405" t="s">
        <v>5112</v>
      </c>
      <c r="N541" s="405" t="s">
        <v>5055</v>
      </c>
      <c r="O541" s="405" t="s">
        <v>5057</v>
      </c>
      <c r="P541" s="405" t="s">
        <v>925</v>
      </c>
      <c r="Q541" s="250" t="s">
        <v>5047</v>
      </c>
      <c r="R541" s="233"/>
      <c r="S541" s="234">
        <f>IF(C541="",NA(),MATCH($B541&amp;$C541,'Smelter Reference List'!$J:$J,0))</f>
        <v>121</v>
      </c>
      <c r="T541" s="235"/>
      <c r="U541" s="235">
        <f t="shared" si="12"/>
        <v>0</v>
      </c>
      <c r="V541" s="235"/>
      <c r="W541" s="235"/>
      <c r="Y541" s="228" t="str">
        <f t="shared" si="13"/>
        <v>GoldMetalor Technologies (Singapore) Pte., Ltd.</v>
      </c>
    </row>
    <row r="542" spans="1:25" s="228" customFormat="1" ht="20.25">
      <c r="A542" s="404" t="s">
        <v>1293</v>
      </c>
      <c r="B542" s="396" t="s">
        <v>2323</v>
      </c>
      <c r="C542" s="397" t="s">
        <v>4697</v>
      </c>
      <c r="D542" s="396" t="s">
        <v>4697</v>
      </c>
      <c r="E542" s="396" t="s">
        <v>2179</v>
      </c>
      <c r="F542" s="396" t="s">
        <v>1293</v>
      </c>
      <c r="G542" s="396" t="s">
        <v>3125</v>
      </c>
      <c r="H542" s="405" t="s">
        <v>5158</v>
      </c>
      <c r="I542" s="399" t="s">
        <v>3239</v>
      </c>
      <c r="J542" s="399" t="s">
        <v>3240</v>
      </c>
      <c r="K542" s="405" t="s">
        <v>5159</v>
      </c>
      <c r="L542" s="405" t="s">
        <v>5160</v>
      </c>
      <c r="M542" s="405" t="s">
        <v>5161</v>
      </c>
      <c r="N542" s="405" t="s">
        <v>5149</v>
      </c>
      <c r="O542" s="405" t="s">
        <v>5057</v>
      </c>
      <c r="P542" s="405" t="s">
        <v>925</v>
      </c>
      <c r="Q542" s="250" t="s">
        <v>5047</v>
      </c>
      <c r="R542" s="233"/>
      <c r="S542" s="234">
        <f>IF(C542="",NA(),MATCH($B542&amp;$C542,'Smelter Reference List'!$J:$J,0))</f>
        <v>123</v>
      </c>
      <c r="T542" s="235"/>
      <c r="U542" s="235">
        <f t="shared" si="12"/>
        <v>0</v>
      </c>
      <c r="V542" s="235"/>
      <c r="W542" s="235"/>
      <c r="Y542" s="228" t="str">
        <f t="shared" si="13"/>
        <v>GoldMetalor Technologies S.A.</v>
      </c>
    </row>
    <row r="543" spans="1:25" s="228" customFormat="1" ht="20.25">
      <c r="A543" s="404" t="s">
        <v>1294</v>
      </c>
      <c r="B543" s="396" t="s">
        <v>2323</v>
      </c>
      <c r="C543" s="397" t="s">
        <v>2453</v>
      </c>
      <c r="D543" s="396" t="s">
        <v>2453</v>
      </c>
      <c r="E543" s="396" t="s">
        <v>5016</v>
      </c>
      <c r="F543" s="396" t="s">
        <v>1294</v>
      </c>
      <c r="G543" s="396" t="s">
        <v>3125</v>
      </c>
      <c r="H543" s="405" t="s">
        <v>5162</v>
      </c>
      <c r="I543" s="399" t="s">
        <v>3241</v>
      </c>
      <c r="J543" s="399" t="s">
        <v>3242</v>
      </c>
      <c r="K543" s="405" t="s">
        <v>5163</v>
      </c>
      <c r="L543" s="405" t="s">
        <v>5164</v>
      </c>
      <c r="M543" s="405" t="s">
        <v>5165</v>
      </c>
      <c r="N543" s="405" t="s">
        <v>5061</v>
      </c>
      <c r="O543" s="405" t="s">
        <v>5057</v>
      </c>
      <c r="P543" s="405" t="s">
        <v>925</v>
      </c>
      <c r="Q543" s="250" t="s">
        <v>5047</v>
      </c>
      <c r="R543" s="233"/>
      <c r="S543" s="234">
        <f>IF(C543="",NA(),MATCH($B543&amp;$C543,'Smelter Reference List'!$J:$J,0))</f>
        <v>124</v>
      </c>
      <c r="T543" s="235"/>
      <c r="U543" s="235">
        <f t="shared" si="12"/>
        <v>0</v>
      </c>
      <c r="V543" s="235"/>
      <c r="W543" s="235"/>
      <c r="Y543" s="228" t="str">
        <f t="shared" si="13"/>
        <v>GoldMetalor USA Refining Corporation</v>
      </c>
    </row>
    <row r="544" spans="1:25" s="228" customFormat="1" ht="20.25">
      <c r="A544" s="404" t="s">
        <v>1295</v>
      </c>
      <c r="B544" s="396" t="s">
        <v>2323</v>
      </c>
      <c r="C544" s="397" t="s">
        <v>4699</v>
      </c>
      <c r="D544" s="396" t="s">
        <v>4699</v>
      </c>
      <c r="E544" s="396" t="s">
        <v>2275</v>
      </c>
      <c r="F544" s="396" t="s">
        <v>1295</v>
      </c>
      <c r="G544" s="396" t="s">
        <v>3125</v>
      </c>
      <c r="H544" s="405" t="s">
        <v>5166</v>
      </c>
      <c r="I544" s="399" t="s">
        <v>3243</v>
      </c>
      <c r="J544" s="399" t="s">
        <v>3244</v>
      </c>
      <c r="K544" s="405" t="s">
        <v>5167</v>
      </c>
      <c r="L544" s="405" t="s">
        <v>5168</v>
      </c>
      <c r="M544" s="405" t="s">
        <v>5055</v>
      </c>
      <c r="N544" s="405" t="s">
        <v>5061</v>
      </c>
      <c r="O544" s="405" t="s">
        <v>5057</v>
      </c>
      <c r="P544" s="405" t="s">
        <v>925</v>
      </c>
      <c r="Q544" s="250" t="s">
        <v>5047</v>
      </c>
      <c r="R544" s="233"/>
      <c r="S544" s="234">
        <f>IF(C544="",NA(),MATCH($B544&amp;$C544,'Smelter Reference List'!$J:$J,0))</f>
        <v>125</v>
      </c>
      <c r="T544" s="235"/>
      <c r="U544" s="235">
        <f t="shared" si="12"/>
        <v>0</v>
      </c>
      <c r="V544" s="235"/>
      <c r="W544" s="235"/>
      <c r="Y544" s="228" t="str">
        <f t="shared" si="13"/>
        <v>GoldMetalúrgica Met-Mex Peñoles S.A. De C.V.</v>
      </c>
    </row>
    <row r="545" spans="1:25" s="228" customFormat="1" ht="20.25">
      <c r="A545" s="404" t="s">
        <v>1296</v>
      </c>
      <c r="B545" s="396" t="s">
        <v>2323</v>
      </c>
      <c r="C545" s="397" t="s">
        <v>2371</v>
      </c>
      <c r="D545" s="396" t="s">
        <v>2371</v>
      </c>
      <c r="E545" s="396" t="s">
        <v>2249</v>
      </c>
      <c r="F545" s="396" t="s">
        <v>1296</v>
      </c>
      <c r="G545" s="396" t="s">
        <v>3125</v>
      </c>
      <c r="H545" s="405" t="s">
        <v>5169</v>
      </c>
      <c r="I545" s="399" t="s">
        <v>3245</v>
      </c>
      <c r="J545" s="399" t="s">
        <v>4283</v>
      </c>
      <c r="K545" s="405" t="s">
        <v>5170</v>
      </c>
      <c r="L545" s="405" t="s">
        <v>5171</v>
      </c>
      <c r="M545" s="405" t="s">
        <v>5172</v>
      </c>
      <c r="N545" s="405" t="s">
        <v>5173</v>
      </c>
      <c r="O545" s="405" t="s">
        <v>5057</v>
      </c>
      <c r="P545" s="405" t="s">
        <v>925</v>
      </c>
      <c r="Q545" s="250" t="s">
        <v>5047</v>
      </c>
      <c r="R545" s="233"/>
      <c r="S545" s="234">
        <f>IF(C545="",NA(),MATCH($B545&amp;$C545,'Smelter Reference List'!$J:$J,0))</f>
        <v>128</v>
      </c>
      <c r="T545" s="235"/>
      <c r="U545" s="235">
        <f t="shared" si="12"/>
        <v>0</v>
      </c>
      <c r="V545" s="235"/>
      <c r="W545" s="235"/>
      <c r="Y545" s="228" t="str">
        <f t="shared" si="13"/>
        <v>GoldMitsubishi Materials Corporation</v>
      </c>
    </row>
    <row r="546" spans="1:25" s="228" customFormat="1" ht="20.25">
      <c r="A546" s="404" t="s">
        <v>1297</v>
      </c>
      <c r="B546" s="396" t="s">
        <v>2323</v>
      </c>
      <c r="C546" s="397" t="s">
        <v>2454</v>
      </c>
      <c r="D546" s="396" t="s">
        <v>2454</v>
      </c>
      <c r="E546" s="396" t="s">
        <v>2249</v>
      </c>
      <c r="F546" s="396" t="s">
        <v>1297</v>
      </c>
      <c r="G546" s="396" t="s">
        <v>3125</v>
      </c>
      <c r="H546" s="405" t="s">
        <v>5174</v>
      </c>
      <c r="I546" s="399" t="s">
        <v>3247</v>
      </c>
      <c r="J546" s="399" t="s">
        <v>3246</v>
      </c>
      <c r="K546" s="405" t="s">
        <v>5175</v>
      </c>
      <c r="L546" s="405" t="s">
        <v>5176</v>
      </c>
      <c r="M546" s="405" t="s">
        <v>5153</v>
      </c>
      <c r="N546" s="405" t="s">
        <v>5177</v>
      </c>
      <c r="O546" s="405" t="s">
        <v>5057</v>
      </c>
      <c r="P546" s="405" t="s">
        <v>925</v>
      </c>
      <c r="Q546" s="250" t="s">
        <v>5047</v>
      </c>
      <c r="R546" s="233"/>
      <c r="S546" s="234">
        <f>IF(C546="",NA(),MATCH($B546&amp;$C546,'Smelter Reference List'!$J:$J,0))</f>
        <v>130</v>
      </c>
      <c r="T546" s="235"/>
      <c r="U546" s="235">
        <f t="shared" si="12"/>
        <v>0</v>
      </c>
      <c r="V546" s="235"/>
      <c r="W546" s="235"/>
      <c r="Y546" s="228" t="str">
        <f t="shared" si="13"/>
        <v>GoldMitsui Mining and Smelting Co., Ltd.</v>
      </c>
    </row>
    <row r="547" spans="1:25" s="228" customFormat="1" ht="20.25">
      <c r="A547" s="404" t="s">
        <v>1298</v>
      </c>
      <c r="B547" s="396" t="s">
        <v>2323</v>
      </c>
      <c r="C547" s="397" t="s">
        <v>1793</v>
      </c>
      <c r="D547" s="396" t="s">
        <v>1793</v>
      </c>
      <c r="E547" s="396" t="s">
        <v>1717</v>
      </c>
      <c r="F547" s="396" t="s">
        <v>1298</v>
      </c>
      <c r="G547" s="396" t="s">
        <v>3125</v>
      </c>
      <c r="H547" s="405" t="s">
        <v>5024</v>
      </c>
      <c r="I547" s="399" t="s">
        <v>3249</v>
      </c>
      <c r="J547" s="399" t="s">
        <v>3294</v>
      </c>
      <c r="K547" s="406" t="s">
        <v>5024</v>
      </c>
      <c r="L547" s="406" t="s">
        <v>5024</v>
      </c>
      <c r="M547" s="406" t="s">
        <v>5024</v>
      </c>
      <c r="N547" s="406" t="s">
        <v>5024</v>
      </c>
      <c r="O547" s="406" t="s">
        <v>5024</v>
      </c>
      <c r="P547" s="406" t="s">
        <v>5024</v>
      </c>
      <c r="Q547" s="250" t="s">
        <v>5047</v>
      </c>
      <c r="R547" s="233"/>
      <c r="S547" s="234">
        <f>IF(C547="",NA(),MATCH($B547&amp;$C547,'Smelter Reference List'!$J:$J,0))</f>
        <v>134</v>
      </c>
      <c r="T547" s="235"/>
      <c r="U547" s="235">
        <f t="shared" si="12"/>
        <v>0</v>
      </c>
      <c r="V547" s="235"/>
      <c r="W547" s="235"/>
      <c r="Y547" s="228" t="str">
        <f t="shared" si="13"/>
        <v>GoldMoscow Special Alloys Processing Plant</v>
      </c>
    </row>
    <row r="548" spans="1:25" s="228" customFormat="1" ht="20.25">
      <c r="A548" s="404" t="s">
        <v>1299</v>
      </c>
      <c r="B548" s="396" t="s">
        <v>2323</v>
      </c>
      <c r="C548" s="397" t="s">
        <v>2460</v>
      </c>
      <c r="D548" s="396" t="s">
        <v>2460</v>
      </c>
      <c r="E548" s="396" t="s">
        <v>1751</v>
      </c>
      <c r="F548" s="396" t="s">
        <v>1299</v>
      </c>
      <c r="G548" s="396" t="s">
        <v>3125</v>
      </c>
      <c r="H548" s="405" t="s">
        <v>5178</v>
      </c>
      <c r="I548" s="399" t="s">
        <v>3250</v>
      </c>
      <c r="J548" s="399" t="s">
        <v>3144</v>
      </c>
      <c r="K548" s="405" t="s">
        <v>5179</v>
      </c>
      <c r="L548" s="405" t="s">
        <v>5180</v>
      </c>
      <c r="M548" s="405" t="s">
        <v>5181</v>
      </c>
      <c r="N548" s="405" t="s">
        <v>5052</v>
      </c>
      <c r="O548" s="405" t="s">
        <v>5057</v>
      </c>
      <c r="P548" s="405" t="s">
        <v>925</v>
      </c>
      <c r="Q548" s="250" t="s">
        <v>5047</v>
      </c>
      <c r="R548" s="233"/>
      <c r="S548" s="234">
        <f>IF(C548="",NA(),MATCH($B548&amp;$C548,'Smelter Reference List'!$J:$J,0))</f>
        <v>135</v>
      </c>
      <c r="T548" s="235"/>
      <c r="U548" s="235">
        <f t="shared" si="12"/>
        <v>0</v>
      </c>
      <c r="V548" s="235"/>
      <c r="W548" s="235"/>
      <c r="Y548" s="228" t="str">
        <f t="shared" si="13"/>
        <v>GoldNadir Metal Rafineri San. Ve Tic. A.Ş.</v>
      </c>
    </row>
    <row r="549" spans="1:25" s="228" customFormat="1" ht="20.25">
      <c r="A549" s="404" t="s">
        <v>1301</v>
      </c>
      <c r="B549" s="396" t="s">
        <v>2323</v>
      </c>
      <c r="C549" s="397" t="s">
        <v>4166</v>
      </c>
      <c r="D549" s="396" t="s">
        <v>4166</v>
      </c>
      <c r="E549" s="396" t="s">
        <v>2249</v>
      </c>
      <c r="F549" s="396" t="s">
        <v>1301</v>
      </c>
      <c r="G549" s="396" t="s">
        <v>3125</v>
      </c>
      <c r="H549" s="405" t="s">
        <v>5182</v>
      </c>
      <c r="I549" s="399" t="s">
        <v>3253</v>
      </c>
      <c r="J549" s="399" t="s">
        <v>3254</v>
      </c>
      <c r="K549" s="405" t="s">
        <v>5183</v>
      </c>
      <c r="L549" s="405" t="s">
        <v>5184</v>
      </c>
      <c r="M549" s="405" t="s">
        <v>5185</v>
      </c>
      <c r="N549" s="405" t="s">
        <v>5149</v>
      </c>
      <c r="O549" s="405" t="s">
        <v>5057</v>
      </c>
      <c r="P549" s="405" t="s">
        <v>925</v>
      </c>
      <c r="Q549" s="250" t="s">
        <v>5047</v>
      </c>
      <c r="R549" s="233"/>
      <c r="S549" s="234">
        <f>IF(C549="",NA(),MATCH($B549&amp;$C549,'Smelter Reference List'!$J:$J,0))</f>
        <v>137</v>
      </c>
      <c r="T549" s="235"/>
      <c r="U549" s="235">
        <f t="shared" si="12"/>
        <v>0</v>
      </c>
      <c r="V549" s="235"/>
      <c r="W549" s="235"/>
      <c r="Y549" s="228" t="str">
        <f t="shared" si="13"/>
        <v>GoldNihon Material Co., Ltd.</v>
      </c>
    </row>
    <row r="550" spans="1:25" s="228" customFormat="1" ht="20.25">
      <c r="A550" s="404" t="s">
        <v>1302</v>
      </c>
      <c r="B550" s="396" t="s">
        <v>2323</v>
      </c>
      <c r="C550" s="397" t="s">
        <v>4268</v>
      </c>
      <c r="D550" s="396" t="s">
        <v>4268</v>
      </c>
      <c r="E550" s="396" t="s">
        <v>5016</v>
      </c>
      <c r="F550" s="396" t="s">
        <v>1302</v>
      </c>
      <c r="G550" s="396" t="s">
        <v>3125</v>
      </c>
      <c r="H550" s="405" t="s">
        <v>5186</v>
      </c>
      <c r="I550" s="399" t="s">
        <v>3255</v>
      </c>
      <c r="J550" s="399" t="s">
        <v>3256</v>
      </c>
      <c r="K550" s="405" t="s">
        <v>5187</v>
      </c>
      <c r="L550" s="405" t="s">
        <v>5188</v>
      </c>
      <c r="M550" s="405" t="s">
        <v>5055</v>
      </c>
      <c r="N550" s="405" t="s">
        <v>5149</v>
      </c>
      <c r="O550" s="405" t="s">
        <v>5046</v>
      </c>
      <c r="P550" s="405" t="s">
        <v>925</v>
      </c>
      <c r="Q550" s="250" t="s">
        <v>5047</v>
      </c>
      <c r="R550" s="233"/>
      <c r="S550" s="234">
        <f>IF(C550="",NA(),MATCH($B550&amp;$C550,'Smelter Reference List'!$J:$J,0))</f>
        <v>55</v>
      </c>
      <c r="T550" s="235"/>
      <c r="U550" s="235">
        <f t="shared" si="12"/>
        <v>0</v>
      </c>
      <c r="V550" s="235"/>
      <c r="W550" s="235"/>
      <c r="Y550" s="228" t="str">
        <f t="shared" si="13"/>
        <v>GoldElemetal Refining, LLC</v>
      </c>
    </row>
    <row r="551" spans="1:25" s="228" customFormat="1" ht="20.25">
      <c r="A551" s="404" t="s">
        <v>1303</v>
      </c>
      <c r="B551" s="396" t="s">
        <v>2323</v>
      </c>
      <c r="C551" s="397" t="s">
        <v>4167</v>
      </c>
      <c r="D551" s="396" t="s">
        <v>4167</v>
      </c>
      <c r="E551" s="396" t="s">
        <v>2249</v>
      </c>
      <c r="F551" s="396" t="s">
        <v>1303</v>
      </c>
      <c r="G551" s="396" t="s">
        <v>3125</v>
      </c>
      <c r="H551" s="405" t="s">
        <v>5189</v>
      </c>
      <c r="I551" s="399" t="s">
        <v>3257</v>
      </c>
      <c r="J551" s="399" t="s">
        <v>3258</v>
      </c>
      <c r="K551" s="405" t="s">
        <v>5055</v>
      </c>
      <c r="L551" s="405" t="s">
        <v>5055</v>
      </c>
      <c r="M551" s="405" t="s">
        <v>5044</v>
      </c>
      <c r="N551" s="405" t="s">
        <v>5190</v>
      </c>
      <c r="O551" s="405" t="s">
        <v>5191</v>
      </c>
      <c r="P551" s="405" t="s">
        <v>925</v>
      </c>
      <c r="Q551" s="250" t="s">
        <v>5047</v>
      </c>
      <c r="R551" s="233"/>
      <c r="S551" s="234">
        <f>IF(C551="",NA(),MATCH($B551&amp;$C551,'Smelter Reference List'!$J:$J,0))</f>
        <v>141</v>
      </c>
      <c r="T551" s="235"/>
      <c r="U551" s="235">
        <f t="shared" si="12"/>
        <v>0</v>
      </c>
      <c r="V551" s="235"/>
      <c r="W551" s="235"/>
      <c r="Y551" s="228" t="str">
        <f t="shared" si="13"/>
        <v>GoldOhura Precious Metal Industry Co., Ltd.</v>
      </c>
    </row>
    <row r="552" spans="1:25" s="228" customFormat="1" ht="25.5">
      <c r="A552" s="404" t="s">
        <v>1304</v>
      </c>
      <c r="B552" s="396" t="s">
        <v>2323</v>
      </c>
      <c r="C552" s="397" t="s">
        <v>4342</v>
      </c>
      <c r="D552" s="396" t="s">
        <v>4342</v>
      </c>
      <c r="E552" s="396" t="s">
        <v>1717</v>
      </c>
      <c r="F552" s="396" t="s">
        <v>1304</v>
      </c>
      <c r="G552" s="396" t="s">
        <v>3125</v>
      </c>
      <c r="H552" s="405" t="s">
        <v>5024</v>
      </c>
      <c r="I552" s="399" t="s">
        <v>3259</v>
      </c>
      <c r="J552" s="399" t="s">
        <v>3260</v>
      </c>
      <c r="K552" s="406" t="s">
        <v>5024</v>
      </c>
      <c r="L552" s="406" t="s">
        <v>5024</v>
      </c>
      <c r="M552" s="406" t="s">
        <v>5024</v>
      </c>
      <c r="N552" s="406" t="s">
        <v>5024</v>
      </c>
      <c r="O552" s="406" t="s">
        <v>5024</v>
      </c>
      <c r="P552" s="406" t="s">
        <v>5024</v>
      </c>
      <c r="Q552" s="250" t="s">
        <v>5047</v>
      </c>
      <c r="R552" s="233"/>
      <c r="S552" s="234">
        <f>IF(C552="",NA(),MATCH($B552&amp;$C552,'Smelter Reference List'!$J:$J,0))</f>
        <v>142</v>
      </c>
      <c r="T552" s="235"/>
      <c r="U552" s="235">
        <f t="shared" si="12"/>
        <v>0</v>
      </c>
      <c r="V552" s="235"/>
      <c r="W552" s="235"/>
      <c r="Y552" s="228" t="str">
        <f t="shared" si="13"/>
        <v>GoldOJSC "The Gulidov Krasnoyarsk Non-Ferrous Metals Plant" (OJSC Krastsvetmet)</v>
      </c>
    </row>
    <row r="553" spans="1:25" s="228" customFormat="1" ht="20.25">
      <c r="A553" s="404" t="s">
        <v>1305</v>
      </c>
      <c r="B553" s="396" t="s">
        <v>2323</v>
      </c>
      <c r="C553" s="397" t="s">
        <v>4705</v>
      </c>
      <c r="D553" s="396" t="s">
        <v>4705</v>
      </c>
      <c r="E553" s="396" t="s">
        <v>2179</v>
      </c>
      <c r="F553" s="396" t="s">
        <v>1305</v>
      </c>
      <c r="G553" s="396" t="s">
        <v>3125</v>
      </c>
      <c r="H553" s="405" t="s">
        <v>5192</v>
      </c>
      <c r="I553" s="399" t="s">
        <v>3262</v>
      </c>
      <c r="J553" s="399" t="s">
        <v>3138</v>
      </c>
      <c r="K553" s="405" t="s">
        <v>5193</v>
      </c>
      <c r="L553" s="405" t="s">
        <v>5194</v>
      </c>
      <c r="M553" s="405" t="s">
        <v>5195</v>
      </c>
      <c r="N553" s="405" t="s">
        <v>5052</v>
      </c>
      <c r="O553" s="405" t="s">
        <v>5057</v>
      </c>
      <c r="P553" s="405" t="s">
        <v>925</v>
      </c>
      <c r="Q553" s="250" t="s">
        <v>5047</v>
      </c>
      <c r="R553" s="233"/>
      <c r="S553" s="234">
        <f>IF(C553="",NA(),MATCH($B553&amp;$C553,'Smelter Reference List'!$J:$J,0))</f>
        <v>146</v>
      </c>
      <c r="T553" s="235"/>
      <c r="U553" s="235">
        <f t="shared" si="12"/>
        <v>0</v>
      </c>
      <c r="V553" s="235"/>
      <c r="W553" s="235"/>
      <c r="Y553" s="228" t="str">
        <f t="shared" si="13"/>
        <v>GoldPAMP S.A.</v>
      </c>
    </row>
    <row r="554" spans="1:25" s="228" customFormat="1" ht="20.25">
      <c r="A554" s="404" t="s">
        <v>1307</v>
      </c>
      <c r="B554" s="396" t="s">
        <v>2323</v>
      </c>
      <c r="C554" s="397" t="s">
        <v>1794</v>
      </c>
      <c r="D554" s="396" t="s">
        <v>1794</v>
      </c>
      <c r="E554" s="396" t="s">
        <v>1717</v>
      </c>
      <c r="F554" s="396" t="s">
        <v>1307</v>
      </c>
      <c r="G554" s="396" t="s">
        <v>3125</v>
      </c>
      <c r="H554" s="405" t="s">
        <v>5024</v>
      </c>
      <c r="I554" s="399" t="s">
        <v>3265</v>
      </c>
      <c r="J554" s="399" t="s">
        <v>3266</v>
      </c>
      <c r="K554" s="406" t="s">
        <v>5024</v>
      </c>
      <c r="L554" s="406" t="s">
        <v>5024</v>
      </c>
      <c r="M554" s="406" t="s">
        <v>5024</v>
      </c>
      <c r="N554" s="406" t="s">
        <v>5024</v>
      </c>
      <c r="O554" s="406" t="s">
        <v>5024</v>
      </c>
      <c r="P554" s="406" t="s">
        <v>5024</v>
      </c>
      <c r="Q554" s="250" t="s">
        <v>5047</v>
      </c>
      <c r="R554" s="233"/>
      <c r="S554" s="234">
        <f>IF(C554="",NA(),MATCH($B554&amp;$C554,'Smelter Reference List'!$J:$J,0))</f>
        <v>151</v>
      </c>
      <c r="T554" s="235"/>
      <c r="U554" s="235">
        <f t="shared" si="12"/>
        <v>0</v>
      </c>
      <c r="V554" s="235"/>
      <c r="W554" s="235"/>
      <c r="Y554" s="228" t="str">
        <f t="shared" si="13"/>
        <v>GoldPrioksky Plant of Non-Ferrous Metals</v>
      </c>
    </row>
    <row r="555" spans="1:25" s="228" customFormat="1" ht="20.25">
      <c r="A555" s="404" t="s">
        <v>1308</v>
      </c>
      <c r="B555" s="396" t="s">
        <v>2323</v>
      </c>
      <c r="C555" s="397" t="s">
        <v>2456</v>
      </c>
      <c r="D555" s="396" t="s">
        <v>2456</v>
      </c>
      <c r="E555" s="396" t="s">
        <v>2238</v>
      </c>
      <c r="F555" s="396" t="s">
        <v>1308</v>
      </c>
      <c r="G555" s="396" t="s">
        <v>3125</v>
      </c>
      <c r="H555" s="405" t="s">
        <v>5055</v>
      </c>
      <c r="I555" s="399" t="s">
        <v>3267</v>
      </c>
      <c r="J555" s="399" t="s">
        <v>3268</v>
      </c>
      <c r="K555" s="405" t="s">
        <v>5055</v>
      </c>
      <c r="L555" s="405" t="s">
        <v>5055</v>
      </c>
      <c r="M555" s="405" t="s">
        <v>5055</v>
      </c>
      <c r="N555" s="405" t="s">
        <v>5055</v>
      </c>
      <c r="O555" s="405" t="s">
        <v>5057</v>
      </c>
      <c r="P555" s="405" t="s">
        <v>925</v>
      </c>
      <c r="Q555" s="250" t="s">
        <v>5047</v>
      </c>
      <c r="R555" s="233"/>
      <c r="S555" s="234">
        <f>IF(C555="",NA(),MATCH($B555&amp;$C555,'Smelter Reference List'!$J:$J,0))</f>
        <v>153</v>
      </c>
      <c r="T555" s="235"/>
      <c r="U555" s="235">
        <f t="shared" si="12"/>
        <v>0</v>
      </c>
      <c r="V555" s="235"/>
      <c r="W555" s="235"/>
      <c r="Y555" s="228" t="str">
        <f t="shared" si="13"/>
        <v>GoldPT Aneka Tambang (Persero) Tbk</v>
      </c>
    </row>
    <row r="556" spans="1:25" s="228" customFormat="1" ht="20.25">
      <c r="A556" s="404" t="s">
        <v>1309</v>
      </c>
      <c r="B556" s="396" t="s">
        <v>2323</v>
      </c>
      <c r="C556" s="397" t="s">
        <v>4706</v>
      </c>
      <c r="D556" s="396" t="s">
        <v>4706</v>
      </c>
      <c r="E556" s="396" t="s">
        <v>2179</v>
      </c>
      <c r="F556" s="396" t="s">
        <v>1309</v>
      </c>
      <c r="G556" s="396" t="s">
        <v>3125</v>
      </c>
      <c r="H556" s="405" t="s">
        <v>5196</v>
      </c>
      <c r="I556" s="399" t="s">
        <v>3269</v>
      </c>
      <c r="J556" s="399" t="s">
        <v>3240</v>
      </c>
      <c r="K556" s="405" t="s">
        <v>5197</v>
      </c>
      <c r="L556" s="405" t="s">
        <v>5198</v>
      </c>
      <c r="M556" s="405" t="s">
        <v>5199</v>
      </c>
      <c r="N556" s="405" t="s">
        <v>5061</v>
      </c>
      <c r="O556" s="405" t="s">
        <v>5057</v>
      </c>
      <c r="P556" s="405" t="s">
        <v>925</v>
      </c>
      <c r="Q556" s="250" t="s">
        <v>5047</v>
      </c>
      <c r="R556" s="233"/>
      <c r="S556" s="234">
        <f>IF(C556="",NA(),MATCH($B556&amp;$C556,'Smelter Reference List'!$J:$J,0))</f>
        <v>154</v>
      </c>
      <c r="T556" s="235"/>
      <c r="U556" s="235">
        <f t="shared" si="12"/>
        <v>0</v>
      </c>
      <c r="V556" s="235"/>
      <c r="W556" s="235"/>
      <c r="Y556" s="228" t="str">
        <f t="shared" si="13"/>
        <v>GoldPX Précinox S.A.</v>
      </c>
    </row>
    <row r="557" spans="1:25" s="228" customFormat="1" ht="20.25">
      <c r="A557" s="404" t="s">
        <v>1310</v>
      </c>
      <c r="B557" s="396" t="s">
        <v>2323</v>
      </c>
      <c r="C557" s="397" t="s">
        <v>4171</v>
      </c>
      <c r="D557" s="396" t="s">
        <v>4171</v>
      </c>
      <c r="E557" s="396" t="s">
        <v>1772</v>
      </c>
      <c r="F557" s="396" t="s">
        <v>1310</v>
      </c>
      <c r="G557" s="396" t="s">
        <v>3125</v>
      </c>
      <c r="H557" s="405" t="s">
        <v>5200</v>
      </c>
      <c r="I557" s="399" t="s">
        <v>3270</v>
      </c>
      <c r="J557" s="399" t="s">
        <v>3271</v>
      </c>
      <c r="K557" s="405" t="s">
        <v>5201</v>
      </c>
      <c r="L557" s="405" t="s">
        <v>5202</v>
      </c>
      <c r="M557" s="405" t="s">
        <v>5203</v>
      </c>
      <c r="N557" s="405" t="s">
        <v>5204</v>
      </c>
      <c r="O557" s="405" t="s">
        <v>5057</v>
      </c>
      <c r="P557" s="405" t="s">
        <v>925</v>
      </c>
      <c r="Q557" s="250" t="s">
        <v>5047</v>
      </c>
      <c r="R557" s="233"/>
      <c r="S557" s="234">
        <f>IF(C557="",NA(),MATCH($B557&amp;$C557,'Smelter Reference List'!$J:$J,0))</f>
        <v>155</v>
      </c>
      <c r="T557" s="235"/>
      <c r="U557" s="235">
        <f t="shared" si="12"/>
        <v>0</v>
      </c>
      <c r="V557" s="235"/>
      <c r="W557" s="235"/>
      <c r="Y557" s="228" t="str">
        <f t="shared" si="13"/>
        <v>GoldRand Refinery (Pty) Ltd.</v>
      </c>
    </row>
    <row r="558" spans="1:25" s="228" customFormat="1" ht="20.25">
      <c r="A558" s="404" t="s">
        <v>1311</v>
      </c>
      <c r="B558" s="396" t="s">
        <v>2323</v>
      </c>
      <c r="C558" s="397" t="s">
        <v>1795</v>
      </c>
      <c r="D558" s="396" t="s">
        <v>1795</v>
      </c>
      <c r="E558" s="396" t="s">
        <v>2177</v>
      </c>
      <c r="F558" s="396" t="s">
        <v>1311</v>
      </c>
      <c r="G558" s="396" t="s">
        <v>3125</v>
      </c>
      <c r="H558" s="405" t="s">
        <v>5205</v>
      </c>
      <c r="I558" s="399" t="s">
        <v>3272</v>
      </c>
      <c r="J558" s="399" t="s">
        <v>3210</v>
      </c>
      <c r="K558" s="405" t="s">
        <v>5206</v>
      </c>
      <c r="L558" s="405" t="s">
        <v>5207</v>
      </c>
      <c r="M558" s="405" t="s">
        <v>5087</v>
      </c>
      <c r="N558" s="405" t="s">
        <v>5208</v>
      </c>
      <c r="O558" s="405" t="s">
        <v>5057</v>
      </c>
      <c r="P558" s="405" t="s">
        <v>925</v>
      </c>
      <c r="Q558" s="250" t="s">
        <v>5047</v>
      </c>
      <c r="R558" s="233"/>
      <c r="S558" s="234">
        <f>IF(C558="",NA(),MATCH($B558&amp;$C558,'Smelter Reference List'!$J:$J,0))</f>
        <v>159</v>
      </c>
      <c r="T558" s="235"/>
      <c r="U558" s="235">
        <f t="shared" si="12"/>
        <v>0</v>
      </c>
      <c r="V558" s="235"/>
      <c r="W558" s="235"/>
      <c r="Y558" s="228" t="str">
        <f t="shared" si="13"/>
        <v>GoldRoyal Canadian Mint</v>
      </c>
    </row>
    <row r="559" spans="1:25" s="228" customFormat="1" ht="20.25">
      <c r="A559" s="404" t="s">
        <v>1314</v>
      </c>
      <c r="B559" s="396" t="s">
        <v>2323</v>
      </c>
      <c r="C559" s="397" t="s">
        <v>4285</v>
      </c>
      <c r="D559" s="396" t="s">
        <v>4285</v>
      </c>
      <c r="E559" s="396" t="s">
        <v>2298</v>
      </c>
      <c r="F559" s="396" t="s">
        <v>1314</v>
      </c>
      <c r="G559" s="396" t="s">
        <v>3125</v>
      </c>
      <c r="H559" s="405"/>
      <c r="I559" s="399" t="s">
        <v>3279</v>
      </c>
      <c r="J559" s="399" t="s">
        <v>3280</v>
      </c>
      <c r="K559" s="407"/>
      <c r="L559" s="407"/>
      <c r="M559" s="407"/>
      <c r="N559" s="407"/>
      <c r="O559" s="407"/>
      <c r="P559" s="407"/>
      <c r="Q559" s="250" t="s">
        <v>5047</v>
      </c>
      <c r="R559" s="233"/>
      <c r="S559" s="234">
        <f>IF(C559="",NA(),MATCH($B559&amp;$C559,'Smelter Reference List'!$J:$J,0))</f>
        <v>169</v>
      </c>
      <c r="T559" s="235"/>
      <c r="U559" s="235">
        <f t="shared" si="12"/>
        <v>0</v>
      </c>
      <c r="V559" s="235"/>
      <c r="W559" s="235"/>
      <c r="Y559" s="228" t="str">
        <f t="shared" si="13"/>
        <v>GoldSchone Edelmetaal B.V.</v>
      </c>
    </row>
    <row r="560" spans="1:25" s="228" customFormat="1" ht="20.25">
      <c r="A560" s="404" t="s">
        <v>1315</v>
      </c>
      <c r="B560" s="396" t="s">
        <v>2323</v>
      </c>
      <c r="C560" s="397" t="s">
        <v>4716</v>
      </c>
      <c r="D560" s="396" t="s">
        <v>4716</v>
      </c>
      <c r="E560" s="396" t="s">
        <v>2205</v>
      </c>
      <c r="F560" s="396" t="s">
        <v>1315</v>
      </c>
      <c r="G560" s="396" t="s">
        <v>3125</v>
      </c>
      <c r="H560" s="405" t="s">
        <v>5209</v>
      </c>
      <c r="I560" s="399" t="s">
        <v>3281</v>
      </c>
      <c r="J560" s="399" t="s">
        <v>3282</v>
      </c>
      <c r="K560" s="405" t="s">
        <v>5210</v>
      </c>
      <c r="L560" s="405" t="s">
        <v>5211</v>
      </c>
      <c r="M560" s="405" t="s">
        <v>5212</v>
      </c>
      <c r="N560" s="405" t="s">
        <v>5213</v>
      </c>
      <c r="O560" s="405" t="s">
        <v>5057</v>
      </c>
      <c r="P560" s="405" t="s">
        <v>925</v>
      </c>
      <c r="Q560" s="250" t="s">
        <v>5047</v>
      </c>
      <c r="R560" s="233"/>
      <c r="S560" s="234">
        <f>IF(C560="",NA(),MATCH($B560&amp;$C560,'Smelter Reference List'!$J:$J,0))</f>
        <v>171</v>
      </c>
      <c r="T560" s="235"/>
      <c r="U560" s="235">
        <f t="shared" si="12"/>
        <v>0</v>
      </c>
      <c r="V560" s="235"/>
      <c r="W560" s="235"/>
      <c r="Y560" s="228" t="str">
        <f t="shared" si="13"/>
        <v>GoldSEMPSA Joyería Platería S.A.</v>
      </c>
    </row>
    <row r="561" spans="1:25" s="228" customFormat="1" ht="25.5">
      <c r="A561" s="404" t="s">
        <v>1316</v>
      </c>
      <c r="B561" s="396" t="s">
        <v>2323</v>
      </c>
      <c r="C561" s="397" t="s">
        <v>4174</v>
      </c>
      <c r="D561" s="396" t="s">
        <v>4174</v>
      </c>
      <c r="E561" s="396" t="s">
        <v>2181</v>
      </c>
      <c r="F561" s="396" t="s">
        <v>1316</v>
      </c>
      <c r="G561" s="396" t="s">
        <v>3125</v>
      </c>
      <c r="H561" s="405" t="s">
        <v>5214</v>
      </c>
      <c r="I561" s="399" t="s">
        <v>3185</v>
      </c>
      <c r="J561" s="399" t="s">
        <v>3264</v>
      </c>
      <c r="K561" s="405" t="s">
        <v>5215</v>
      </c>
      <c r="L561" s="405" t="s">
        <v>5216</v>
      </c>
      <c r="M561" s="405" t="s">
        <v>5217</v>
      </c>
      <c r="N561" s="405" t="s">
        <v>5218</v>
      </c>
      <c r="O561" s="405" t="s">
        <v>5057</v>
      </c>
      <c r="P561" s="405" t="s">
        <v>925</v>
      </c>
      <c r="Q561" s="250" t="s">
        <v>5047</v>
      </c>
      <c r="R561" s="233"/>
      <c r="S561" s="234">
        <f>IF(C561="",NA(),MATCH($B561&amp;$C561,'Smelter Reference List'!$J:$J,0))</f>
        <v>176</v>
      </c>
      <c r="T561" s="235"/>
      <c r="U561" s="235">
        <f t="shared" si="12"/>
        <v>0</v>
      </c>
      <c r="V561" s="235"/>
      <c r="W561" s="235"/>
      <c r="Y561" s="228" t="str">
        <f t="shared" si="13"/>
        <v>GoldShandong Zhaojin Gold &amp; Silver Refinery Co., Ltd.</v>
      </c>
    </row>
    <row r="562" spans="1:25" s="228" customFormat="1" ht="20.25">
      <c r="A562" s="404" t="s">
        <v>2694</v>
      </c>
      <c r="B562" s="396" t="s">
        <v>2323</v>
      </c>
      <c r="C562" s="397" t="s">
        <v>4175</v>
      </c>
      <c r="D562" s="396" t="s">
        <v>4175</v>
      </c>
      <c r="E562" s="396" t="s">
        <v>2181</v>
      </c>
      <c r="F562" s="396" t="s">
        <v>2694</v>
      </c>
      <c r="G562" s="396" t="s">
        <v>3125</v>
      </c>
      <c r="H562" s="405"/>
      <c r="I562" s="399" t="s">
        <v>3290</v>
      </c>
      <c r="J562" s="399" t="s">
        <v>3291</v>
      </c>
      <c r="K562" s="407"/>
      <c r="L562" s="407"/>
      <c r="M562" s="407"/>
      <c r="N562" s="407"/>
      <c r="O562" s="407"/>
      <c r="P562" s="407"/>
      <c r="Q562" s="250" t="s">
        <v>5047</v>
      </c>
      <c r="R562" s="233"/>
      <c r="S562" s="234">
        <f>IF(C562="",NA(),MATCH($B562&amp;$C562,'Smelter Reference List'!$J:$J,0))</f>
        <v>179</v>
      </c>
      <c r="T562" s="235"/>
      <c r="U562" s="235">
        <f t="shared" si="12"/>
        <v>0</v>
      </c>
      <c r="V562" s="235"/>
      <c r="W562" s="235"/>
      <c r="Y562" s="228" t="str">
        <f t="shared" si="13"/>
        <v>GoldSichuan Tianze Precious Metals Co., Ltd.</v>
      </c>
    </row>
    <row r="563" spans="1:25" s="228" customFormat="1" ht="25.5">
      <c r="A563" s="404" t="s">
        <v>1319</v>
      </c>
      <c r="B563" s="396" t="s">
        <v>2323</v>
      </c>
      <c r="C563" s="397" t="s">
        <v>1796</v>
      </c>
      <c r="D563" s="396" t="s">
        <v>1796</v>
      </c>
      <c r="E563" s="396" t="s">
        <v>1717</v>
      </c>
      <c r="F563" s="396" t="s">
        <v>1319</v>
      </c>
      <c r="G563" s="396" t="s">
        <v>3125</v>
      </c>
      <c r="H563" s="405" t="s">
        <v>5055</v>
      </c>
      <c r="I563" s="399" t="s">
        <v>3293</v>
      </c>
      <c r="J563" s="399" t="s">
        <v>3294</v>
      </c>
      <c r="K563" s="405" t="s">
        <v>5055</v>
      </c>
      <c r="L563" s="405" t="s">
        <v>5055</v>
      </c>
      <c r="M563" s="405" t="s">
        <v>5055</v>
      </c>
      <c r="N563" s="405" t="s">
        <v>5055</v>
      </c>
      <c r="O563" s="405" t="s">
        <v>5057</v>
      </c>
      <c r="P563" s="405" t="s">
        <v>925</v>
      </c>
      <c r="Q563" s="250" t="s">
        <v>5047</v>
      </c>
      <c r="R563" s="233"/>
      <c r="S563" s="234">
        <f>IF(C563="",NA(),MATCH($B563&amp;$C563,'Smelter Reference List'!$J:$J,0))</f>
        <v>184</v>
      </c>
      <c r="T563" s="235"/>
      <c r="U563" s="235">
        <f t="shared" si="12"/>
        <v>0</v>
      </c>
      <c r="V563" s="235"/>
      <c r="W563" s="235"/>
      <c r="Y563" s="228" t="str">
        <f t="shared" si="13"/>
        <v>GoldSOE Shyolkovsky Factory of Secondary Precious Metals</v>
      </c>
    </row>
    <row r="564" spans="1:25" s="228" customFormat="1" ht="25.5">
      <c r="A564" s="404" t="s">
        <v>1320</v>
      </c>
      <c r="B564" s="396" t="s">
        <v>2323</v>
      </c>
      <c r="C564" s="397" t="s">
        <v>1797</v>
      </c>
      <c r="D564" s="396" t="s">
        <v>1797</v>
      </c>
      <c r="E564" s="396" t="s">
        <v>5018</v>
      </c>
      <c r="F564" s="396" t="s">
        <v>1320</v>
      </c>
      <c r="G564" s="396" t="s">
        <v>3125</v>
      </c>
      <c r="H564" s="405" t="s">
        <v>5219</v>
      </c>
      <c r="I564" s="399" t="s">
        <v>3295</v>
      </c>
      <c r="J564" s="399" t="s">
        <v>3296</v>
      </c>
      <c r="K564" s="405" t="s">
        <v>5220</v>
      </c>
      <c r="L564" s="405" t="s">
        <v>5221</v>
      </c>
      <c r="M564" s="405" t="s">
        <v>5222</v>
      </c>
      <c r="N564" s="405" t="s">
        <v>5149</v>
      </c>
      <c r="O564" s="405" t="s">
        <v>5046</v>
      </c>
      <c r="P564" s="405" t="s">
        <v>925</v>
      </c>
      <c r="Q564" s="250" t="s">
        <v>5047</v>
      </c>
      <c r="R564" s="233"/>
      <c r="S564" s="234">
        <f>IF(C564="",NA(),MATCH($B564&amp;$C564,'Smelter Reference List'!$J:$J,0))</f>
        <v>185</v>
      </c>
      <c r="T564" s="235"/>
      <c r="U564" s="235">
        <f t="shared" si="12"/>
        <v>0</v>
      </c>
      <c r="V564" s="235"/>
      <c r="W564" s="235"/>
      <c r="Y564" s="228" t="str">
        <f t="shared" si="13"/>
        <v>GoldSolar Applied Materials Technology Corp.</v>
      </c>
    </row>
    <row r="565" spans="1:25" s="228" customFormat="1" ht="20.25">
      <c r="A565" s="404" t="s">
        <v>1321</v>
      </c>
      <c r="B565" s="396" t="s">
        <v>2323</v>
      </c>
      <c r="C565" s="397" t="s">
        <v>77</v>
      </c>
      <c r="D565" s="396" t="s">
        <v>77</v>
      </c>
      <c r="E565" s="396" t="s">
        <v>2249</v>
      </c>
      <c r="F565" s="396" t="s">
        <v>1321</v>
      </c>
      <c r="G565" s="396" t="s">
        <v>3125</v>
      </c>
      <c r="H565" s="405" t="s">
        <v>5223</v>
      </c>
      <c r="I565" s="399" t="s">
        <v>3297</v>
      </c>
      <c r="J565" s="399" t="s">
        <v>4284</v>
      </c>
      <c r="K565" s="405" t="s">
        <v>5224</v>
      </c>
      <c r="L565" s="405" t="s">
        <v>5225</v>
      </c>
      <c r="M565" s="405" t="s">
        <v>5226</v>
      </c>
      <c r="N565" s="405" t="s">
        <v>5227</v>
      </c>
      <c r="O565" s="405" t="s">
        <v>5057</v>
      </c>
      <c r="P565" s="405" t="s">
        <v>925</v>
      </c>
      <c r="Q565" s="250" t="s">
        <v>5047</v>
      </c>
      <c r="R565" s="233"/>
      <c r="S565" s="234">
        <f>IF(C565="",NA(),MATCH($B565&amp;$C565,'Smelter Reference List'!$J:$J,0))</f>
        <v>190</v>
      </c>
      <c r="T565" s="235"/>
      <c r="U565" s="235">
        <f t="shared" si="12"/>
        <v>0</v>
      </c>
      <c r="V565" s="235"/>
      <c r="W565" s="235"/>
      <c r="Y565" s="228" t="str">
        <f t="shared" si="13"/>
        <v>GoldSumitomo Metal Mining Co., Ltd.</v>
      </c>
    </row>
    <row r="566" spans="1:25" s="228" customFormat="1" ht="20.25">
      <c r="A566" s="404" t="s">
        <v>1322</v>
      </c>
      <c r="B566" s="396" t="s">
        <v>2323</v>
      </c>
      <c r="C566" s="397" t="s">
        <v>2457</v>
      </c>
      <c r="D566" s="396" t="s">
        <v>2457</v>
      </c>
      <c r="E566" s="396" t="s">
        <v>2249</v>
      </c>
      <c r="F566" s="396" t="s">
        <v>1322</v>
      </c>
      <c r="G566" s="396" t="s">
        <v>3125</v>
      </c>
      <c r="H566" s="405" t="s">
        <v>5228</v>
      </c>
      <c r="I566" s="399" t="s">
        <v>3299</v>
      </c>
      <c r="J566" s="399" t="s">
        <v>3300</v>
      </c>
      <c r="K566" s="405" t="s">
        <v>5229</v>
      </c>
      <c r="L566" s="405" t="s">
        <v>5230</v>
      </c>
      <c r="M566" s="405" t="s">
        <v>5172</v>
      </c>
      <c r="N566" s="405" t="s">
        <v>5231</v>
      </c>
      <c r="O566" s="405" t="s">
        <v>5057</v>
      </c>
      <c r="P566" s="405" t="s">
        <v>925</v>
      </c>
      <c r="Q566" s="250" t="s">
        <v>5047</v>
      </c>
      <c r="R566" s="233"/>
      <c r="S566" s="234">
        <f>IF(C566="",NA(),MATCH($B566&amp;$C566,'Smelter Reference List'!$J:$J,0))</f>
        <v>200</v>
      </c>
      <c r="T566" s="235"/>
      <c r="U566" s="235">
        <f t="shared" si="12"/>
        <v>0</v>
      </c>
      <c r="V566" s="235"/>
      <c r="W566" s="235"/>
      <c r="Y566" s="228" t="str">
        <f t="shared" si="13"/>
        <v>GoldTanaka Kikinzoku Kogyo K.K.</v>
      </c>
    </row>
    <row r="567" spans="1:25" s="228" customFormat="1" ht="25.5">
      <c r="A567" s="404" t="s">
        <v>1324</v>
      </c>
      <c r="B567" s="396" t="s">
        <v>2323</v>
      </c>
      <c r="C567" s="397" t="s">
        <v>4177</v>
      </c>
      <c r="D567" s="396" t="s">
        <v>4177</v>
      </c>
      <c r="E567" s="396" t="s">
        <v>2181</v>
      </c>
      <c r="F567" s="396" t="s">
        <v>1324</v>
      </c>
      <c r="G567" s="396" t="s">
        <v>3125</v>
      </c>
      <c r="H567" s="405" t="s">
        <v>5232</v>
      </c>
      <c r="I567" s="399" t="s">
        <v>3286</v>
      </c>
      <c r="J567" s="399" t="s">
        <v>3264</v>
      </c>
      <c r="K567" s="405" t="s">
        <v>5233</v>
      </c>
      <c r="L567" s="405" t="s">
        <v>5234</v>
      </c>
      <c r="M567" s="405" t="s">
        <v>5235</v>
      </c>
      <c r="N567" s="405" t="s">
        <v>5236</v>
      </c>
      <c r="O567" s="405" t="s">
        <v>5057</v>
      </c>
      <c r="P567" s="405" t="s">
        <v>925</v>
      </c>
      <c r="Q567" s="250" t="s">
        <v>5047</v>
      </c>
      <c r="R567" s="233"/>
      <c r="S567" s="234">
        <f>IF(C567="",NA(),MATCH($B567&amp;$C567,'Smelter Reference List'!$J:$J,0))</f>
        <v>204</v>
      </c>
      <c r="T567" s="235"/>
      <c r="U567" s="235">
        <f t="shared" si="12"/>
        <v>0</v>
      </c>
      <c r="V567" s="235"/>
      <c r="W567" s="235"/>
      <c r="Y567" s="228" t="str">
        <f t="shared" si="13"/>
        <v>GoldThe Refinery of Shandong Gold Mining Co., Ltd.</v>
      </c>
    </row>
    <row r="568" spans="1:25" s="228" customFormat="1" ht="20.25">
      <c r="A568" s="404" t="s">
        <v>1325</v>
      </c>
      <c r="B568" s="396" t="s">
        <v>2323</v>
      </c>
      <c r="C568" s="397" t="s">
        <v>4178</v>
      </c>
      <c r="D568" s="396" t="s">
        <v>4178</v>
      </c>
      <c r="E568" s="396" t="s">
        <v>2249</v>
      </c>
      <c r="F568" s="396" t="s">
        <v>1325</v>
      </c>
      <c r="G568" s="396" t="s">
        <v>3125</v>
      </c>
      <c r="H568" s="405" t="s">
        <v>5237</v>
      </c>
      <c r="I568" s="399" t="s">
        <v>3305</v>
      </c>
      <c r="J568" s="399" t="s">
        <v>3179</v>
      </c>
      <c r="K568" s="405" t="s">
        <v>5238</v>
      </c>
      <c r="L568" s="405" t="s">
        <v>5239</v>
      </c>
      <c r="M568" s="405" t="s">
        <v>5240</v>
      </c>
      <c r="N568" s="405" t="s">
        <v>5061</v>
      </c>
      <c r="O568" s="405" t="s">
        <v>5057</v>
      </c>
      <c r="P568" s="405" t="s">
        <v>925</v>
      </c>
      <c r="Q568" s="250" t="s">
        <v>5047</v>
      </c>
      <c r="R568" s="233"/>
      <c r="S568" s="234">
        <f>IF(C568="",NA(),MATCH($B568&amp;$C568,'Smelter Reference List'!$J:$J,0))</f>
        <v>205</v>
      </c>
      <c r="T568" s="235"/>
      <c r="U568" s="235">
        <f t="shared" si="12"/>
        <v>0</v>
      </c>
      <c r="V568" s="235"/>
      <c r="W568" s="235"/>
      <c r="Y568" s="228" t="str">
        <f t="shared" si="13"/>
        <v>GoldTokuriki Honten Co., Ltd.</v>
      </c>
    </row>
    <row r="569" spans="1:25" s="228" customFormat="1" ht="20.25">
      <c r="A569" s="404" t="s">
        <v>1327</v>
      </c>
      <c r="B569" s="396" t="s">
        <v>2323</v>
      </c>
      <c r="C569" s="397" t="s">
        <v>1170</v>
      </c>
      <c r="D569" s="396" t="s">
        <v>1170</v>
      </c>
      <c r="E569" s="396" t="s">
        <v>5017</v>
      </c>
      <c r="F569" s="396" t="s">
        <v>1327</v>
      </c>
      <c r="G569" s="396" t="s">
        <v>3125</v>
      </c>
      <c r="H569" s="405" t="s">
        <v>5024</v>
      </c>
      <c r="I569" s="399" t="s">
        <v>3310</v>
      </c>
      <c r="J569" s="399" t="s">
        <v>3311</v>
      </c>
      <c r="K569" s="406" t="s">
        <v>5024</v>
      </c>
      <c r="L569" s="406" t="s">
        <v>5241</v>
      </c>
      <c r="M569" s="406" t="s">
        <v>5024</v>
      </c>
      <c r="N569" s="406" t="s">
        <v>5024</v>
      </c>
      <c r="O569" s="406" t="s">
        <v>5024</v>
      </c>
      <c r="P569" s="406" t="s">
        <v>5024</v>
      </c>
      <c r="Q569" s="250" t="s">
        <v>5047</v>
      </c>
      <c r="R569" s="233"/>
      <c r="S569" s="234">
        <f>IF(C569="",NA(),MATCH($B569&amp;$C569,'Smelter Reference List'!$J:$J,0))</f>
        <v>210</v>
      </c>
      <c r="T569" s="235"/>
      <c r="U569" s="235">
        <f t="shared" si="12"/>
        <v>0</v>
      </c>
      <c r="V569" s="235"/>
      <c r="W569" s="235"/>
      <c r="Y569" s="228" t="str">
        <f t="shared" si="13"/>
        <v>GoldTorecom</v>
      </c>
    </row>
    <row r="570" spans="1:25" s="228" customFormat="1" ht="20.25">
      <c r="A570" s="404" t="s">
        <v>1328</v>
      </c>
      <c r="B570" s="396" t="s">
        <v>2323</v>
      </c>
      <c r="C570" s="397" t="s">
        <v>4179</v>
      </c>
      <c r="D570" s="396" t="s">
        <v>4179</v>
      </c>
      <c r="E570" s="396" t="s">
        <v>2170</v>
      </c>
      <c r="F570" s="396" t="s">
        <v>1328</v>
      </c>
      <c r="G570" s="396" t="s">
        <v>3125</v>
      </c>
      <c r="H570" s="405" t="s">
        <v>5055</v>
      </c>
      <c r="I570" s="399" t="s">
        <v>3312</v>
      </c>
      <c r="J570" s="399" t="s">
        <v>3313</v>
      </c>
      <c r="K570" s="405" t="s">
        <v>5055</v>
      </c>
      <c r="L570" s="405" t="s">
        <v>5055</v>
      </c>
      <c r="M570" s="405" t="s">
        <v>5055</v>
      </c>
      <c r="N570" s="405" t="s">
        <v>5055</v>
      </c>
      <c r="O570" s="405" t="s">
        <v>5057</v>
      </c>
      <c r="P570" s="405" t="s">
        <v>925</v>
      </c>
      <c r="Q570" s="250" t="s">
        <v>5047</v>
      </c>
      <c r="R570" s="233"/>
      <c r="S570" s="234">
        <f>IF(C570="",NA(),MATCH($B570&amp;$C570,'Smelter Reference List'!$J:$J,0))</f>
        <v>212</v>
      </c>
      <c r="T570" s="235"/>
      <c r="U570" s="235">
        <f t="shared" si="12"/>
        <v>0</v>
      </c>
      <c r="V570" s="235"/>
      <c r="W570" s="235"/>
      <c r="Y570" s="228" t="str">
        <f t="shared" si="13"/>
        <v>GoldUmicore Brasil Ltda.</v>
      </c>
    </row>
    <row r="571" spans="1:25" s="228" customFormat="1" ht="25.5">
      <c r="A571" s="404" t="s">
        <v>1329</v>
      </c>
      <c r="B571" s="396" t="s">
        <v>2323</v>
      </c>
      <c r="C571" s="397" t="s">
        <v>4724</v>
      </c>
      <c r="D571" s="396" t="s">
        <v>4724</v>
      </c>
      <c r="E571" s="396" t="s">
        <v>2158</v>
      </c>
      <c r="F571" s="396" t="s">
        <v>1329</v>
      </c>
      <c r="G571" s="396" t="s">
        <v>3125</v>
      </c>
      <c r="H571" s="248"/>
      <c r="I571" s="399" t="s">
        <v>3314</v>
      </c>
      <c r="J571" s="399" t="s">
        <v>3315</v>
      </c>
      <c r="K571" s="402"/>
      <c r="L571" s="402"/>
      <c r="M571" s="402"/>
      <c r="N571" s="402"/>
      <c r="O571" s="402"/>
      <c r="P571" s="402"/>
      <c r="Q571" s="250" t="s">
        <v>5047</v>
      </c>
      <c r="R571" s="233"/>
      <c r="S571" s="234">
        <f>IF(C571="",NA(),MATCH($B571&amp;$C571,'Smelter Reference List'!$J:$J,0))</f>
        <v>214</v>
      </c>
      <c r="T571" s="235"/>
      <c r="U571" s="235">
        <f t="shared" si="12"/>
        <v>0</v>
      </c>
      <c r="V571" s="235"/>
      <c r="W571" s="235"/>
      <c r="Y571" s="228" t="str">
        <f t="shared" si="13"/>
        <v>GoldUmicore S.A. Business Unit Precious Metals Refining</v>
      </c>
    </row>
    <row r="572" spans="1:25" s="228" customFormat="1" ht="20.25">
      <c r="A572" s="404" t="s">
        <v>1330</v>
      </c>
      <c r="B572" s="396" t="s">
        <v>2323</v>
      </c>
      <c r="C572" s="397" t="s">
        <v>1470</v>
      </c>
      <c r="D572" s="396" t="s">
        <v>1470</v>
      </c>
      <c r="E572" s="396" t="s">
        <v>5016</v>
      </c>
      <c r="F572" s="396" t="s">
        <v>1330</v>
      </c>
      <c r="G572" s="396" t="s">
        <v>3125</v>
      </c>
      <c r="H572" s="248" t="s">
        <v>3316</v>
      </c>
      <c r="I572" s="399" t="s">
        <v>3316</v>
      </c>
      <c r="J572" s="399" t="s">
        <v>3230</v>
      </c>
      <c r="K572" s="405" t="s">
        <v>5242</v>
      </c>
      <c r="L572" s="405" t="s">
        <v>5243</v>
      </c>
      <c r="M572" s="405" t="s">
        <v>5055</v>
      </c>
      <c r="N572" s="405" t="s">
        <v>5149</v>
      </c>
      <c r="O572" s="405" t="s">
        <v>5139</v>
      </c>
      <c r="P572" s="405" t="s">
        <v>924</v>
      </c>
      <c r="Q572" s="250" t="s">
        <v>5047</v>
      </c>
      <c r="R572" s="233"/>
      <c r="S572" s="234">
        <f>IF(C572="",NA(),MATCH($B572&amp;$C572,'Smelter Reference List'!$J:$J,0))</f>
        <v>215</v>
      </c>
      <c r="T572" s="235"/>
      <c r="U572" s="235">
        <f t="shared" si="12"/>
        <v>0</v>
      </c>
      <c r="V572" s="235"/>
      <c r="W572" s="235"/>
      <c r="Y572" s="228" t="str">
        <f t="shared" si="13"/>
        <v>GoldUnited Precious Metal Refining, Inc.</v>
      </c>
    </row>
    <row r="573" spans="1:25" s="228" customFormat="1" ht="20.25">
      <c r="A573" s="404" t="s">
        <v>1331</v>
      </c>
      <c r="B573" s="396" t="s">
        <v>2323</v>
      </c>
      <c r="C573" s="397" t="s">
        <v>4728</v>
      </c>
      <c r="D573" s="396" t="s">
        <v>4728</v>
      </c>
      <c r="E573" s="396" t="s">
        <v>2179</v>
      </c>
      <c r="F573" s="396" t="s">
        <v>1331</v>
      </c>
      <c r="G573" s="396" t="s">
        <v>3125</v>
      </c>
      <c r="H573" s="248" t="s">
        <v>3317</v>
      </c>
      <c r="I573" s="399" t="s">
        <v>3317</v>
      </c>
      <c r="J573" s="399" t="s">
        <v>3138</v>
      </c>
      <c r="K573" s="405" t="s">
        <v>5244</v>
      </c>
      <c r="L573" s="405" t="s">
        <v>5245</v>
      </c>
      <c r="M573" s="405" t="s">
        <v>5246</v>
      </c>
      <c r="N573" s="405" t="s">
        <v>5052</v>
      </c>
      <c r="O573" s="405" t="s">
        <v>5053</v>
      </c>
      <c r="P573" s="405" t="s">
        <v>925</v>
      </c>
      <c r="Q573" s="250" t="s">
        <v>5047</v>
      </c>
      <c r="R573" s="233"/>
      <c r="S573" s="234">
        <f>IF(C573="",NA(),MATCH($B573&amp;$C573,'Smelter Reference List'!$J:$J,0))</f>
        <v>217</v>
      </c>
      <c r="T573" s="235"/>
      <c r="U573" s="235">
        <f t="shared" si="12"/>
        <v>0</v>
      </c>
      <c r="V573" s="235"/>
      <c r="W573" s="235"/>
      <c r="Y573" s="228" t="str">
        <f t="shared" si="13"/>
        <v>GoldValcambi S.A.</v>
      </c>
    </row>
    <row r="574" spans="1:25" s="228" customFormat="1" ht="25.5">
      <c r="A574" s="404" t="s">
        <v>1332</v>
      </c>
      <c r="B574" s="396" t="s">
        <v>2323</v>
      </c>
      <c r="C574" s="397" t="s">
        <v>2322</v>
      </c>
      <c r="D574" s="396" t="s">
        <v>2322</v>
      </c>
      <c r="E574" s="396" t="s">
        <v>2154</v>
      </c>
      <c r="F574" s="396" t="s">
        <v>1332</v>
      </c>
      <c r="G574" s="396" t="s">
        <v>3125</v>
      </c>
      <c r="H574" s="248" t="s">
        <v>3318</v>
      </c>
      <c r="I574" s="399" t="s">
        <v>3318</v>
      </c>
      <c r="J574" s="399" t="s">
        <v>3319</v>
      </c>
      <c r="K574" s="405" t="s">
        <v>5247</v>
      </c>
      <c r="L574" s="405" t="s">
        <v>5248</v>
      </c>
      <c r="M574" s="405" t="s">
        <v>5249</v>
      </c>
      <c r="N574" s="405" t="s">
        <v>5250</v>
      </c>
      <c r="O574" s="405" t="s">
        <v>5057</v>
      </c>
      <c r="P574" s="405" t="s">
        <v>925</v>
      </c>
      <c r="Q574" s="250" t="s">
        <v>5047</v>
      </c>
      <c r="R574" s="233"/>
      <c r="S574" s="234">
        <f>IF(C574="",NA(),MATCH($B574&amp;$C574,'Smelter Reference List'!$J:$J,0))</f>
        <v>218</v>
      </c>
      <c r="T574" s="235"/>
      <c r="U574" s="235">
        <f t="shared" si="12"/>
        <v>0</v>
      </c>
      <c r="V574" s="235"/>
      <c r="W574" s="235"/>
      <c r="Y574" s="228" t="str">
        <f t="shared" si="13"/>
        <v>GoldWestern Australian Mint trading as The Perth Mint</v>
      </c>
    </row>
    <row r="575" spans="1:25" s="228" customFormat="1" ht="20.25">
      <c r="A575" s="404" t="s">
        <v>1333</v>
      </c>
      <c r="B575" s="396" t="s">
        <v>2323</v>
      </c>
      <c r="C575" s="397" t="s">
        <v>4181</v>
      </c>
      <c r="D575" s="396" t="s">
        <v>4181</v>
      </c>
      <c r="E575" s="396" t="s">
        <v>2249</v>
      </c>
      <c r="F575" s="396" t="s">
        <v>1333</v>
      </c>
      <c r="G575" s="396" t="s">
        <v>3125</v>
      </c>
      <c r="H575" s="248" t="s">
        <v>3201</v>
      </c>
      <c r="I575" s="399" t="s">
        <v>3201</v>
      </c>
      <c r="J575" s="399" t="s">
        <v>3202</v>
      </c>
      <c r="K575" s="405" t="s">
        <v>5251</v>
      </c>
      <c r="L575" s="405" t="s">
        <v>5252</v>
      </c>
      <c r="M575" s="405" t="s">
        <v>5253</v>
      </c>
      <c r="N575" s="405" t="s">
        <v>5045</v>
      </c>
      <c r="O575" s="405" t="s">
        <v>5046</v>
      </c>
      <c r="P575" s="405" t="s">
        <v>925</v>
      </c>
      <c r="Q575" s="250" t="s">
        <v>5047</v>
      </c>
      <c r="R575" s="233"/>
      <c r="S575" s="234">
        <f>IF(C575="",NA(),MATCH($B575&amp;$C575,'Smelter Reference List'!$J:$J,0))</f>
        <v>222</v>
      </c>
      <c r="T575" s="235"/>
      <c r="U575" s="235">
        <f t="shared" si="12"/>
        <v>0</v>
      </c>
      <c r="V575" s="235"/>
      <c r="W575" s="235"/>
      <c r="Y575" s="228" t="str">
        <f t="shared" si="13"/>
        <v>GoldYamamoto Precious Metal Co., Ltd.</v>
      </c>
    </row>
    <row r="576" spans="1:25" s="228" customFormat="1" ht="20.25">
      <c r="A576" s="404" t="s">
        <v>1334</v>
      </c>
      <c r="B576" s="396" t="s">
        <v>2323</v>
      </c>
      <c r="C576" s="397" t="s">
        <v>4182</v>
      </c>
      <c r="D576" s="396" t="s">
        <v>4182</v>
      </c>
      <c r="E576" s="396" t="s">
        <v>2249</v>
      </c>
      <c r="F576" s="396" t="s">
        <v>1334</v>
      </c>
      <c r="G576" s="396" t="s">
        <v>3125</v>
      </c>
      <c r="H576" s="248" t="s">
        <v>3325</v>
      </c>
      <c r="I576" s="399" t="s">
        <v>3325</v>
      </c>
      <c r="J576" s="399" t="s">
        <v>3300</v>
      </c>
      <c r="K576" s="405" t="s">
        <v>5254</v>
      </c>
      <c r="L576" s="405" t="s">
        <v>5255</v>
      </c>
      <c r="M576" s="405" t="s">
        <v>5055</v>
      </c>
      <c r="N576" s="405" t="s">
        <v>5055</v>
      </c>
      <c r="O576" s="405" t="s">
        <v>5139</v>
      </c>
      <c r="P576" s="405" t="s">
        <v>924</v>
      </c>
      <c r="Q576" s="250" t="s">
        <v>5047</v>
      </c>
      <c r="R576" s="233"/>
      <c r="S576" s="234">
        <f>IF(C576="",NA(),MATCH($B576&amp;$C576,'Smelter Reference List'!$J:$J,0))</f>
        <v>225</v>
      </c>
      <c r="T576" s="235"/>
      <c r="U576" s="235">
        <f t="shared" si="12"/>
        <v>0</v>
      </c>
      <c r="V576" s="235"/>
      <c r="W576" s="235"/>
      <c r="Y576" s="228" t="str">
        <f t="shared" si="13"/>
        <v>GoldYokohama Metal Co., Ltd.</v>
      </c>
    </row>
    <row r="577" spans="1:25" s="228" customFormat="1" ht="25.5">
      <c r="A577" s="404" t="s">
        <v>1336</v>
      </c>
      <c r="B577" s="396" t="s">
        <v>2323</v>
      </c>
      <c r="C577" s="397" t="s">
        <v>2575</v>
      </c>
      <c r="D577" s="396" t="s">
        <v>2575</v>
      </c>
      <c r="E577" s="396" t="s">
        <v>2181</v>
      </c>
      <c r="F577" s="396" t="s">
        <v>1336</v>
      </c>
      <c r="G577" s="396" t="s">
        <v>3125</v>
      </c>
      <c r="H577" s="248" t="s">
        <v>3326</v>
      </c>
      <c r="I577" s="399" t="s">
        <v>3326</v>
      </c>
      <c r="J577" s="399" t="s">
        <v>3224</v>
      </c>
      <c r="K577" s="405" t="s">
        <v>5256</v>
      </c>
      <c r="L577" s="405" t="s">
        <v>5257</v>
      </c>
      <c r="M577" s="405" t="s">
        <v>5258</v>
      </c>
      <c r="N577" s="405" t="s">
        <v>5052</v>
      </c>
      <c r="O577" s="405" t="s">
        <v>5057</v>
      </c>
      <c r="P577" s="405" t="s">
        <v>925</v>
      </c>
      <c r="Q577" s="250" t="s">
        <v>5047</v>
      </c>
      <c r="R577" s="233"/>
      <c r="S577" s="234">
        <f>IF(C577="",NA(),MATCH($B577&amp;$C577,'Smelter Reference List'!$J:$J,0))</f>
        <v>234</v>
      </c>
      <c r="T577" s="235"/>
      <c r="U577" s="235">
        <f t="shared" si="12"/>
        <v>0</v>
      </c>
      <c r="V577" s="235"/>
      <c r="W577" s="235"/>
      <c r="Y577" s="228" t="str">
        <f t="shared" si="13"/>
        <v>GoldZhongyuan Gold Smelter of Zhongjin Gold Corporation</v>
      </c>
    </row>
    <row r="578" spans="1:25" s="228" customFormat="1" ht="20.25">
      <c r="A578" s="404" t="s">
        <v>208</v>
      </c>
      <c r="B578" s="396" t="s">
        <v>2323</v>
      </c>
      <c r="C578" s="397" t="s">
        <v>207</v>
      </c>
      <c r="D578" s="396" t="s">
        <v>207</v>
      </c>
      <c r="E578" s="396" t="s">
        <v>1743</v>
      </c>
      <c r="F578" s="396" t="s">
        <v>208</v>
      </c>
      <c r="G578" s="396" t="s">
        <v>3125</v>
      </c>
      <c r="H578" s="248" t="s">
        <v>3337</v>
      </c>
      <c r="I578" s="399" t="s">
        <v>3337</v>
      </c>
      <c r="J578" s="399" t="s">
        <v>3338</v>
      </c>
      <c r="K578" s="405" t="s">
        <v>5055</v>
      </c>
      <c r="L578" s="405" t="s">
        <v>5055</v>
      </c>
      <c r="M578" s="405" t="s">
        <v>5055</v>
      </c>
      <c r="N578" s="405" t="s">
        <v>5055</v>
      </c>
      <c r="O578" s="405" t="s">
        <v>5053</v>
      </c>
      <c r="P578" s="405" t="s">
        <v>925</v>
      </c>
      <c r="Q578" s="250" t="s">
        <v>5047</v>
      </c>
      <c r="R578" s="233"/>
      <c r="S578" s="234">
        <f>IF(C578="",NA(),MATCH($B578&amp;$C578,'Smelter Reference List'!$J:$J,0))</f>
        <v>213</v>
      </c>
      <c r="T578" s="235"/>
      <c r="U578" s="235">
        <f t="shared" si="12"/>
        <v>0</v>
      </c>
      <c r="V578" s="235"/>
      <c r="W578" s="235"/>
      <c r="Y578" s="228" t="str">
        <f t="shared" si="13"/>
        <v>GoldUmicore Precious Metals Thailand</v>
      </c>
    </row>
    <row r="579" spans="1:25" s="228" customFormat="1" ht="20.25">
      <c r="A579" s="404" t="s">
        <v>2691</v>
      </c>
      <c r="B579" s="396" t="s">
        <v>2323</v>
      </c>
      <c r="C579" s="397" t="s">
        <v>4191</v>
      </c>
      <c r="D579" s="396" t="s">
        <v>4191</v>
      </c>
      <c r="E579" s="396" t="s">
        <v>2239</v>
      </c>
      <c r="F579" s="396" t="s">
        <v>2691</v>
      </c>
      <c r="G579" s="396" t="s">
        <v>3125</v>
      </c>
      <c r="H579" s="398">
        <v>0</v>
      </c>
      <c r="I579" s="399" t="s">
        <v>3345</v>
      </c>
      <c r="J579" s="399" t="s">
        <v>3346</v>
      </c>
      <c r="K579" s="402"/>
      <c r="L579" s="402"/>
      <c r="M579" s="402"/>
      <c r="N579" s="402"/>
      <c r="O579" s="402"/>
      <c r="P579" s="402"/>
      <c r="Q579" s="250" t="s">
        <v>5047</v>
      </c>
      <c r="R579" s="233"/>
      <c r="S579" s="234">
        <f>IF(C579="",NA(),MATCH($B579&amp;$C579,'Smelter Reference List'!$J:$J,0))</f>
        <v>131</v>
      </c>
      <c r="T579" s="235"/>
      <c r="U579" s="235">
        <f t="shared" si="12"/>
        <v>0</v>
      </c>
      <c r="V579" s="235"/>
      <c r="W579" s="235"/>
      <c r="Y579" s="228" t="str">
        <f t="shared" si="13"/>
        <v>GoldMMTC-PAMP India Pvt., Ltd.</v>
      </c>
    </row>
    <row r="580" spans="1:25" s="228" customFormat="1" ht="20.25">
      <c r="A580" s="404" t="s">
        <v>2693</v>
      </c>
      <c r="B580" s="396" t="s">
        <v>2323</v>
      </c>
      <c r="C580" s="397" t="s">
        <v>2692</v>
      </c>
      <c r="D580" s="396" t="s">
        <v>2692</v>
      </c>
      <c r="E580" s="396" t="s">
        <v>5016</v>
      </c>
      <c r="F580" s="396" t="s">
        <v>2693</v>
      </c>
      <c r="G580" s="396" t="s">
        <v>3125</v>
      </c>
      <c r="H580" s="405" t="s">
        <v>5259</v>
      </c>
      <c r="I580" s="399" t="s">
        <v>3347</v>
      </c>
      <c r="J580" s="399" t="s">
        <v>3348</v>
      </c>
      <c r="K580" s="405" t="s">
        <v>5260</v>
      </c>
      <c r="L580" s="405" t="s">
        <v>5261</v>
      </c>
      <c r="M580" s="405" t="s">
        <v>5055</v>
      </c>
      <c r="N580" s="405" t="s">
        <v>5061</v>
      </c>
      <c r="O580" s="405" t="s">
        <v>5053</v>
      </c>
      <c r="P580" s="405" t="s">
        <v>925</v>
      </c>
      <c r="Q580" s="250" t="s">
        <v>5047</v>
      </c>
      <c r="R580" s="233"/>
      <c r="S580" s="234">
        <f>IF(C580="",NA(),MATCH($B580&amp;$C580,'Smelter Reference List'!$J:$J,0))</f>
        <v>158</v>
      </c>
      <c r="T580" s="235"/>
      <c r="U580" s="235">
        <f t="shared" si="12"/>
        <v>0</v>
      </c>
      <c r="V580" s="235"/>
      <c r="W580" s="235"/>
      <c r="Y580" s="228" t="str">
        <f t="shared" si="13"/>
        <v>GoldRepublic Metals Corporation</v>
      </c>
    </row>
    <row r="581" spans="1:25" s="228" customFormat="1" ht="25.5">
      <c r="A581" s="404" t="s">
        <v>2696</v>
      </c>
      <c r="B581" s="396" t="s">
        <v>2323</v>
      </c>
      <c r="C581" s="397" t="s">
        <v>2695</v>
      </c>
      <c r="D581" s="396" t="s">
        <v>2695</v>
      </c>
      <c r="E581" s="396" t="s">
        <v>5018</v>
      </c>
      <c r="F581" s="396" t="s">
        <v>2696</v>
      </c>
      <c r="G581" s="396" t="s">
        <v>3125</v>
      </c>
      <c r="H581" s="398">
        <v>0</v>
      </c>
      <c r="I581" s="399" t="s">
        <v>3353</v>
      </c>
      <c r="J581" s="399" t="s">
        <v>3354</v>
      </c>
      <c r="K581" s="402"/>
      <c r="L581" s="402"/>
      <c r="M581" s="402"/>
      <c r="N581" s="402"/>
      <c r="O581" s="402"/>
      <c r="P581" s="402"/>
      <c r="Q581" s="250" t="s">
        <v>5047</v>
      </c>
      <c r="R581" s="233"/>
      <c r="S581" s="234">
        <f>IF(C581="",NA(),MATCH($B581&amp;$C581,'Smelter Reference List'!$J:$J,0))</f>
        <v>181</v>
      </c>
      <c r="T581" s="235"/>
      <c r="U581" s="235">
        <f t="shared" si="12"/>
        <v>0</v>
      </c>
      <c r="V581" s="235"/>
      <c r="W581" s="235"/>
      <c r="Y581" s="228" t="str">
        <f t="shared" si="13"/>
        <v>GoldSingway Technology Co., Ltd.</v>
      </c>
    </row>
    <row r="582" spans="1:25" s="228" customFormat="1" ht="20.25">
      <c r="A582" s="404" t="s">
        <v>3366</v>
      </c>
      <c r="B582" s="396" t="s">
        <v>2323</v>
      </c>
      <c r="C582" s="397" t="s">
        <v>4291</v>
      </c>
      <c r="D582" s="396" t="s">
        <v>4291</v>
      </c>
      <c r="E582" s="396" t="s">
        <v>2246</v>
      </c>
      <c r="F582" s="396" t="s">
        <v>3366</v>
      </c>
      <c r="G582" s="396" t="s">
        <v>3125</v>
      </c>
      <c r="H582" s="398">
        <v>0</v>
      </c>
      <c r="I582" s="399" t="s">
        <v>3367</v>
      </c>
      <c r="J582" s="399" t="s">
        <v>3164</v>
      </c>
      <c r="K582" s="402"/>
      <c r="L582" s="402"/>
      <c r="M582" s="402"/>
      <c r="N582" s="402"/>
      <c r="O582" s="402"/>
      <c r="P582" s="402"/>
      <c r="Q582" s="250" t="s">
        <v>5047</v>
      </c>
      <c r="R582" s="233"/>
      <c r="S582" s="234">
        <f>IF(C582="",NA(),MATCH($B582&amp;$C582,'Smelter Reference List'!$J:$J,0))</f>
        <v>191</v>
      </c>
      <c r="T582" s="235"/>
      <c r="U582" s="235">
        <f t="shared" ref="U582:U645" si="14">IF(AND(C582="Smelter not listed",OR(LEN(D582)=0,LEN(E582)=0)),1,0)</f>
        <v>0</v>
      </c>
      <c r="V582" s="235"/>
      <c r="W582" s="235"/>
      <c r="Y582" s="228" t="str">
        <f t="shared" ref="Y582:Y645" si="15">B582&amp;C582</f>
        <v>GoldT.C.A S.p.A</v>
      </c>
    </row>
    <row r="583" spans="1:25" s="228" customFormat="1" ht="25.5">
      <c r="A583" s="404" t="s">
        <v>4275</v>
      </c>
      <c r="B583" s="396" t="s">
        <v>2323</v>
      </c>
      <c r="C583" s="397" t="s">
        <v>4272</v>
      </c>
      <c r="D583" s="396" t="s">
        <v>4272</v>
      </c>
      <c r="E583" s="396" t="s">
        <v>2155</v>
      </c>
      <c r="F583" s="396" t="s">
        <v>4275</v>
      </c>
      <c r="G583" s="396" t="s">
        <v>3125</v>
      </c>
      <c r="H583" s="398">
        <v>0</v>
      </c>
      <c r="I583" s="399" t="s">
        <v>4276</v>
      </c>
      <c r="J583" s="399" t="s">
        <v>4276</v>
      </c>
      <c r="K583" s="402"/>
      <c r="L583" s="402"/>
      <c r="M583" s="402"/>
      <c r="N583" s="402"/>
      <c r="O583" s="402"/>
      <c r="P583" s="402"/>
      <c r="Q583" s="250" t="s">
        <v>5047</v>
      </c>
      <c r="R583" s="233"/>
      <c r="S583" s="234">
        <f>IF(C583="",NA(),MATCH($B583&amp;$C583,'Smelter Reference List'!$J:$J,0))</f>
        <v>139</v>
      </c>
      <c r="T583" s="235"/>
      <c r="U583" s="235">
        <f t="shared" si="14"/>
        <v>0</v>
      </c>
      <c r="V583" s="235"/>
      <c r="W583" s="235"/>
      <c r="Y583" s="228" t="str">
        <f t="shared" si="15"/>
        <v>GoldÖgussa Österreichische Gold- und Silber-Scheideanstalt GmbH</v>
      </c>
    </row>
    <row r="584" spans="1:25" s="228" customFormat="1" ht="20.25">
      <c r="A584" s="404" t="s">
        <v>1338</v>
      </c>
      <c r="B584" s="396" t="s">
        <v>2325</v>
      </c>
      <c r="C584" s="397" t="s">
        <v>3</v>
      </c>
      <c r="D584" s="396" t="s">
        <v>3</v>
      </c>
      <c r="E584" s="396" t="s">
        <v>2181</v>
      </c>
      <c r="F584" s="396" t="s">
        <v>1338</v>
      </c>
      <c r="G584" s="396" t="s">
        <v>3125</v>
      </c>
      <c r="H584" s="405" t="s">
        <v>5262</v>
      </c>
      <c r="I584" s="399" t="s">
        <v>3194</v>
      </c>
      <c r="J584" s="399" t="s">
        <v>3186</v>
      </c>
      <c r="K584" s="405" t="s">
        <v>5263</v>
      </c>
      <c r="L584" s="405" t="s">
        <v>5264</v>
      </c>
      <c r="M584" s="405" t="s">
        <v>5265</v>
      </c>
      <c r="N584" s="405" t="s">
        <v>5045</v>
      </c>
      <c r="O584" s="405" t="s">
        <v>5266</v>
      </c>
      <c r="P584" s="405" t="s">
        <v>925</v>
      </c>
      <c r="Q584" s="250" t="s">
        <v>5047</v>
      </c>
      <c r="R584" s="233"/>
      <c r="S584" s="234">
        <f>IF(C584="",NA(),MATCH($B584&amp;$C584,'Smelter Reference List'!$J:$J,0))</f>
        <v>240</v>
      </c>
      <c r="T584" s="235"/>
      <c r="U584" s="235">
        <f t="shared" si="14"/>
        <v>0</v>
      </c>
      <c r="V584" s="235"/>
      <c r="W584" s="235"/>
      <c r="Y584" s="228" t="str">
        <f t="shared" si="15"/>
        <v>TantalumChangsha South Tantalum Niobium Co., Ltd.</v>
      </c>
    </row>
    <row r="585" spans="1:25" s="228" customFormat="1" ht="20.25">
      <c r="A585" s="404" t="s">
        <v>1339</v>
      </c>
      <c r="B585" s="396" t="s">
        <v>2325</v>
      </c>
      <c r="C585" s="397" t="s">
        <v>2374</v>
      </c>
      <c r="D585" s="396" t="s">
        <v>2374</v>
      </c>
      <c r="E585" s="396" t="s">
        <v>2181</v>
      </c>
      <c r="F585" s="396" t="s">
        <v>1339</v>
      </c>
      <c r="G585" s="396" t="s">
        <v>3125</v>
      </c>
      <c r="H585" s="405" t="s">
        <v>5267</v>
      </c>
      <c r="I585" s="399" t="s">
        <v>3371</v>
      </c>
      <c r="J585" s="399" t="s">
        <v>3335</v>
      </c>
      <c r="K585" s="405" t="s">
        <v>4775</v>
      </c>
      <c r="L585" s="405" t="s">
        <v>4775</v>
      </c>
      <c r="M585" s="405" t="s">
        <v>5268</v>
      </c>
      <c r="N585" s="405" t="s">
        <v>5052</v>
      </c>
      <c r="O585" s="405" t="s">
        <v>5269</v>
      </c>
      <c r="P585" s="405" t="s">
        <v>925</v>
      </c>
      <c r="Q585" s="250" t="s">
        <v>5047</v>
      </c>
      <c r="R585" s="233"/>
      <c r="S585" s="234">
        <f>IF(C585="",NA(),MATCH($B585&amp;$C585,'Smelter Reference List'!$J:$J,0))</f>
        <v>242</v>
      </c>
      <c r="T585" s="235"/>
      <c r="U585" s="235">
        <f t="shared" si="14"/>
        <v>0</v>
      </c>
      <c r="V585" s="235"/>
      <c r="W585" s="235"/>
      <c r="Y585" s="228" t="str">
        <f t="shared" si="15"/>
        <v>TantalumConghua Tantalum and Niobium Smeltry</v>
      </c>
    </row>
    <row r="586" spans="1:25" s="228" customFormat="1" ht="20.25">
      <c r="A586" s="404" t="s">
        <v>1340</v>
      </c>
      <c r="B586" s="396" t="s">
        <v>2325</v>
      </c>
      <c r="C586" s="397" t="s">
        <v>2370</v>
      </c>
      <c r="D586" s="396" t="s">
        <v>2370</v>
      </c>
      <c r="E586" s="396" t="s">
        <v>2181</v>
      </c>
      <c r="F586" s="396" t="s">
        <v>1340</v>
      </c>
      <c r="G586" s="396" t="s">
        <v>3125</v>
      </c>
      <c r="H586" s="405" t="s">
        <v>5270</v>
      </c>
      <c r="I586" s="399" t="s">
        <v>3372</v>
      </c>
      <c r="J586" s="399" t="s">
        <v>3335</v>
      </c>
      <c r="K586" s="405" t="s">
        <v>5055</v>
      </c>
      <c r="L586" s="405" t="s">
        <v>5271</v>
      </c>
      <c r="M586" s="405"/>
      <c r="N586" s="405" t="s">
        <v>5213</v>
      </c>
      <c r="O586" s="405" t="s">
        <v>5272</v>
      </c>
      <c r="P586" s="405" t="s">
        <v>925</v>
      </c>
      <c r="Q586" s="250" t="s">
        <v>5047</v>
      </c>
      <c r="R586" s="233"/>
      <c r="S586" s="234">
        <f>IF(C586="",NA(),MATCH($B586&amp;$C586,'Smelter Reference List'!$J:$J,0))</f>
        <v>245</v>
      </c>
      <c r="T586" s="235"/>
      <c r="U586" s="235">
        <f t="shared" si="14"/>
        <v>0</v>
      </c>
      <c r="V586" s="235"/>
      <c r="W586" s="235"/>
      <c r="Y586" s="228" t="str">
        <f t="shared" si="15"/>
        <v>TantalumDuoluoshan</v>
      </c>
    </row>
    <row r="587" spans="1:25" s="228" customFormat="1" ht="20.25">
      <c r="A587" s="404" t="s">
        <v>1341</v>
      </c>
      <c r="B587" s="396" t="s">
        <v>2325</v>
      </c>
      <c r="C587" s="397" t="s">
        <v>2307</v>
      </c>
      <c r="D587" s="396" t="s">
        <v>2307</v>
      </c>
      <c r="E587" s="396" t="s">
        <v>5016</v>
      </c>
      <c r="F587" s="396" t="s">
        <v>1341</v>
      </c>
      <c r="G587" s="396" t="s">
        <v>3125</v>
      </c>
      <c r="H587" s="405" t="s">
        <v>5273</v>
      </c>
      <c r="I587" s="399" t="s">
        <v>3373</v>
      </c>
      <c r="J587" s="399" t="s">
        <v>3348</v>
      </c>
      <c r="K587" s="405" t="s">
        <v>5274</v>
      </c>
      <c r="L587" s="405" t="s">
        <v>5275</v>
      </c>
      <c r="M587" s="405" t="s">
        <v>5055</v>
      </c>
      <c r="N587" s="405" t="s">
        <v>5055</v>
      </c>
      <c r="O587" s="405" t="s">
        <v>5046</v>
      </c>
      <c r="P587" s="405" t="s">
        <v>925</v>
      </c>
      <c r="Q587" s="250" t="s">
        <v>5047</v>
      </c>
      <c r="R587" s="233"/>
      <c r="S587" s="234">
        <f>IF(C587="",NA(),MATCH($B587&amp;$C587,'Smelter Reference List'!$J:$J,0))</f>
        <v>247</v>
      </c>
      <c r="T587" s="235"/>
      <c r="U587" s="235">
        <f t="shared" si="14"/>
        <v>0</v>
      </c>
      <c r="V587" s="235"/>
      <c r="W587" s="235"/>
      <c r="Y587" s="228" t="str">
        <f t="shared" si="15"/>
        <v>TantalumExotech Inc.</v>
      </c>
    </row>
    <row r="588" spans="1:25" s="228" customFormat="1" ht="20.25">
      <c r="A588" s="404" t="s">
        <v>1342</v>
      </c>
      <c r="B588" s="396" t="s">
        <v>2325</v>
      </c>
      <c r="C588" s="397" t="s">
        <v>63</v>
      </c>
      <c r="D588" s="396" t="s">
        <v>63</v>
      </c>
      <c r="E588" s="396" t="s">
        <v>2181</v>
      </c>
      <c r="F588" s="396" t="s">
        <v>1342</v>
      </c>
      <c r="G588" s="396" t="s">
        <v>3125</v>
      </c>
      <c r="H588" s="405" t="s">
        <v>5276</v>
      </c>
      <c r="I588" s="399" t="s">
        <v>3374</v>
      </c>
      <c r="J588" s="399" t="s">
        <v>3335</v>
      </c>
      <c r="K588" s="405" t="s">
        <v>5277</v>
      </c>
      <c r="L588" s="405" t="s">
        <v>5278</v>
      </c>
      <c r="M588" s="405" t="s">
        <v>5279</v>
      </c>
      <c r="N588" s="405" t="s">
        <v>5052</v>
      </c>
      <c r="O588" s="405" t="s">
        <v>5280</v>
      </c>
      <c r="P588" s="405" t="s">
        <v>925</v>
      </c>
      <c r="Q588" s="250" t="s">
        <v>5047</v>
      </c>
      <c r="R588" s="233"/>
      <c r="S588" s="234">
        <f>IF(C588="",NA(),MATCH($B588&amp;$C588,'Smelter Reference List'!$J:$J,0))</f>
        <v>249</v>
      </c>
      <c r="T588" s="235"/>
      <c r="U588" s="235">
        <f t="shared" si="14"/>
        <v>0</v>
      </c>
      <c r="V588" s="235"/>
      <c r="W588" s="235"/>
      <c r="Y588" s="228" t="str">
        <f t="shared" si="15"/>
        <v>TantalumF&amp;X Electro-Materials Ltd.</v>
      </c>
    </row>
    <row r="589" spans="1:25" s="228" customFormat="1" ht="20.25">
      <c r="A589" s="404" t="s">
        <v>1344</v>
      </c>
      <c r="B589" s="396" t="s">
        <v>2325</v>
      </c>
      <c r="C589" s="397" t="s">
        <v>1343</v>
      </c>
      <c r="D589" s="396" t="s">
        <v>1343</v>
      </c>
      <c r="E589" s="396" t="s">
        <v>2181</v>
      </c>
      <c r="F589" s="396" t="s">
        <v>1344</v>
      </c>
      <c r="G589" s="396" t="s">
        <v>3125</v>
      </c>
      <c r="H589" s="405" t="s">
        <v>5055</v>
      </c>
      <c r="I589" s="399" t="s">
        <v>3376</v>
      </c>
      <c r="J589" s="399" t="s">
        <v>3335</v>
      </c>
      <c r="K589" s="405" t="s">
        <v>5055</v>
      </c>
      <c r="L589" s="405" t="s">
        <v>5055</v>
      </c>
      <c r="M589" s="405" t="s">
        <v>5055</v>
      </c>
      <c r="N589" s="405" t="s">
        <v>5055</v>
      </c>
      <c r="O589" s="405" t="s">
        <v>5280</v>
      </c>
      <c r="P589" s="405" t="s">
        <v>925</v>
      </c>
      <c r="Q589" s="250" t="s">
        <v>5047</v>
      </c>
      <c r="R589" s="233"/>
      <c r="S589" s="234">
        <f>IF(C589="",NA(),MATCH($B589&amp;$C589,'Smelter Reference List'!$J:$J,0))</f>
        <v>253</v>
      </c>
      <c r="T589" s="235"/>
      <c r="U589" s="235">
        <f t="shared" si="14"/>
        <v>0</v>
      </c>
      <c r="V589" s="235"/>
      <c r="W589" s="235"/>
      <c r="Y589" s="228" t="str">
        <f t="shared" si="15"/>
        <v>TantalumGuangdong Zhiyuan New Material Co., Ltd.</v>
      </c>
    </row>
    <row r="590" spans="1:25" s="228" customFormat="1" ht="20.25">
      <c r="A590" s="404" t="s">
        <v>1345</v>
      </c>
      <c r="B590" s="396" t="s">
        <v>2325</v>
      </c>
      <c r="C590" s="397" t="s">
        <v>3377</v>
      </c>
      <c r="D590" s="396" t="s">
        <v>3377</v>
      </c>
      <c r="E590" s="396" t="s">
        <v>5016</v>
      </c>
      <c r="F590" s="396" t="s">
        <v>1345</v>
      </c>
      <c r="G590" s="396" t="s">
        <v>3125</v>
      </c>
      <c r="H590" s="405" t="s">
        <v>5055</v>
      </c>
      <c r="I590" s="399" t="s">
        <v>3378</v>
      </c>
      <c r="J590" s="399" t="s">
        <v>3230</v>
      </c>
      <c r="K590" s="405" t="s">
        <v>5055</v>
      </c>
      <c r="L590" s="405" t="s">
        <v>5055</v>
      </c>
      <c r="M590" s="405" t="s">
        <v>5281</v>
      </c>
      <c r="N590" s="405" t="s">
        <v>5055</v>
      </c>
      <c r="O590" s="405" t="s">
        <v>5282</v>
      </c>
      <c r="P590" s="405" t="s">
        <v>925</v>
      </c>
      <c r="Q590" s="250" t="s">
        <v>5047</v>
      </c>
      <c r="R590" s="233"/>
      <c r="S590" s="234">
        <f>IF(C590="",NA(),MATCH($B590&amp;$C590,'Smelter Reference List'!$J:$J,0))</f>
        <v>263</v>
      </c>
      <c r="T590" s="235"/>
      <c r="U590" s="235">
        <f t="shared" si="14"/>
        <v>0</v>
      </c>
      <c r="V590" s="235"/>
      <c r="W590" s="235"/>
      <c r="Y590" s="228" t="str">
        <f t="shared" si="15"/>
        <v>TantalumHi-Temp Specialty Metals, Inc.</v>
      </c>
    </row>
    <row r="591" spans="1:25" s="228" customFormat="1" ht="20.25">
      <c r="A591" s="404" t="s">
        <v>1346</v>
      </c>
      <c r="B591" s="396" t="s">
        <v>2325</v>
      </c>
      <c r="C591" s="397" t="s">
        <v>5</v>
      </c>
      <c r="D591" s="396" t="s">
        <v>5</v>
      </c>
      <c r="E591" s="396" t="s">
        <v>2181</v>
      </c>
      <c r="F591" s="396" t="s">
        <v>1346</v>
      </c>
      <c r="G591" s="396" t="s">
        <v>3125</v>
      </c>
      <c r="H591" s="405" t="s">
        <v>5055</v>
      </c>
      <c r="I591" s="399" t="s">
        <v>3379</v>
      </c>
      <c r="J591" s="399" t="s">
        <v>3204</v>
      </c>
      <c r="K591" s="405" t="s">
        <v>5055</v>
      </c>
      <c r="L591" s="405" t="s">
        <v>5055</v>
      </c>
      <c r="M591" s="405" t="s">
        <v>5055</v>
      </c>
      <c r="N591" s="405" t="s">
        <v>5055</v>
      </c>
      <c r="O591" s="405" t="s">
        <v>5283</v>
      </c>
      <c r="P591" s="405" t="s">
        <v>925</v>
      </c>
      <c r="Q591" s="250" t="s">
        <v>5047</v>
      </c>
      <c r="R591" s="233"/>
      <c r="S591" s="234">
        <f>IF(C591="",NA(),MATCH($B591&amp;$C591,'Smelter Reference List'!$J:$J,0))</f>
        <v>266</v>
      </c>
      <c r="T591" s="235"/>
      <c r="U591" s="235">
        <f t="shared" si="14"/>
        <v>0</v>
      </c>
      <c r="V591" s="235"/>
      <c r="W591" s="235"/>
      <c r="Y591" s="228" t="str">
        <f t="shared" si="15"/>
        <v>TantalumJiuJiang JinXin Nonferrous Metals Co., Ltd.</v>
      </c>
    </row>
    <row r="592" spans="1:25" s="228" customFormat="1" ht="20.25">
      <c r="A592" s="404" t="s">
        <v>1347</v>
      </c>
      <c r="B592" s="396" t="s">
        <v>2325</v>
      </c>
      <c r="C592" s="397" t="s">
        <v>64</v>
      </c>
      <c r="D592" s="396" t="s">
        <v>64</v>
      </c>
      <c r="E592" s="396" t="s">
        <v>2181</v>
      </c>
      <c r="F592" s="396" t="s">
        <v>1347</v>
      </c>
      <c r="G592" s="396" t="s">
        <v>3125</v>
      </c>
      <c r="H592" s="405" t="s">
        <v>5284</v>
      </c>
      <c r="I592" s="399" t="s">
        <v>3379</v>
      </c>
      <c r="J592" s="399" t="s">
        <v>3204</v>
      </c>
      <c r="K592" s="405" t="s">
        <v>5285</v>
      </c>
      <c r="L592" s="405" t="s">
        <v>5286</v>
      </c>
      <c r="M592" s="405" t="s">
        <v>5287</v>
      </c>
      <c r="N592" s="405" t="s">
        <v>5288</v>
      </c>
      <c r="O592" s="405" t="s">
        <v>5289</v>
      </c>
      <c r="P592" s="405" t="s">
        <v>925</v>
      </c>
      <c r="Q592" s="250" t="s">
        <v>5047</v>
      </c>
      <c r="R592" s="233"/>
      <c r="S592" s="234">
        <f>IF(C592="",NA(),MATCH($B592&amp;$C592,'Smelter Reference List'!$J:$J,0))</f>
        <v>267</v>
      </c>
      <c r="T592" s="235"/>
      <c r="U592" s="235">
        <f t="shared" si="14"/>
        <v>0</v>
      </c>
      <c r="V592" s="235"/>
      <c r="W592" s="235"/>
      <c r="Y592" s="228" t="str">
        <f t="shared" si="15"/>
        <v>TantalumJiujiang Tanbre Co., Ltd.</v>
      </c>
    </row>
    <row r="593" spans="1:25" s="228" customFormat="1" ht="20.25">
      <c r="A593" s="404" t="s">
        <v>1348</v>
      </c>
      <c r="B593" s="396" t="s">
        <v>2325</v>
      </c>
      <c r="C593" s="397" t="s">
        <v>4157</v>
      </c>
      <c r="D593" s="396" t="s">
        <v>4157</v>
      </c>
      <c r="E593" s="396" t="s">
        <v>2181</v>
      </c>
      <c r="F593" s="396" t="s">
        <v>1348</v>
      </c>
      <c r="G593" s="396" t="s">
        <v>3125</v>
      </c>
      <c r="H593" s="405" t="s">
        <v>5024</v>
      </c>
      <c r="I593" s="399" t="s">
        <v>3380</v>
      </c>
      <c r="J593" s="399" t="s">
        <v>3204</v>
      </c>
      <c r="K593" s="406" t="s">
        <v>5024</v>
      </c>
      <c r="L593" s="406" t="s">
        <v>5024</v>
      </c>
      <c r="M593" s="406" t="s">
        <v>5024</v>
      </c>
      <c r="N593" s="406" t="s">
        <v>5024</v>
      </c>
      <c r="O593" s="406" t="s">
        <v>5024</v>
      </c>
      <c r="P593" s="406" t="s">
        <v>925</v>
      </c>
      <c r="Q593" s="250" t="s">
        <v>5047</v>
      </c>
      <c r="R593" s="233"/>
      <c r="S593" s="234">
        <f>IF(C593="",NA(),MATCH($B593&amp;$C593,'Smelter Reference List'!$J:$J,0))</f>
        <v>271</v>
      </c>
      <c r="T593" s="235"/>
      <c r="U593" s="235">
        <f t="shared" si="14"/>
        <v>0</v>
      </c>
      <c r="V593" s="235"/>
      <c r="W593" s="235"/>
      <c r="Y593" s="228" t="str">
        <f t="shared" si="15"/>
        <v>TantalumKing-Tan Tantalum Industry Ltd.</v>
      </c>
    </row>
    <row r="594" spans="1:25" s="228" customFormat="1" ht="20.25">
      <c r="A594" s="404" t="s">
        <v>1349</v>
      </c>
      <c r="B594" s="396" t="s">
        <v>2325</v>
      </c>
      <c r="C594" s="397" t="s">
        <v>65</v>
      </c>
      <c r="D594" s="396" t="s">
        <v>65</v>
      </c>
      <c r="E594" s="396" t="s">
        <v>2170</v>
      </c>
      <c r="F594" s="396" t="s">
        <v>1349</v>
      </c>
      <c r="G594" s="396" t="s">
        <v>3125</v>
      </c>
      <c r="H594" s="405" t="s">
        <v>5055</v>
      </c>
      <c r="I594" s="399" t="s">
        <v>3381</v>
      </c>
      <c r="J594" s="399" t="s">
        <v>3136</v>
      </c>
      <c r="K594" s="405" t="s">
        <v>5055</v>
      </c>
      <c r="L594" s="405" t="s">
        <v>5055</v>
      </c>
      <c r="M594" s="405" t="s">
        <v>5055</v>
      </c>
      <c r="N594" s="405" t="s">
        <v>5055</v>
      </c>
      <c r="O594" s="405" t="s">
        <v>5046</v>
      </c>
      <c r="P594" s="405" t="s">
        <v>925</v>
      </c>
      <c r="Q594" s="250" t="s">
        <v>5047</v>
      </c>
      <c r="R594" s="233"/>
      <c r="S594" s="234">
        <f>IF(C594="",NA(),MATCH($B594&amp;$C594,'Smelter Reference List'!$J:$J,0))</f>
        <v>272</v>
      </c>
      <c r="T594" s="235"/>
      <c r="U594" s="235">
        <f t="shared" si="14"/>
        <v>0</v>
      </c>
      <c r="V594" s="235"/>
      <c r="W594" s="235"/>
      <c r="Y594" s="228" t="str">
        <f t="shared" si="15"/>
        <v>TantalumLSM Brasil S.A.</v>
      </c>
    </row>
    <row r="595" spans="1:25" s="228" customFormat="1" ht="20.25">
      <c r="A595" s="404" t="s">
        <v>1351</v>
      </c>
      <c r="B595" s="396" t="s">
        <v>2325</v>
      </c>
      <c r="C595" s="397" t="s">
        <v>1953</v>
      </c>
      <c r="D595" s="396" t="s">
        <v>1953</v>
      </c>
      <c r="E595" s="396" t="s">
        <v>2170</v>
      </c>
      <c r="F595" s="396" t="s">
        <v>1351</v>
      </c>
      <c r="G595" s="396" t="s">
        <v>3125</v>
      </c>
      <c r="H595" s="405" t="s">
        <v>5290</v>
      </c>
      <c r="I595" s="399" t="s">
        <v>3385</v>
      </c>
      <c r="J595" s="399" t="s">
        <v>3386</v>
      </c>
      <c r="K595" s="405" t="s">
        <v>5055</v>
      </c>
      <c r="L595" s="405" t="s">
        <v>5055</v>
      </c>
      <c r="M595" s="405" t="s">
        <v>5055</v>
      </c>
      <c r="N595" s="405" t="s">
        <v>5055</v>
      </c>
      <c r="O595" s="405" t="s">
        <v>5191</v>
      </c>
      <c r="P595" s="405" t="s">
        <v>925</v>
      </c>
      <c r="Q595" s="250" t="s">
        <v>5047</v>
      </c>
      <c r="R595" s="233"/>
      <c r="S595" s="234">
        <f>IF(C595="",NA(),MATCH($B595&amp;$C595,'Smelter Reference List'!$J:$J,0))</f>
        <v>275</v>
      </c>
      <c r="T595" s="235"/>
      <c r="U595" s="235">
        <f t="shared" si="14"/>
        <v>0</v>
      </c>
      <c r="V595" s="235"/>
      <c r="W595" s="235"/>
      <c r="Y595" s="228" t="str">
        <f t="shared" si="15"/>
        <v>TantalumMineração Taboca S.A.</v>
      </c>
    </row>
    <row r="596" spans="1:25" s="228" customFormat="1" ht="20.25">
      <c r="A596" s="404" t="s">
        <v>1352</v>
      </c>
      <c r="B596" s="396" t="s">
        <v>2325</v>
      </c>
      <c r="C596" s="397" t="s">
        <v>2454</v>
      </c>
      <c r="D596" s="396" t="s">
        <v>2454</v>
      </c>
      <c r="E596" s="396" t="s">
        <v>2249</v>
      </c>
      <c r="F596" s="396" t="s">
        <v>1352</v>
      </c>
      <c r="G596" s="396" t="s">
        <v>3125</v>
      </c>
      <c r="H596" s="405" t="s">
        <v>5291</v>
      </c>
      <c r="I596" s="399" t="s">
        <v>3387</v>
      </c>
      <c r="J596" s="399" t="s">
        <v>3388</v>
      </c>
      <c r="K596" s="405" t="s">
        <v>5292</v>
      </c>
      <c r="L596" s="405" t="s">
        <v>5293</v>
      </c>
      <c r="M596" s="405" t="s">
        <v>5265</v>
      </c>
      <c r="N596" s="405" t="s">
        <v>5045</v>
      </c>
      <c r="O596" s="405" t="s">
        <v>5272</v>
      </c>
      <c r="P596" s="405" t="s">
        <v>925</v>
      </c>
      <c r="Q596" s="250" t="s">
        <v>5047</v>
      </c>
      <c r="R596" s="233"/>
      <c r="S596" s="234" t="e">
        <f>IF(C596="",NA(),MATCH($B596&amp;$C596,'Smelter Reference List'!$J:$J,0))</f>
        <v>#N/A</v>
      </c>
      <c r="T596" s="235"/>
      <c r="U596" s="235">
        <f t="shared" si="14"/>
        <v>0</v>
      </c>
      <c r="V596" s="235"/>
      <c r="W596" s="235"/>
      <c r="Y596" s="228" t="str">
        <f t="shared" si="15"/>
        <v>TantalumMitsui Mining and Smelting Co., Ltd.</v>
      </c>
    </row>
    <row r="597" spans="1:25" s="228" customFormat="1" ht="20.25">
      <c r="A597" s="404" t="s">
        <v>1353</v>
      </c>
      <c r="B597" s="396" t="s">
        <v>2325</v>
      </c>
      <c r="C597" s="397" t="s">
        <v>66</v>
      </c>
      <c r="D597" s="396" t="s">
        <v>66</v>
      </c>
      <c r="E597" s="396" t="s">
        <v>2206</v>
      </c>
      <c r="F597" s="396" t="s">
        <v>1353</v>
      </c>
      <c r="G597" s="396" t="s">
        <v>3125</v>
      </c>
      <c r="H597" s="405" t="s">
        <v>5055</v>
      </c>
      <c r="I597" s="399" t="s">
        <v>3389</v>
      </c>
      <c r="J597" s="399" t="s">
        <v>3390</v>
      </c>
      <c r="K597" s="405" t="s">
        <v>5055</v>
      </c>
      <c r="L597" s="405" t="s">
        <v>5055</v>
      </c>
      <c r="M597" s="405" t="s">
        <v>5112</v>
      </c>
      <c r="N597" s="405" t="s">
        <v>5055</v>
      </c>
      <c r="O597" s="405" t="s">
        <v>5046</v>
      </c>
      <c r="P597" s="405" t="s">
        <v>925</v>
      </c>
      <c r="Q597" s="250" t="s">
        <v>5047</v>
      </c>
      <c r="R597" s="233"/>
      <c r="S597" s="234">
        <f>IF(C597="",NA(),MATCH($B597&amp;$C597,'Smelter Reference List'!$J:$J,0))</f>
        <v>277</v>
      </c>
      <c r="T597" s="235"/>
      <c r="U597" s="235">
        <f t="shared" si="14"/>
        <v>0</v>
      </c>
      <c r="V597" s="235"/>
      <c r="W597" s="235"/>
      <c r="Y597" s="228" t="str">
        <f t="shared" si="15"/>
        <v>TantalumMolycorp Silmet A.S.</v>
      </c>
    </row>
    <row r="598" spans="1:25" s="228" customFormat="1" ht="20.25">
      <c r="A598" s="404" t="s">
        <v>1354</v>
      </c>
      <c r="B598" s="396" t="s">
        <v>2325</v>
      </c>
      <c r="C598" s="397" t="s">
        <v>1950</v>
      </c>
      <c r="D598" s="396" t="s">
        <v>1950</v>
      </c>
      <c r="E598" s="396" t="s">
        <v>2181</v>
      </c>
      <c r="F598" s="396" t="s">
        <v>1354</v>
      </c>
      <c r="G598" s="396" t="s">
        <v>3125</v>
      </c>
      <c r="H598" s="405" t="s">
        <v>5294</v>
      </c>
      <c r="I598" s="399" t="s">
        <v>3391</v>
      </c>
      <c r="J598" s="399" t="s">
        <v>3392</v>
      </c>
      <c r="K598" s="405" t="s">
        <v>5295</v>
      </c>
      <c r="L598" s="405" t="s">
        <v>5296</v>
      </c>
      <c r="M598" s="405" t="s">
        <v>5297</v>
      </c>
      <c r="N598" s="405" t="s">
        <v>5298</v>
      </c>
      <c r="O598" s="405" t="s">
        <v>5280</v>
      </c>
      <c r="P598" s="405" t="s">
        <v>925</v>
      </c>
      <c r="Q598" s="250" t="s">
        <v>5047</v>
      </c>
      <c r="R598" s="233"/>
      <c r="S598" s="234">
        <f>IF(C598="",NA(),MATCH($B598&amp;$C598,'Smelter Reference List'!$J:$J,0))</f>
        <v>278</v>
      </c>
      <c r="T598" s="235"/>
      <c r="U598" s="235">
        <f t="shared" si="14"/>
        <v>0</v>
      </c>
      <c r="V598" s="235"/>
      <c r="W598" s="235"/>
      <c r="Y598" s="228" t="str">
        <f t="shared" si="15"/>
        <v>TantalumNingxia Orient Tantalum Industry Co., Ltd.</v>
      </c>
    </row>
    <row r="599" spans="1:25" s="228" customFormat="1" ht="20.25">
      <c r="A599" s="404" t="s">
        <v>1356</v>
      </c>
      <c r="B599" s="396" t="s">
        <v>2325</v>
      </c>
      <c r="C599" s="397" t="s">
        <v>4172</v>
      </c>
      <c r="D599" s="396" t="s">
        <v>4172</v>
      </c>
      <c r="E599" s="396" t="s">
        <v>2181</v>
      </c>
      <c r="F599" s="396" t="s">
        <v>1356</v>
      </c>
      <c r="G599" s="396" t="s">
        <v>3125</v>
      </c>
      <c r="H599" s="405" t="s">
        <v>5024</v>
      </c>
      <c r="I599" s="399" t="s">
        <v>3395</v>
      </c>
      <c r="J599" s="399" t="s">
        <v>3186</v>
      </c>
      <c r="K599" s="406" t="s">
        <v>5024</v>
      </c>
      <c r="L599" s="406" t="s">
        <v>5024</v>
      </c>
      <c r="M599" s="406" t="s">
        <v>5024</v>
      </c>
      <c r="N599" s="406" t="s">
        <v>5024</v>
      </c>
      <c r="O599" s="406" t="s">
        <v>5024</v>
      </c>
      <c r="P599" s="406" t="s">
        <v>925</v>
      </c>
      <c r="Q599" s="250" t="s">
        <v>5047</v>
      </c>
      <c r="R599" s="233"/>
      <c r="S599" s="234">
        <f>IF(C599="",NA(),MATCH($B599&amp;$C599,'Smelter Reference List'!$J:$J,0))</f>
        <v>286</v>
      </c>
      <c r="T599" s="235"/>
      <c r="U599" s="235">
        <f t="shared" si="14"/>
        <v>0</v>
      </c>
      <c r="V599" s="235"/>
      <c r="W599" s="235"/>
      <c r="Y599" s="228" t="str">
        <f t="shared" si="15"/>
        <v>TantalumRFH Tantalum Smeltry Co., Ltd.</v>
      </c>
    </row>
    <row r="600" spans="1:25" s="228" customFormat="1" ht="20.25">
      <c r="A600" s="404" t="s">
        <v>1357</v>
      </c>
      <c r="B600" s="396" t="s">
        <v>2325</v>
      </c>
      <c r="C600" s="397" t="s">
        <v>2658</v>
      </c>
      <c r="D600" s="396" t="s">
        <v>2658</v>
      </c>
      <c r="E600" s="396" t="s">
        <v>1717</v>
      </c>
      <c r="F600" s="396" t="s">
        <v>1357</v>
      </c>
      <c r="G600" s="396" t="s">
        <v>3125</v>
      </c>
      <c r="H600" s="405" t="s">
        <v>5299</v>
      </c>
      <c r="I600" s="399" t="s">
        <v>3396</v>
      </c>
      <c r="J600" s="399" t="s">
        <v>3397</v>
      </c>
      <c r="K600" s="405" t="s">
        <v>5300</v>
      </c>
      <c r="L600" s="405" t="s">
        <v>5301</v>
      </c>
      <c r="M600" s="405" t="s">
        <v>5302</v>
      </c>
      <c r="N600" s="405" t="s">
        <v>5303</v>
      </c>
      <c r="O600" s="405" t="s">
        <v>5191</v>
      </c>
      <c r="P600" s="405" t="s">
        <v>925</v>
      </c>
      <c r="Q600" s="250" t="s">
        <v>5047</v>
      </c>
      <c r="R600" s="233"/>
      <c r="S600" s="234">
        <f>IF(C600="",NA(),MATCH($B600&amp;$C600,'Smelter Reference List'!$J:$J,0))</f>
        <v>288</v>
      </c>
      <c r="T600" s="235"/>
      <c r="U600" s="235">
        <f t="shared" si="14"/>
        <v>0</v>
      </c>
      <c r="V600" s="235"/>
      <c r="W600" s="235"/>
      <c r="Y600" s="228" t="str">
        <f t="shared" si="15"/>
        <v>TantalumSolikamsk Magnesium Works OAO</v>
      </c>
    </row>
    <row r="601" spans="1:25" s="228" customFormat="1" ht="20.25">
      <c r="A601" s="404" t="s">
        <v>1358</v>
      </c>
      <c r="B601" s="396" t="s">
        <v>2325</v>
      </c>
      <c r="C601" s="397" t="s">
        <v>5019</v>
      </c>
      <c r="D601" s="396" t="s">
        <v>5019</v>
      </c>
      <c r="E601" s="396" t="s">
        <v>2249</v>
      </c>
      <c r="F601" s="396" t="s">
        <v>1358</v>
      </c>
      <c r="G601" s="396" t="s">
        <v>3125</v>
      </c>
      <c r="H601" s="405" t="s">
        <v>5304</v>
      </c>
      <c r="I601" s="399" t="s">
        <v>3398</v>
      </c>
      <c r="J601" s="399" t="s">
        <v>3140</v>
      </c>
      <c r="K601" s="405" t="s">
        <v>5305</v>
      </c>
      <c r="L601" s="405" t="s">
        <v>5306</v>
      </c>
      <c r="M601" s="405" t="s">
        <v>5307</v>
      </c>
      <c r="N601" s="405" t="s">
        <v>5149</v>
      </c>
      <c r="O601" s="405" t="s">
        <v>5272</v>
      </c>
      <c r="P601" s="405" t="s">
        <v>925</v>
      </c>
      <c r="Q601" s="250" t="s">
        <v>5047</v>
      </c>
      <c r="R601" s="233"/>
      <c r="S601" s="234" t="e">
        <f>IF(C601="",NA(),MATCH($B601&amp;$C601,'Smelter Reference List'!$J:$J,0))</f>
        <v>#N/A</v>
      </c>
      <c r="T601" s="235"/>
      <c r="U601" s="235">
        <f t="shared" si="14"/>
        <v>0</v>
      </c>
      <c r="V601" s="235"/>
      <c r="W601" s="235"/>
      <c r="Y601" s="228" t="str">
        <f t="shared" si="15"/>
        <v>TantalumTaki Chemical Co., Ltd.</v>
      </c>
    </row>
    <row r="602" spans="1:25" s="228" customFormat="1" ht="20.25">
      <c r="A602" s="404" t="s">
        <v>1359</v>
      </c>
      <c r="B602" s="396" t="s">
        <v>2325</v>
      </c>
      <c r="C602" s="397" t="s">
        <v>3399</v>
      </c>
      <c r="D602" s="396" t="s">
        <v>3399</v>
      </c>
      <c r="E602" s="396" t="s">
        <v>5016</v>
      </c>
      <c r="F602" s="396" t="s">
        <v>1359</v>
      </c>
      <c r="G602" s="396" t="s">
        <v>3125</v>
      </c>
      <c r="H602" s="405"/>
      <c r="I602" s="399" t="s">
        <v>3400</v>
      </c>
      <c r="J602" s="399" t="s">
        <v>3401</v>
      </c>
      <c r="K602" s="407"/>
      <c r="L602" s="407"/>
      <c r="M602" s="407"/>
      <c r="N602" s="407"/>
      <c r="O602" s="407"/>
      <c r="P602" s="407"/>
      <c r="Q602" s="250" t="s">
        <v>5047</v>
      </c>
      <c r="R602" s="233"/>
      <c r="S602" s="234">
        <f>IF(C602="",NA(),MATCH($B602&amp;$C602,'Smelter Reference List'!$J:$J,0))</f>
        <v>291</v>
      </c>
      <c r="T602" s="235"/>
      <c r="U602" s="235">
        <f t="shared" si="14"/>
        <v>0</v>
      </c>
      <c r="V602" s="235"/>
      <c r="W602" s="235"/>
      <c r="Y602" s="228" t="str">
        <f t="shared" si="15"/>
        <v>TantalumTelex Metals</v>
      </c>
    </row>
    <row r="603" spans="1:25" s="228" customFormat="1" ht="20.25">
      <c r="A603" s="404" t="s">
        <v>1360</v>
      </c>
      <c r="B603" s="396" t="s">
        <v>2325</v>
      </c>
      <c r="C603" s="397" t="s">
        <v>3402</v>
      </c>
      <c r="D603" s="396" t="s">
        <v>3402</v>
      </c>
      <c r="E603" s="396" t="s">
        <v>2250</v>
      </c>
      <c r="F603" s="396" t="s">
        <v>1360</v>
      </c>
      <c r="G603" s="396" t="s">
        <v>3125</v>
      </c>
      <c r="H603" s="405">
        <v>0</v>
      </c>
      <c r="I603" s="399" t="s">
        <v>3214</v>
      </c>
      <c r="J603" s="399" t="s">
        <v>3403</v>
      </c>
      <c r="K603" s="406" t="s">
        <v>5308</v>
      </c>
      <c r="L603" s="406" t="s">
        <v>5309</v>
      </c>
      <c r="M603" s="406" t="s">
        <v>5310</v>
      </c>
      <c r="N603" s="406" t="s">
        <v>5311</v>
      </c>
      <c r="O603" s="406" t="s">
        <v>5312</v>
      </c>
      <c r="P603" s="406" t="s">
        <v>925</v>
      </c>
      <c r="Q603" s="250" t="s">
        <v>5047</v>
      </c>
      <c r="R603" s="233"/>
      <c r="S603" s="234">
        <f>IF(C603="",NA(),MATCH($B603&amp;$C603,'Smelter Reference List'!$J:$J,0))</f>
        <v>294</v>
      </c>
      <c r="T603" s="235"/>
      <c r="U603" s="235">
        <f t="shared" si="14"/>
        <v>0</v>
      </c>
      <c r="V603" s="235"/>
      <c r="W603" s="235"/>
      <c r="Y603" s="228" t="str">
        <f t="shared" si="15"/>
        <v>TantalumUlba Metallurgical Plant JSC</v>
      </c>
    </row>
    <row r="604" spans="1:25" s="228" customFormat="1" ht="20.25">
      <c r="A604" s="404" t="s">
        <v>1361</v>
      </c>
      <c r="B604" s="396" t="s">
        <v>2325</v>
      </c>
      <c r="C604" s="397" t="s">
        <v>5020</v>
      </c>
      <c r="D604" s="396" t="s">
        <v>5020</v>
      </c>
      <c r="E604" s="396" t="s">
        <v>2181</v>
      </c>
      <c r="F604" s="396" t="s">
        <v>1361</v>
      </c>
      <c r="G604" s="396" t="s">
        <v>3125</v>
      </c>
      <c r="H604" s="405" t="s">
        <v>5313</v>
      </c>
      <c r="I604" s="399" t="s">
        <v>3395</v>
      </c>
      <c r="J604" s="399" t="s">
        <v>3186</v>
      </c>
      <c r="K604" s="405" t="s">
        <v>5314</v>
      </c>
      <c r="L604" s="405" t="s">
        <v>5315</v>
      </c>
      <c r="M604" s="405" t="s">
        <v>5316</v>
      </c>
      <c r="N604" s="405" t="s">
        <v>5052</v>
      </c>
      <c r="O604" s="405" t="s">
        <v>5317</v>
      </c>
      <c r="P604" s="405" t="s">
        <v>925</v>
      </c>
      <c r="Q604" s="250" t="s">
        <v>5047</v>
      </c>
      <c r="R604" s="233"/>
      <c r="S604" s="234" t="e">
        <f>IF(C604="",NA(),MATCH($B604&amp;$C604,'Smelter Reference List'!$J:$J,0))</f>
        <v>#N/A</v>
      </c>
      <c r="T604" s="235"/>
      <c r="U604" s="235">
        <f t="shared" si="14"/>
        <v>0</v>
      </c>
      <c r="V604" s="235"/>
      <c r="W604" s="235"/>
      <c r="Y604" s="228" t="str">
        <f t="shared" si="15"/>
        <v>TantalumZhuzhou Cemented Carbide Group Co., Ltd.</v>
      </c>
    </row>
    <row r="605" spans="1:25" s="228" customFormat="1" ht="20.25">
      <c r="A605" s="404" t="s">
        <v>78</v>
      </c>
      <c r="B605" s="396" t="s">
        <v>2325</v>
      </c>
      <c r="C605" s="397" t="s">
        <v>4185</v>
      </c>
      <c r="D605" s="396" t="s">
        <v>4185</v>
      </c>
      <c r="E605" s="396" t="s">
        <v>2181</v>
      </c>
      <c r="F605" s="396" t="s">
        <v>78</v>
      </c>
      <c r="G605" s="396" t="s">
        <v>3125</v>
      </c>
      <c r="H605" s="405" t="s">
        <v>5055</v>
      </c>
      <c r="I605" s="399" t="s">
        <v>3380</v>
      </c>
      <c r="J605" s="399" t="s">
        <v>3204</v>
      </c>
      <c r="K605" s="405" t="s">
        <v>5055</v>
      </c>
      <c r="L605" s="405" t="s">
        <v>5055</v>
      </c>
      <c r="M605" s="405" t="s">
        <v>5055</v>
      </c>
      <c r="N605" s="405" t="s">
        <v>5055</v>
      </c>
      <c r="O605" s="405" t="s">
        <v>5317</v>
      </c>
      <c r="P605" s="405" t="s">
        <v>925</v>
      </c>
      <c r="Q605" s="250" t="s">
        <v>5047</v>
      </c>
      <c r="R605" s="233"/>
      <c r="S605" s="234">
        <f>IF(C605="",NA(),MATCH($B605&amp;$C605,'Smelter Reference List'!$J:$J,0))</f>
        <v>296</v>
      </c>
      <c r="T605" s="235"/>
      <c r="U605" s="235">
        <f t="shared" si="14"/>
        <v>0</v>
      </c>
      <c r="V605" s="235"/>
      <c r="W605" s="235"/>
      <c r="Y605" s="228" t="str">
        <f t="shared" si="15"/>
        <v>TantalumYichun Jin Yang Rare Metal Co., Ltd.</v>
      </c>
    </row>
    <row r="606" spans="1:25" s="228" customFormat="1" ht="25.5">
      <c r="A606" s="404" t="s">
        <v>725</v>
      </c>
      <c r="B606" s="396" t="s">
        <v>2325</v>
      </c>
      <c r="C606" s="397" t="s">
        <v>4</v>
      </c>
      <c r="D606" s="396" t="s">
        <v>4</v>
      </c>
      <c r="E606" s="396" t="s">
        <v>2181</v>
      </c>
      <c r="F606" s="396" t="s">
        <v>725</v>
      </c>
      <c r="G606" s="396" t="s">
        <v>3125</v>
      </c>
      <c r="H606" s="405" t="s">
        <v>5055</v>
      </c>
      <c r="I606" s="399" t="s">
        <v>3407</v>
      </c>
      <c r="J606" s="399" t="s">
        <v>3186</v>
      </c>
      <c r="K606" s="405" t="s">
        <v>5055</v>
      </c>
      <c r="L606" s="405" t="s">
        <v>5055</v>
      </c>
      <c r="M606" s="405" t="s">
        <v>5055</v>
      </c>
      <c r="N606" s="405" t="s">
        <v>5055</v>
      </c>
      <c r="O606" s="405" t="s">
        <v>5280</v>
      </c>
      <c r="P606" s="405" t="s">
        <v>925</v>
      </c>
      <c r="Q606" s="250" t="s">
        <v>5047</v>
      </c>
      <c r="R606" s="233"/>
      <c r="S606" s="234">
        <f>IF(C606="",NA(),MATCH($B606&amp;$C606,'Smelter Reference List'!$J:$J,0))</f>
        <v>261</v>
      </c>
      <c r="T606" s="235"/>
      <c r="U606" s="235">
        <f t="shared" si="14"/>
        <v>0</v>
      </c>
      <c r="V606" s="235"/>
      <c r="W606" s="235"/>
      <c r="Y606" s="228" t="str">
        <f t="shared" si="15"/>
        <v>TantalumHengyang King Xing Lifeng New Materials Co., Ltd.</v>
      </c>
    </row>
    <row r="607" spans="1:25" s="228" customFormat="1" ht="20.25">
      <c r="A607" s="404" t="s">
        <v>2752</v>
      </c>
      <c r="B607" s="396" t="s">
        <v>2325</v>
      </c>
      <c r="C607" s="397" t="s">
        <v>2751</v>
      </c>
      <c r="D607" s="396" t="s">
        <v>2751</v>
      </c>
      <c r="E607" s="396" t="s">
        <v>2275</v>
      </c>
      <c r="F607" s="396" t="s">
        <v>2752</v>
      </c>
      <c r="G607" s="396" t="s">
        <v>3125</v>
      </c>
      <c r="H607" s="405">
        <v>0</v>
      </c>
      <c r="I607" s="399" t="s">
        <v>3412</v>
      </c>
      <c r="J607" s="399" t="s">
        <v>3413</v>
      </c>
      <c r="K607" s="406"/>
      <c r="L607" s="406"/>
      <c r="M607" s="406"/>
      <c r="N607" s="406"/>
      <c r="O607" s="406"/>
      <c r="P607" s="406"/>
      <c r="Q607" s="250" t="s">
        <v>5047</v>
      </c>
      <c r="R607" s="233"/>
      <c r="S607" s="234">
        <f>IF(C607="",NA(),MATCH($B607&amp;$C607,'Smelter Reference List'!$J:$J,0))</f>
        <v>269</v>
      </c>
      <c r="T607" s="235"/>
      <c r="U607" s="235">
        <f t="shared" si="14"/>
        <v>0</v>
      </c>
      <c r="V607" s="235"/>
      <c r="W607" s="235"/>
      <c r="Y607" s="228" t="str">
        <f t="shared" si="15"/>
        <v>TantalumKEMET Blue Metals</v>
      </c>
    </row>
    <row r="608" spans="1:25" s="228" customFormat="1" ht="20.25">
      <c r="A608" s="404" t="s">
        <v>2738</v>
      </c>
      <c r="B608" s="396" t="s">
        <v>2325</v>
      </c>
      <c r="C608" s="397" t="s">
        <v>2737</v>
      </c>
      <c r="D608" s="396" t="s">
        <v>2737</v>
      </c>
      <c r="E608" s="396" t="s">
        <v>1743</v>
      </c>
      <c r="F608" s="396" t="s">
        <v>2738</v>
      </c>
      <c r="G608" s="396" t="s">
        <v>3125</v>
      </c>
      <c r="H608" s="405" t="s">
        <v>5318</v>
      </c>
      <c r="I608" s="399" t="s">
        <v>3416</v>
      </c>
      <c r="J608" s="399" t="s">
        <v>3417</v>
      </c>
      <c r="K608" s="405" t="s">
        <v>5319</v>
      </c>
      <c r="L608" s="405" t="s">
        <v>5320</v>
      </c>
      <c r="M608" s="405" t="s">
        <v>5321</v>
      </c>
      <c r="N608" s="405" t="s">
        <v>5322</v>
      </c>
      <c r="O608" s="405" t="s">
        <v>5282</v>
      </c>
      <c r="P608" s="405" t="s">
        <v>925</v>
      </c>
      <c r="Q608" s="250" t="s">
        <v>5047</v>
      </c>
      <c r="R608" s="233"/>
      <c r="S608" s="234">
        <f>IF(C608="",NA(),MATCH($B608&amp;$C608,'Smelter Reference List'!$J:$J,0))</f>
        <v>254</v>
      </c>
      <c r="T608" s="235"/>
      <c r="U608" s="235">
        <f t="shared" si="14"/>
        <v>0</v>
      </c>
      <c r="V608" s="235"/>
      <c r="W608" s="235"/>
      <c r="Y608" s="228" t="str">
        <f t="shared" si="15"/>
        <v>TantalumH.C. Starck Co., Ltd.</v>
      </c>
    </row>
    <row r="609" spans="1:25" s="228" customFormat="1" ht="20.25">
      <c r="A609" s="404" t="s">
        <v>2740</v>
      </c>
      <c r="B609" s="396" t="s">
        <v>2325</v>
      </c>
      <c r="C609" s="397" t="s">
        <v>2739</v>
      </c>
      <c r="D609" s="396" t="s">
        <v>2739</v>
      </c>
      <c r="E609" s="396" t="s">
        <v>2195</v>
      </c>
      <c r="F609" s="396" t="s">
        <v>2740</v>
      </c>
      <c r="G609" s="396" t="s">
        <v>3125</v>
      </c>
      <c r="H609" s="405" t="s">
        <v>5323</v>
      </c>
      <c r="I609" s="399" t="s">
        <v>3418</v>
      </c>
      <c r="J609" s="399" t="s">
        <v>3419</v>
      </c>
      <c r="K609" s="405" t="s">
        <v>5324</v>
      </c>
      <c r="L609" s="405" t="s">
        <v>5325</v>
      </c>
      <c r="M609" s="405" t="s">
        <v>5326</v>
      </c>
      <c r="N609" s="405" t="s">
        <v>5322</v>
      </c>
      <c r="O609" s="405" t="s">
        <v>5280</v>
      </c>
      <c r="P609" s="405" t="s">
        <v>925</v>
      </c>
      <c r="Q609" s="250" t="s">
        <v>5047</v>
      </c>
      <c r="R609" s="233"/>
      <c r="S609" s="234">
        <f>IF(C609="",NA(),MATCH($B609&amp;$C609,'Smelter Reference List'!$J:$J,0))</f>
        <v>255</v>
      </c>
      <c r="T609" s="235"/>
      <c r="U609" s="235">
        <f t="shared" si="14"/>
        <v>0</v>
      </c>
      <c r="V609" s="235"/>
      <c r="W609" s="235"/>
      <c r="Y609" s="228" t="str">
        <f t="shared" si="15"/>
        <v>TantalumH.C. Starck GmbH Goslar</v>
      </c>
    </row>
    <row r="610" spans="1:25" s="228" customFormat="1" ht="20.25">
      <c r="A610" s="404" t="s">
        <v>2744</v>
      </c>
      <c r="B610" s="396" t="s">
        <v>2325</v>
      </c>
      <c r="C610" s="397" t="s">
        <v>2743</v>
      </c>
      <c r="D610" s="396" t="s">
        <v>2743</v>
      </c>
      <c r="E610" s="396" t="s">
        <v>2195</v>
      </c>
      <c r="F610" s="396" t="s">
        <v>2744</v>
      </c>
      <c r="G610" s="396" t="s">
        <v>3125</v>
      </c>
      <c r="H610" s="405" t="s">
        <v>5327</v>
      </c>
      <c r="I610" s="399" t="s">
        <v>3421</v>
      </c>
      <c r="J610" s="399" t="s">
        <v>3422</v>
      </c>
      <c r="K610" s="405" t="s">
        <v>5319</v>
      </c>
      <c r="L610" s="405" t="s">
        <v>5320</v>
      </c>
      <c r="M610" s="405" t="s">
        <v>5328</v>
      </c>
      <c r="N610" s="405" t="s">
        <v>5149</v>
      </c>
      <c r="O610" s="405" t="s">
        <v>5329</v>
      </c>
      <c r="P610" s="405" t="s">
        <v>925</v>
      </c>
      <c r="Q610" s="250" t="s">
        <v>5047</v>
      </c>
      <c r="R610" s="233"/>
      <c r="S610" s="234">
        <f>IF(C610="",NA(),MATCH($B610&amp;$C610,'Smelter Reference List'!$J:$J,0))</f>
        <v>257</v>
      </c>
      <c r="T610" s="235"/>
      <c r="U610" s="235">
        <f t="shared" si="14"/>
        <v>0</v>
      </c>
      <c r="V610" s="235"/>
      <c r="W610" s="235"/>
      <c r="Y610" s="228" t="str">
        <f t="shared" si="15"/>
        <v>TantalumH.C. Starck Hermsdorf GmbH</v>
      </c>
    </row>
    <row r="611" spans="1:25" s="228" customFormat="1" ht="20.25">
      <c r="A611" s="404" t="s">
        <v>2746</v>
      </c>
      <c r="B611" s="396" t="s">
        <v>2325</v>
      </c>
      <c r="C611" s="397" t="s">
        <v>2745</v>
      </c>
      <c r="D611" s="396" t="s">
        <v>2745</v>
      </c>
      <c r="E611" s="396" t="s">
        <v>5016</v>
      </c>
      <c r="F611" s="396" t="s">
        <v>2746</v>
      </c>
      <c r="G611" s="396" t="s">
        <v>3125</v>
      </c>
      <c r="H611" s="405" t="s">
        <v>5330</v>
      </c>
      <c r="I611" s="399" t="s">
        <v>3423</v>
      </c>
      <c r="J611" s="399" t="s">
        <v>3242</v>
      </c>
      <c r="K611" s="405" t="s">
        <v>5331</v>
      </c>
      <c r="L611" s="405" t="s">
        <v>5332</v>
      </c>
      <c r="M611" s="405" t="s">
        <v>5333</v>
      </c>
      <c r="N611" s="405" t="s">
        <v>5334</v>
      </c>
      <c r="O611" s="405" t="s">
        <v>5282</v>
      </c>
      <c r="P611" s="405" t="s">
        <v>925</v>
      </c>
      <c r="Q611" s="250" t="s">
        <v>5047</v>
      </c>
      <c r="R611" s="233"/>
      <c r="S611" s="234">
        <f>IF(C611="",NA(),MATCH($B611&amp;$C611,'Smelter Reference List'!$J:$J,0))</f>
        <v>258</v>
      </c>
      <c r="T611" s="235"/>
      <c r="U611" s="235">
        <f t="shared" si="14"/>
        <v>0</v>
      </c>
      <c r="V611" s="235"/>
      <c r="W611" s="235"/>
      <c r="Y611" s="228" t="str">
        <f t="shared" si="15"/>
        <v>TantalumH.C. Starck Inc.</v>
      </c>
    </row>
    <row r="612" spans="1:25" s="228" customFormat="1" ht="20.25">
      <c r="A612" s="404" t="s">
        <v>2748</v>
      </c>
      <c r="B612" s="396" t="s">
        <v>2325</v>
      </c>
      <c r="C612" s="397" t="s">
        <v>2747</v>
      </c>
      <c r="D612" s="396" t="s">
        <v>2747</v>
      </c>
      <c r="E612" s="396" t="s">
        <v>2249</v>
      </c>
      <c r="F612" s="396" t="s">
        <v>2748</v>
      </c>
      <c r="G612" s="396" t="s">
        <v>3125</v>
      </c>
      <c r="H612" s="405" t="s">
        <v>5335</v>
      </c>
      <c r="I612" s="399" t="s">
        <v>3424</v>
      </c>
      <c r="J612" s="399" t="s">
        <v>3425</v>
      </c>
      <c r="K612" s="405" t="s">
        <v>5319</v>
      </c>
      <c r="L612" s="405" t="s">
        <v>5320</v>
      </c>
      <c r="M612" s="405" t="s">
        <v>5336</v>
      </c>
      <c r="N612" s="405" t="s">
        <v>5045</v>
      </c>
      <c r="O612" s="405" t="s">
        <v>5282</v>
      </c>
      <c r="P612" s="405" t="s">
        <v>925</v>
      </c>
      <c r="Q612" s="250" t="s">
        <v>5047</v>
      </c>
      <c r="R612" s="233"/>
      <c r="S612" s="234">
        <f>IF(C612="",NA(),MATCH($B612&amp;$C612,'Smelter Reference List'!$J:$J,0))</f>
        <v>259</v>
      </c>
      <c r="T612" s="235"/>
      <c r="U612" s="235">
        <f t="shared" si="14"/>
        <v>0</v>
      </c>
      <c r="V612" s="235"/>
      <c r="W612" s="235"/>
      <c r="Y612" s="228" t="str">
        <f t="shared" si="15"/>
        <v>TantalumH.C. Starck Ltd.</v>
      </c>
    </row>
    <row r="613" spans="1:25" s="228" customFormat="1" ht="20.25">
      <c r="A613" s="404" t="s">
        <v>2750</v>
      </c>
      <c r="B613" s="396" t="s">
        <v>2325</v>
      </c>
      <c r="C613" s="397" t="s">
        <v>4729</v>
      </c>
      <c r="D613" s="396" t="s">
        <v>4729</v>
      </c>
      <c r="E613" s="396" t="s">
        <v>2195</v>
      </c>
      <c r="F613" s="396" t="s">
        <v>2750</v>
      </c>
      <c r="G613" s="396" t="s">
        <v>3125</v>
      </c>
      <c r="H613" s="405" t="s">
        <v>5337</v>
      </c>
      <c r="I613" s="399" t="s">
        <v>3420</v>
      </c>
      <c r="J613" s="399" t="s">
        <v>3131</v>
      </c>
      <c r="K613" s="405" t="s">
        <v>5319</v>
      </c>
      <c r="L613" s="405" t="s">
        <v>5320</v>
      </c>
      <c r="M613" s="405" t="s">
        <v>5338</v>
      </c>
      <c r="N613" s="405" t="s">
        <v>5339</v>
      </c>
      <c r="O613" s="405" t="s">
        <v>5340</v>
      </c>
      <c r="P613" s="405" t="s">
        <v>925</v>
      </c>
      <c r="Q613" s="250" t="s">
        <v>5047</v>
      </c>
      <c r="R613" s="233"/>
      <c r="S613" s="234">
        <f>IF(C613="",NA(),MATCH($B613&amp;$C613,'Smelter Reference List'!$J:$J,0))</f>
        <v>260</v>
      </c>
      <c r="T613" s="235"/>
      <c r="U613" s="235">
        <f t="shared" si="14"/>
        <v>0</v>
      </c>
      <c r="V613" s="235"/>
      <c r="W613" s="235"/>
      <c r="Y613" s="228" t="str">
        <f t="shared" si="15"/>
        <v>TantalumH.C. Starck Smelting GmbH &amp; Co. KG</v>
      </c>
    </row>
    <row r="614" spans="1:25" s="228" customFormat="1" ht="20.25">
      <c r="A614" s="404" t="s">
        <v>2736</v>
      </c>
      <c r="B614" s="396" t="s">
        <v>2325</v>
      </c>
      <c r="C614" s="397" t="s">
        <v>2735</v>
      </c>
      <c r="D614" s="396" t="s">
        <v>2735</v>
      </c>
      <c r="E614" s="396" t="s">
        <v>5016</v>
      </c>
      <c r="F614" s="396" t="s">
        <v>2736</v>
      </c>
      <c r="G614" s="396" t="s">
        <v>3125</v>
      </c>
      <c r="H614" s="405" t="s">
        <v>5341</v>
      </c>
      <c r="I614" s="399" t="s">
        <v>3428</v>
      </c>
      <c r="J614" s="399" t="s">
        <v>3401</v>
      </c>
      <c r="K614" s="405" t="s">
        <v>5342</v>
      </c>
      <c r="L614" s="405" t="s">
        <v>5343</v>
      </c>
      <c r="M614" s="405" t="s">
        <v>5268</v>
      </c>
      <c r="N614" s="405" t="s">
        <v>5344</v>
      </c>
      <c r="O614" s="405" t="s">
        <v>5280</v>
      </c>
      <c r="P614" s="405" t="s">
        <v>925</v>
      </c>
      <c r="Q614" s="250" t="s">
        <v>5047</v>
      </c>
      <c r="R614" s="233"/>
      <c r="S614" s="234">
        <f>IF(C614="",NA(),MATCH($B614&amp;$C614,'Smelter Reference List'!$J:$J,0))</f>
        <v>252</v>
      </c>
      <c r="T614" s="235"/>
      <c r="U614" s="235">
        <f t="shared" si="14"/>
        <v>0</v>
      </c>
      <c r="V614" s="235"/>
      <c r="W614" s="235"/>
      <c r="Y614" s="228" t="str">
        <f t="shared" si="15"/>
        <v>TantalumGlobal Advanced Metals Boyertown</v>
      </c>
    </row>
    <row r="615" spans="1:25" s="228" customFormat="1" ht="20.25">
      <c r="A615" s="404" t="s">
        <v>2734</v>
      </c>
      <c r="B615" s="396" t="s">
        <v>2325</v>
      </c>
      <c r="C615" s="397" t="s">
        <v>2733</v>
      </c>
      <c r="D615" s="396" t="s">
        <v>2733</v>
      </c>
      <c r="E615" s="396" t="s">
        <v>2249</v>
      </c>
      <c r="F615" s="396" t="s">
        <v>2734</v>
      </c>
      <c r="G615" s="396" t="s">
        <v>3125</v>
      </c>
      <c r="H615" s="405" t="s">
        <v>5055</v>
      </c>
      <c r="I615" s="399" t="s">
        <v>3429</v>
      </c>
      <c r="J615" s="399" t="s">
        <v>3143</v>
      </c>
      <c r="K615" s="405" t="s">
        <v>5055</v>
      </c>
      <c r="L615" s="405" t="s">
        <v>5055</v>
      </c>
      <c r="M615" s="405" t="s">
        <v>5055</v>
      </c>
      <c r="N615" s="405" t="s">
        <v>5055</v>
      </c>
      <c r="O615" s="405" t="s">
        <v>5046</v>
      </c>
      <c r="P615" s="405" t="s">
        <v>925</v>
      </c>
      <c r="Q615" s="250" t="s">
        <v>5047</v>
      </c>
      <c r="R615" s="233"/>
      <c r="S615" s="234">
        <f>IF(C615="",NA(),MATCH($B615&amp;$C615,'Smelter Reference List'!$J:$J,0))</f>
        <v>251</v>
      </c>
      <c r="T615" s="235"/>
      <c r="U615" s="235">
        <f t="shared" si="14"/>
        <v>0</v>
      </c>
      <c r="V615" s="235"/>
      <c r="W615" s="235"/>
      <c r="Y615" s="228" t="str">
        <f t="shared" si="15"/>
        <v>TantalumGlobal Advanced Metals Aizu</v>
      </c>
    </row>
    <row r="616" spans="1:25" s="228" customFormat="1" ht="20.25">
      <c r="A616" s="404" t="s">
        <v>2769</v>
      </c>
      <c r="B616" s="396" t="s">
        <v>2325</v>
      </c>
      <c r="C616" s="397" t="s">
        <v>2768</v>
      </c>
      <c r="D616" s="396" t="s">
        <v>2768</v>
      </c>
      <c r="E616" s="396" t="s">
        <v>5016</v>
      </c>
      <c r="F616" s="396" t="s">
        <v>2769</v>
      </c>
      <c r="G616" s="396" t="s">
        <v>3125</v>
      </c>
      <c r="H616" s="405">
        <v>0</v>
      </c>
      <c r="I616" s="399" t="s">
        <v>3430</v>
      </c>
      <c r="J616" s="399" t="s">
        <v>3431</v>
      </c>
      <c r="K616" s="406"/>
      <c r="L616" s="406"/>
      <c r="M616" s="406"/>
      <c r="N616" s="406"/>
      <c r="O616" s="406"/>
      <c r="P616" s="406"/>
      <c r="Q616" s="250" t="s">
        <v>5047</v>
      </c>
      <c r="R616" s="233"/>
      <c r="S616" s="234">
        <f>IF(C616="",NA(),MATCH($B616&amp;$C616,'Smelter Reference List'!$J:$J,0))</f>
        <v>270</v>
      </c>
      <c r="T616" s="235"/>
      <c r="U616" s="235">
        <f t="shared" si="14"/>
        <v>0</v>
      </c>
      <c r="V616" s="235"/>
      <c r="W616" s="235"/>
      <c r="Y616" s="228" t="str">
        <f t="shared" si="15"/>
        <v>TantalumKEMET Blue Powder</v>
      </c>
    </row>
    <row r="617" spans="1:25" s="228" customFormat="1" ht="20.25">
      <c r="A617" s="404" t="s">
        <v>1362</v>
      </c>
      <c r="B617" s="396" t="s">
        <v>2324</v>
      </c>
      <c r="C617" s="397" t="s">
        <v>3440</v>
      </c>
      <c r="D617" s="396" t="s">
        <v>3440</v>
      </c>
      <c r="E617" s="396" t="s">
        <v>2181</v>
      </c>
      <c r="F617" s="396" t="s">
        <v>1362</v>
      </c>
      <c r="G617" s="396" t="s">
        <v>3125</v>
      </c>
      <c r="H617" s="405" t="s">
        <v>5345</v>
      </c>
      <c r="I617" s="399" t="s">
        <v>3406</v>
      </c>
      <c r="J617" s="399" t="s">
        <v>3204</v>
      </c>
      <c r="K617" s="405" t="s">
        <v>5346</v>
      </c>
      <c r="L617" s="405" t="s">
        <v>5347</v>
      </c>
      <c r="M617" s="405" t="s">
        <v>5302</v>
      </c>
      <c r="N617" s="405" t="s">
        <v>5052</v>
      </c>
      <c r="O617" s="405" t="s">
        <v>5191</v>
      </c>
      <c r="P617" s="405" t="s">
        <v>925</v>
      </c>
      <c r="Q617" s="250" t="s">
        <v>5047</v>
      </c>
      <c r="R617" s="233"/>
      <c r="S617" s="234">
        <f>IF(C617="",NA(),MATCH($B617&amp;$C617,'Smelter Reference List'!$J:$J,0))</f>
        <v>367</v>
      </c>
      <c r="T617" s="235"/>
      <c r="U617" s="235">
        <f t="shared" si="14"/>
        <v>0</v>
      </c>
      <c r="V617" s="235"/>
      <c r="W617" s="235"/>
      <c r="Y617" s="228" t="str">
        <f t="shared" si="15"/>
        <v>TinJiangxi Ketai Advanced Material Co., Ltd.</v>
      </c>
    </row>
    <row r="618" spans="1:25" s="228" customFormat="1" ht="20.25">
      <c r="A618" s="404" t="s">
        <v>1364</v>
      </c>
      <c r="B618" s="396" t="s">
        <v>2324</v>
      </c>
      <c r="C618" s="397" t="s">
        <v>67</v>
      </c>
      <c r="D618" s="396" t="s">
        <v>67</v>
      </c>
      <c r="E618" s="396" t="s">
        <v>5016</v>
      </c>
      <c r="F618" s="396" t="s">
        <v>1364</v>
      </c>
      <c r="G618" s="396" t="s">
        <v>3125</v>
      </c>
      <c r="H618" s="405" t="s">
        <v>5348</v>
      </c>
      <c r="I618" s="399" t="s">
        <v>3444</v>
      </c>
      <c r="J618" s="399" t="s">
        <v>3401</v>
      </c>
      <c r="K618" s="405" t="s">
        <v>5349</v>
      </c>
      <c r="L618" s="405" t="s">
        <v>5350</v>
      </c>
      <c r="M618" s="405" t="s">
        <v>5351</v>
      </c>
      <c r="N618" s="405" t="s">
        <v>5352</v>
      </c>
      <c r="O618" s="405" t="s">
        <v>5282</v>
      </c>
      <c r="P618" s="405" t="s">
        <v>925</v>
      </c>
      <c r="Q618" s="250" t="s">
        <v>5047</v>
      </c>
      <c r="R618" s="233"/>
      <c r="S618" s="234">
        <f>IF(C618="",NA(),MATCH($B618&amp;$C618,'Smelter Reference List'!$J:$J,0))</f>
        <v>304</v>
      </c>
      <c r="T618" s="235"/>
      <c r="U618" s="235">
        <f t="shared" si="14"/>
        <v>0</v>
      </c>
      <c r="V618" s="235"/>
      <c r="W618" s="235"/>
      <c r="Y618" s="228" t="str">
        <f t="shared" si="15"/>
        <v>TinAlpha</v>
      </c>
    </row>
    <row r="619" spans="1:25" s="228" customFormat="1" ht="20.25">
      <c r="A619" s="404" t="s">
        <v>1365</v>
      </c>
      <c r="B619" s="396" t="s">
        <v>2324</v>
      </c>
      <c r="C619" s="397" t="s">
        <v>3450</v>
      </c>
      <c r="D619" s="396" t="s">
        <v>3450</v>
      </c>
      <c r="E619" s="396" t="s">
        <v>2170</v>
      </c>
      <c r="F619" s="396" t="s">
        <v>1365</v>
      </c>
      <c r="G619" s="396" t="s">
        <v>3125</v>
      </c>
      <c r="H619" s="405" t="s">
        <v>5353</v>
      </c>
      <c r="I619" s="399" t="s">
        <v>3451</v>
      </c>
      <c r="J619" s="399" t="s">
        <v>3452</v>
      </c>
      <c r="K619" s="405" t="s">
        <v>5354</v>
      </c>
      <c r="L619" s="405" t="s">
        <v>5355</v>
      </c>
      <c r="M619" s="405" t="s">
        <v>5055</v>
      </c>
      <c r="N619" s="405" t="s">
        <v>5055</v>
      </c>
      <c r="O619" s="405" t="s">
        <v>5191</v>
      </c>
      <c r="P619" s="405" t="s">
        <v>925</v>
      </c>
      <c r="Q619" s="250" t="s">
        <v>5047</v>
      </c>
      <c r="R619" s="233"/>
      <c r="S619" s="234">
        <f>IF(C619="",NA(),MATCH($B619&amp;$C619,'Smelter Reference List'!$J:$J,0))</f>
        <v>326</v>
      </c>
      <c r="T619" s="235"/>
      <c r="U619" s="235">
        <f t="shared" si="14"/>
        <v>0</v>
      </c>
      <c r="V619" s="235"/>
      <c r="W619" s="235"/>
      <c r="Y619" s="228" t="str">
        <f t="shared" si="15"/>
        <v>TinCooperativa Metalurgica de Rondônia Ltda.</v>
      </c>
    </row>
    <row r="620" spans="1:25" s="228" customFormat="1" ht="20.25">
      <c r="A620" s="404" t="s">
        <v>2665</v>
      </c>
      <c r="B620" s="396" t="s">
        <v>2324</v>
      </c>
      <c r="C620" s="397" t="s">
        <v>2664</v>
      </c>
      <c r="D620" s="396" t="s">
        <v>2664</v>
      </c>
      <c r="E620" s="396" t="s">
        <v>2238</v>
      </c>
      <c r="F620" s="396" t="s">
        <v>2665</v>
      </c>
      <c r="G620" s="396" t="s">
        <v>3125</v>
      </c>
      <c r="H620" s="405" t="s">
        <v>5055</v>
      </c>
      <c r="I620" s="399" t="s">
        <v>3453</v>
      </c>
      <c r="J620" s="399" t="s">
        <v>3454</v>
      </c>
      <c r="K620" s="405" t="s">
        <v>5055</v>
      </c>
      <c r="L620" s="405" t="s">
        <v>5055</v>
      </c>
      <c r="M620" s="405" t="s">
        <v>5055</v>
      </c>
      <c r="N620" s="405" t="s">
        <v>5055</v>
      </c>
      <c r="O620" s="405" t="s">
        <v>5191</v>
      </c>
      <c r="P620" s="405" t="s">
        <v>925</v>
      </c>
      <c r="Q620" s="250" t="s">
        <v>5047</v>
      </c>
      <c r="R620" s="233"/>
      <c r="S620" s="234">
        <f>IF(C620="",NA(),MATCH($B620&amp;$C620,'Smelter Reference List'!$J:$J,0))</f>
        <v>330</v>
      </c>
      <c r="T620" s="235"/>
      <c r="U620" s="235">
        <f t="shared" si="14"/>
        <v>0</v>
      </c>
      <c r="V620" s="235"/>
      <c r="W620" s="235"/>
      <c r="Y620" s="228" t="str">
        <f t="shared" si="15"/>
        <v>TinCV Gita Pesona</v>
      </c>
    </row>
    <row r="621" spans="1:25" s="228" customFormat="1" ht="20.25">
      <c r="A621" s="404" t="s">
        <v>2667</v>
      </c>
      <c r="B621" s="396" t="s">
        <v>2324</v>
      </c>
      <c r="C621" s="397" t="s">
        <v>4289</v>
      </c>
      <c r="D621" s="396" t="s">
        <v>4289</v>
      </c>
      <c r="E621" s="396" t="s">
        <v>2238</v>
      </c>
      <c r="F621" s="396" t="s">
        <v>2667</v>
      </c>
      <c r="G621" s="396" t="s">
        <v>3125</v>
      </c>
      <c r="H621" s="405" t="s">
        <v>5356</v>
      </c>
      <c r="I621" s="399" t="s">
        <v>5021</v>
      </c>
      <c r="J621" s="399" t="s">
        <v>3454</v>
      </c>
      <c r="K621" s="405" t="s">
        <v>5357</v>
      </c>
      <c r="L621" s="405" t="s">
        <v>5358</v>
      </c>
      <c r="M621" s="405" t="s">
        <v>5359</v>
      </c>
      <c r="N621" s="405" t="s">
        <v>5052</v>
      </c>
      <c r="O621" s="405" t="s">
        <v>5191</v>
      </c>
      <c r="P621" s="405" t="s">
        <v>925</v>
      </c>
      <c r="Q621" s="250" t="s">
        <v>5047</v>
      </c>
      <c r="R621" s="233"/>
      <c r="S621" s="234">
        <f>IF(C621="",NA(),MATCH($B621&amp;$C621,'Smelter Reference List'!$J:$J,0))</f>
        <v>398</v>
      </c>
      <c r="T621" s="235"/>
      <c r="U621" s="235">
        <f t="shared" si="14"/>
        <v>0</v>
      </c>
      <c r="V621" s="235"/>
      <c r="W621" s="235"/>
      <c r="Y621" s="228" t="str">
        <f t="shared" si="15"/>
        <v>TinPT Aries Kencana Sejahtera</v>
      </c>
    </row>
    <row r="622" spans="1:25" s="228" customFormat="1" ht="20.25">
      <c r="A622" s="404" t="s">
        <v>1366</v>
      </c>
      <c r="B622" s="396" t="s">
        <v>2324</v>
      </c>
      <c r="C622" s="397" t="s">
        <v>1504</v>
      </c>
      <c r="D622" s="396" t="s">
        <v>1504</v>
      </c>
      <c r="E622" s="396" t="s">
        <v>2238</v>
      </c>
      <c r="F622" s="396" t="s">
        <v>1366</v>
      </c>
      <c r="G622" s="396" t="s">
        <v>3125</v>
      </c>
      <c r="H622" s="405" t="s">
        <v>5360</v>
      </c>
      <c r="I622" s="399" t="s">
        <v>3456</v>
      </c>
      <c r="J622" s="399" t="s">
        <v>3454</v>
      </c>
      <c r="K622" s="405" t="s">
        <v>5055</v>
      </c>
      <c r="L622" s="405" t="s">
        <v>5361</v>
      </c>
      <c r="M622" s="405" t="s">
        <v>5362</v>
      </c>
      <c r="N622" s="405" t="s">
        <v>5052</v>
      </c>
      <c r="O622" s="405" t="s">
        <v>5191</v>
      </c>
      <c r="P622" s="405" t="s">
        <v>925</v>
      </c>
      <c r="Q622" s="250" t="s">
        <v>5047</v>
      </c>
      <c r="R622" s="233"/>
      <c r="S622" s="234">
        <f>IF(C622="",NA(),MATCH($B622&amp;$C622,'Smelter Reference List'!$J:$J,0))</f>
        <v>333</v>
      </c>
      <c r="T622" s="235"/>
      <c r="U622" s="235">
        <f t="shared" si="14"/>
        <v>0</v>
      </c>
      <c r="V622" s="235"/>
      <c r="W622" s="235"/>
      <c r="Y622" s="228" t="str">
        <f t="shared" si="15"/>
        <v>TinCV Serumpun Sebalai</v>
      </c>
    </row>
    <row r="623" spans="1:25" s="228" customFormat="1" ht="20.25">
      <c r="A623" s="404" t="s">
        <v>1367</v>
      </c>
      <c r="B623" s="396" t="s">
        <v>2324</v>
      </c>
      <c r="C623" s="397" t="s">
        <v>1505</v>
      </c>
      <c r="D623" s="396" t="s">
        <v>1505</v>
      </c>
      <c r="E623" s="396" t="s">
        <v>2238</v>
      </c>
      <c r="F623" s="396" t="s">
        <v>1367</v>
      </c>
      <c r="G623" s="396" t="s">
        <v>3125</v>
      </c>
      <c r="H623" s="405">
        <v>0</v>
      </c>
      <c r="I623" s="399" t="s">
        <v>3457</v>
      </c>
      <c r="J623" s="399" t="s">
        <v>3454</v>
      </c>
      <c r="K623" s="406" t="s">
        <v>5363</v>
      </c>
      <c r="L623" s="406" t="s">
        <v>5364</v>
      </c>
      <c r="M623" s="406" t="s">
        <v>5365</v>
      </c>
      <c r="N623" s="406" t="s">
        <v>5366</v>
      </c>
      <c r="O623" s="406" t="s">
        <v>5367</v>
      </c>
      <c r="P623" s="406" t="s">
        <v>925</v>
      </c>
      <c r="Q623" s="250" t="s">
        <v>5047</v>
      </c>
      <c r="R623" s="233"/>
      <c r="S623" s="234">
        <f>IF(C623="",NA(),MATCH($B623&amp;$C623,'Smelter Reference List'!$J:$J,0))</f>
        <v>335</v>
      </c>
      <c r="T623" s="235"/>
      <c r="U623" s="235">
        <f t="shared" si="14"/>
        <v>0</v>
      </c>
      <c r="V623" s="235"/>
      <c r="W623" s="235"/>
      <c r="Y623" s="228" t="str">
        <f t="shared" si="15"/>
        <v>TinCV United Smelting</v>
      </c>
    </row>
    <row r="624" spans="1:25" s="228" customFormat="1" ht="20.25">
      <c r="A624" s="404" t="s">
        <v>2732</v>
      </c>
      <c r="B624" s="396" t="s">
        <v>2324</v>
      </c>
      <c r="C624" s="397" t="s">
        <v>1788</v>
      </c>
      <c r="D624" s="396" t="s">
        <v>1788</v>
      </c>
      <c r="E624" s="396" t="s">
        <v>2249</v>
      </c>
      <c r="F624" s="396" t="s">
        <v>2732</v>
      </c>
      <c r="G624" s="396" t="s">
        <v>3125</v>
      </c>
      <c r="H624" s="405" t="s">
        <v>5368</v>
      </c>
      <c r="I624" s="399" t="s">
        <v>3173</v>
      </c>
      <c r="J624" s="399" t="s">
        <v>3174</v>
      </c>
      <c r="K624" s="405" t="s">
        <v>5369</v>
      </c>
      <c r="L624" s="405" t="s">
        <v>5370</v>
      </c>
      <c r="M624" s="405" t="s">
        <v>5093</v>
      </c>
      <c r="N624" s="405" t="s">
        <v>5052</v>
      </c>
      <c r="O624" s="405" t="s">
        <v>5191</v>
      </c>
      <c r="P624" s="405" t="s">
        <v>925</v>
      </c>
      <c r="Q624" s="250" t="s">
        <v>5047</v>
      </c>
      <c r="R624" s="233"/>
      <c r="S624" s="234">
        <f>IF(C624="",NA(),MATCH($B624&amp;$C624,'Smelter Reference List'!$J:$J,0))</f>
        <v>337</v>
      </c>
      <c r="T624" s="235"/>
      <c r="U624" s="235">
        <f t="shared" si="14"/>
        <v>0</v>
      </c>
      <c r="V624" s="235"/>
      <c r="W624" s="235"/>
      <c r="Y624" s="228" t="str">
        <f t="shared" si="15"/>
        <v>TinDowa</v>
      </c>
    </row>
    <row r="625" spans="1:25" s="228" customFormat="1" ht="25.5">
      <c r="A625" s="404" t="s">
        <v>1368</v>
      </c>
      <c r="B625" s="396" t="s">
        <v>2324</v>
      </c>
      <c r="C625" s="397" t="s">
        <v>1506</v>
      </c>
      <c r="D625" s="396" t="s">
        <v>1506</v>
      </c>
      <c r="E625" s="396" t="s">
        <v>5022</v>
      </c>
      <c r="F625" s="396" t="s">
        <v>1368</v>
      </c>
      <c r="G625" s="396" t="s">
        <v>3125</v>
      </c>
      <c r="H625" s="405" t="s">
        <v>5371</v>
      </c>
      <c r="I625" s="399" t="s">
        <v>3459</v>
      </c>
      <c r="J625" s="399" t="s">
        <v>3460</v>
      </c>
      <c r="K625" s="405" t="s">
        <v>5372</v>
      </c>
      <c r="L625" s="405" t="s">
        <v>5373</v>
      </c>
      <c r="M625" s="405" t="s">
        <v>5374</v>
      </c>
      <c r="N625" s="405" t="s">
        <v>5375</v>
      </c>
      <c r="O625" s="405" t="s">
        <v>5191</v>
      </c>
      <c r="P625" s="405" t="s">
        <v>925</v>
      </c>
      <c r="Q625" s="250" t="s">
        <v>5047</v>
      </c>
      <c r="R625" s="233"/>
      <c r="S625" s="234">
        <f>IF(C625="",NA(),MATCH($B625&amp;$C625,'Smelter Reference List'!$J:$J,0))</f>
        <v>341</v>
      </c>
      <c r="T625" s="235"/>
      <c r="U625" s="235">
        <f t="shared" si="14"/>
        <v>0</v>
      </c>
      <c r="V625" s="235"/>
      <c r="W625" s="235"/>
      <c r="Y625" s="228" t="str">
        <f t="shared" si="15"/>
        <v>TinEM Vinto</v>
      </c>
    </row>
    <row r="626" spans="1:25" s="228" customFormat="1" ht="25.5">
      <c r="A626" s="404" t="s">
        <v>1371</v>
      </c>
      <c r="B626" s="396" t="s">
        <v>2324</v>
      </c>
      <c r="C626" s="397" t="s">
        <v>1462</v>
      </c>
      <c r="D626" s="396" t="s">
        <v>1462</v>
      </c>
      <c r="E626" s="396" t="s">
        <v>1708</v>
      </c>
      <c r="F626" s="396" t="s">
        <v>1371</v>
      </c>
      <c r="G626" s="396" t="s">
        <v>3125</v>
      </c>
      <c r="H626" s="405" t="s">
        <v>5376</v>
      </c>
      <c r="I626" s="399" t="s">
        <v>3466</v>
      </c>
      <c r="J626" s="399" t="s">
        <v>3467</v>
      </c>
      <c r="K626" s="405" t="s">
        <v>5377</v>
      </c>
      <c r="L626" s="405" t="s">
        <v>5378</v>
      </c>
      <c r="M626" s="405" t="s">
        <v>5055</v>
      </c>
      <c r="N626" s="405" t="s">
        <v>5055</v>
      </c>
      <c r="O626" s="405" t="s">
        <v>5046</v>
      </c>
      <c r="P626" s="405" t="s">
        <v>925</v>
      </c>
      <c r="Q626" s="250" t="s">
        <v>5047</v>
      </c>
      <c r="R626" s="233"/>
      <c r="S626" s="234">
        <f>IF(C626="",NA(),MATCH($B626&amp;$C626,'Smelter Reference List'!$J:$J,0))</f>
        <v>347</v>
      </c>
      <c r="T626" s="235"/>
      <c r="U626" s="235">
        <f t="shared" si="14"/>
        <v>0</v>
      </c>
      <c r="V626" s="235"/>
      <c r="W626" s="235"/>
      <c r="Y626" s="228" t="str">
        <f t="shared" si="15"/>
        <v>TinFenix Metals</v>
      </c>
    </row>
    <row r="627" spans="1:25" s="228" customFormat="1" ht="20.25">
      <c r="A627" s="404" t="s">
        <v>1372</v>
      </c>
      <c r="B627" s="396" t="s">
        <v>2324</v>
      </c>
      <c r="C627" s="397" t="s">
        <v>4152</v>
      </c>
      <c r="D627" s="396" t="s">
        <v>4152</v>
      </c>
      <c r="E627" s="396" t="s">
        <v>2181</v>
      </c>
      <c r="F627" s="396" t="s">
        <v>1372</v>
      </c>
      <c r="G627" s="396" t="s">
        <v>3125</v>
      </c>
      <c r="H627" s="405" t="s">
        <v>5379</v>
      </c>
      <c r="I627" s="399" t="s">
        <v>5023</v>
      </c>
      <c r="J627" s="399" t="s">
        <v>3161</v>
      </c>
      <c r="K627" s="405" t="s">
        <v>5380</v>
      </c>
      <c r="L627" s="405" t="s">
        <v>5381</v>
      </c>
      <c r="M627" s="405" t="s">
        <v>5316</v>
      </c>
      <c r="N627" s="405" t="s">
        <v>5382</v>
      </c>
      <c r="O627" s="405" t="s">
        <v>5191</v>
      </c>
      <c r="P627" s="405" t="s">
        <v>925</v>
      </c>
      <c r="Q627" s="250" t="s">
        <v>5047</v>
      </c>
      <c r="R627" s="233"/>
      <c r="S627" s="234">
        <f>IF(C627="",NA(),MATCH($B627&amp;$C627,'Smelter Reference List'!$J:$J,0))</f>
        <v>353</v>
      </c>
      <c r="T627" s="235"/>
      <c r="U627" s="235">
        <f t="shared" si="14"/>
        <v>0</v>
      </c>
      <c r="V627" s="235"/>
      <c r="W627" s="235"/>
      <c r="Y627" s="228" t="str">
        <f t="shared" si="15"/>
        <v>TinGejiu Non-Ferrous Metal Processing Co., Ltd.</v>
      </c>
    </row>
    <row r="628" spans="1:25" s="228" customFormat="1" ht="20.25">
      <c r="A628" s="404" t="s">
        <v>1377</v>
      </c>
      <c r="B628" s="396" t="s">
        <v>2324</v>
      </c>
      <c r="C628" s="397" t="s">
        <v>2578</v>
      </c>
      <c r="D628" s="396" t="s">
        <v>2578</v>
      </c>
      <c r="E628" s="396" t="s">
        <v>2181</v>
      </c>
      <c r="F628" s="396" t="s">
        <v>1377</v>
      </c>
      <c r="G628" s="396" t="s">
        <v>3125</v>
      </c>
      <c r="H628" s="405" t="s">
        <v>5055</v>
      </c>
      <c r="I628" s="399" t="s">
        <v>3476</v>
      </c>
      <c r="J628" s="399" t="s">
        <v>3442</v>
      </c>
      <c r="K628" s="405" t="s">
        <v>5383</v>
      </c>
      <c r="L628" s="405" t="s">
        <v>5384</v>
      </c>
      <c r="M628" s="405" t="s">
        <v>5385</v>
      </c>
      <c r="N628" s="405" t="s">
        <v>5386</v>
      </c>
      <c r="O628" s="405" t="s">
        <v>5191</v>
      </c>
      <c r="P628" s="405" t="s">
        <v>925</v>
      </c>
      <c r="Q628" s="250" t="s">
        <v>5047</v>
      </c>
      <c r="R628" s="233"/>
      <c r="S628" s="234">
        <f>IF(C628="",NA(),MATCH($B628&amp;$C628,'Smelter Reference List'!$J:$J,0))</f>
        <v>318</v>
      </c>
      <c r="T628" s="235"/>
      <c r="U628" s="235">
        <f t="shared" si="14"/>
        <v>0</v>
      </c>
      <c r="V628" s="235"/>
      <c r="W628" s="235"/>
      <c r="Y628" s="228" t="str">
        <f t="shared" si="15"/>
        <v>TinChina Tin Group Co., Ltd.</v>
      </c>
    </row>
    <row r="629" spans="1:25" s="228" customFormat="1" ht="20.25">
      <c r="A629" s="404" t="s">
        <v>1378</v>
      </c>
      <c r="B629" s="396" t="s">
        <v>2324</v>
      </c>
      <c r="C629" s="397" t="s">
        <v>1471</v>
      </c>
      <c r="D629" s="396" t="s">
        <v>1471</v>
      </c>
      <c r="E629" s="396" t="s">
        <v>2289</v>
      </c>
      <c r="F629" s="396" t="s">
        <v>1378</v>
      </c>
      <c r="G629" s="396" t="s">
        <v>3125</v>
      </c>
      <c r="H629" s="405">
        <v>0</v>
      </c>
      <c r="I629" s="399" t="s">
        <v>3481</v>
      </c>
      <c r="J629" s="399" t="s">
        <v>3482</v>
      </c>
      <c r="K629" s="406" t="s">
        <v>5387</v>
      </c>
      <c r="L629" s="406" t="s">
        <v>5388</v>
      </c>
      <c r="M629" s="406" t="s">
        <v>5365</v>
      </c>
      <c r="N629" s="406" t="s">
        <v>5389</v>
      </c>
      <c r="O629" s="406" t="s">
        <v>5390</v>
      </c>
      <c r="P629" s="406" t="s">
        <v>925</v>
      </c>
      <c r="Q629" s="250" t="s">
        <v>5047</v>
      </c>
      <c r="R629" s="233"/>
      <c r="S629" s="234">
        <f>IF(C629="",NA(),MATCH($B629&amp;$C629,'Smelter Reference List'!$J:$J,0))</f>
        <v>377</v>
      </c>
      <c r="T629" s="235"/>
      <c r="U629" s="235">
        <f t="shared" si="14"/>
        <v>0</v>
      </c>
      <c r="V629" s="235"/>
      <c r="W629" s="235"/>
      <c r="Y629" s="228" t="str">
        <f t="shared" si="15"/>
        <v>TinMalaysia Smelting Corporation (MSC)</v>
      </c>
    </row>
    <row r="630" spans="1:25" s="228" customFormat="1" ht="20.25">
      <c r="A630" s="404" t="s">
        <v>3483</v>
      </c>
      <c r="B630" s="396" t="s">
        <v>2324</v>
      </c>
      <c r="C630" s="397" t="s">
        <v>4161</v>
      </c>
      <c r="D630" s="396" t="s">
        <v>4161</v>
      </c>
      <c r="E630" s="396" t="s">
        <v>5016</v>
      </c>
      <c r="F630" s="396" t="s">
        <v>3483</v>
      </c>
      <c r="G630" s="396" t="s">
        <v>3125</v>
      </c>
      <c r="H630" s="405" t="s">
        <v>5055</v>
      </c>
      <c r="I630" s="399" t="s">
        <v>3484</v>
      </c>
      <c r="J630" s="399" t="s">
        <v>3256</v>
      </c>
      <c r="K630" s="405" t="s">
        <v>5055</v>
      </c>
      <c r="L630" s="405" t="s">
        <v>5055</v>
      </c>
      <c r="M630" s="405" t="s">
        <v>5055</v>
      </c>
      <c r="N630" s="405" t="s">
        <v>5045</v>
      </c>
      <c r="O630" s="405" t="s">
        <v>5139</v>
      </c>
      <c r="P630" s="405" t="s">
        <v>924</v>
      </c>
      <c r="Q630" s="250" t="s">
        <v>5047</v>
      </c>
      <c r="R630" s="233"/>
      <c r="S630" s="234">
        <f>IF(C630="",NA(),MATCH($B630&amp;$C630,'Smelter Reference List'!$J:$J,0))</f>
        <v>381</v>
      </c>
      <c r="T630" s="235"/>
      <c r="U630" s="235">
        <f t="shared" si="14"/>
        <v>0</v>
      </c>
      <c r="V630" s="235"/>
      <c r="W630" s="235"/>
      <c r="Y630" s="228" t="str">
        <f t="shared" si="15"/>
        <v>TinMetallic Resources, Inc.</v>
      </c>
    </row>
    <row r="631" spans="1:25" s="228" customFormat="1" ht="20.25">
      <c r="A631" s="404" t="s">
        <v>1379</v>
      </c>
      <c r="B631" s="396" t="s">
        <v>2324</v>
      </c>
      <c r="C631" s="397" t="s">
        <v>1953</v>
      </c>
      <c r="D631" s="396" t="s">
        <v>1953</v>
      </c>
      <c r="E631" s="396" t="s">
        <v>2170</v>
      </c>
      <c r="F631" s="396" t="s">
        <v>1379</v>
      </c>
      <c r="G631" s="396" t="s">
        <v>3125</v>
      </c>
      <c r="H631" s="405">
        <v>0</v>
      </c>
      <c r="I631" s="399" t="s">
        <v>3485</v>
      </c>
      <c r="J631" s="399" t="s">
        <v>3313</v>
      </c>
      <c r="K631" s="406" t="s">
        <v>5391</v>
      </c>
      <c r="L631" s="406" t="s">
        <v>5392</v>
      </c>
      <c r="M631" s="406" t="s">
        <v>5365</v>
      </c>
      <c r="N631" s="406" t="s">
        <v>5393</v>
      </c>
      <c r="O631" s="406" t="s">
        <v>5394</v>
      </c>
      <c r="P631" s="406" t="s">
        <v>925</v>
      </c>
      <c r="Q631" s="250" t="s">
        <v>5047</v>
      </c>
      <c r="R631" s="233"/>
      <c r="S631" s="234">
        <f>IF(C631="",NA(),MATCH($B631&amp;$C631,'Smelter Reference List'!$J:$J,0))</f>
        <v>383</v>
      </c>
      <c r="T631" s="235"/>
      <c r="U631" s="235">
        <f t="shared" si="14"/>
        <v>0</v>
      </c>
      <c r="V631" s="235"/>
      <c r="W631" s="235"/>
      <c r="Y631" s="228" t="str">
        <f t="shared" si="15"/>
        <v>TinMineração Taboca S.A.</v>
      </c>
    </row>
    <row r="632" spans="1:25" s="228" customFormat="1" ht="20.25">
      <c r="A632" s="404" t="s">
        <v>1380</v>
      </c>
      <c r="B632" s="396" t="s">
        <v>2324</v>
      </c>
      <c r="C632" s="397" t="s">
        <v>1954</v>
      </c>
      <c r="D632" s="396" t="s">
        <v>1954</v>
      </c>
      <c r="E632" s="396" t="s">
        <v>1704</v>
      </c>
      <c r="F632" s="396" t="s">
        <v>1380</v>
      </c>
      <c r="G632" s="396" t="s">
        <v>3125</v>
      </c>
      <c r="H632" s="405">
        <v>0</v>
      </c>
      <c r="I632" s="399" t="s">
        <v>3487</v>
      </c>
      <c r="J632" s="399" t="s">
        <v>3488</v>
      </c>
      <c r="K632" s="406" t="s">
        <v>5395</v>
      </c>
      <c r="L632" s="406" t="s">
        <v>5396</v>
      </c>
      <c r="M632" s="406" t="s">
        <v>5365</v>
      </c>
      <c r="N632" s="406" t="s">
        <v>5397</v>
      </c>
      <c r="O632" s="406" t="s">
        <v>5397</v>
      </c>
      <c r="P632" s="406" t="s">
        <v>925</v>
      </c>
      <c r="Q632" s="250" t="s">
        <v>5047</v>
      </c>
      <c r="R632" s="233"/>
      <c r="S632" s="234">
        <f>IF(C632="",NA(),MATCH($B632&amp;$C632,'Smelter Reference List'!$J:$J,0))</f>
        <v>384</v>
      </c>
      <c r="T632" s="235"/>
      <c r="U632" s="235">
        <f t="shared" si="14"/>
        <v>0</v>
      </c>
      <c r="V632" s="235"/>
      <c r="W632" s="235"/>
      <c r="Y632" s="228" t="str">
        <f t="shared" si="15"/>
        <v>TinMinsur</v>
      </c>
    </row>
    <row r="633" spans="1:25" s="228" customFormat="1" ht="20.25">
      <c r="A633" s="404" t="s">
        <v>1381</v>
      </c>
      <c r="B633" s="396" t="s">
        <v>2324</v>
      </c>
      <c r="C633" s="397" t="s">
        <v>2371</v>
      </c>
      <c r="D633" s="396" t="s">
        <v>2371</v>
      </c>
      <c r="E633" s="396" t="s">
        <v>2249</v>
      </c>
      <c r="F633" s="396" t="s">
        <v>1381</v>
      </c>
      <c r="G633" s="396" t="s">
        <v>3125</v>
      </c>
      <c r="H633" s="405" t="s">
        <v>5398</v>
      </c>
      <c r="I633" s="399" t="s">
        <v>3490</v>
      </c>
      <c r="J633" s="399" t="s">
        <v>3140</v>
      </c>
      <c r="K633" s="405" t="s">
        <v>5399</v>
      </c>
      <c r="L633" s="405" t="s">
        <v>5400</v>
      </c>
      <c r="M633" s="405" t="s">
        <v>5401</v>
      </c>
      <c r="N633" s="405" t="s">
        <v>5061</v>
      </c>
      <c r="O633" s="405" t="s">
        <v>5139</v>
      </c>
      <c r="P633" s="405" t="s">
        <v>924</v>
      </c>
      <c r="Q633" s="250" t="s">
        <v>5047</v>
      </c>
      <c r="R633" s="233"/>
      <c r="S633" s="234">
        <f>IF(C633="",NA(),MATCH($B633&amp;$C633,'Smelter Reference List'!$J:$J,0))</f>
        <v>385</v>
      </c>
      <c r="T633" s="235"/>
      <c r="U633" s="235">
        <f t="shared" si="14"/>
        <v>0</v>
      </c>
      <c r="V633" s="235"/>
      <c r="W633" s="235"/>
      <c r="Y633" s="228" t="str">
        <f t="shared" si="15"/>
        <v>TinMitsubishi Materials Corporation</v>
      </c>
    </row>
    <row r="634" spans="1:25" s="228" customFormat="1" ht="20.25">
      <c r="A634" s="404" t="s">
        <v>1383</v>
      </c>
      <c r="B634" s="396" t="s">
        <v>2324</v>
      </c>
      <c r="C634" s="397" t="s">
        <v>1382</v>
      </c>
      <c r="D634" s="396" t="s">
        <v>1382</v>
      </c>
      <c r="E634" s="396" t="s">
        <v>1743</v>
      </c>
      <c r="F634" s="396" t="s">
        <v>1383</v>
      </c>
      <c r="G634" s="396" t="s">
        <v>3125</v>
      </c>
      <c r="H634" s="405" t="s">
        <v>5402</v>
      </c>
      <c r="I634" s="399" t="s">
        <v>4744</v>
      </c>
      <c r="J634" s="399" t="s">
        <v>3493</v>
      </c>
      <c r="K634" s="405" t="s">
        <v>5055</v>
      </c>
      <c r="L634" s="405" t="s">
        <v>5055</v>
      </c>
      <c r="M634" s="405" t="s">
        <v>5055</v>
      </c>
      <c r="N634" s="405" t="s">
        <v>5055</v>
      </c>
      <c r="O634" s="405" t="s">
        <v>5272</v>
      </c>
      <c r="P634" s="405" t="s">
        <v>925</v>
      </c>
      <c r="Q634" s="250" t="s">
        <v>5047</v>
      </c>
      <c r="R634" s="233"/>
      <c r="S634" s="234">
        <f>IF(C634="",NA(),MATCH($B634&amp;$C634,'Smelter Reference List'!$J:$J,0))</f>
        <v>391</v>
      </c>
      <c r="T634" s="235"/>
      <c r="U634" s="235">
        <f t="shared" si="14"/>
        <v>0</v>
      </c>
      <c r="V634" s="235"/>
      <c r="W634" s="235"/>
      <c r="Y634" s="228" t="str">
        <f t="shared" si="15"/>
        <v>TinO.M. Manufacturing (Thailand) Co., Ltd.</v>
      </c>
    </row>
    <row r="635" spans="1:25" s="228" customFormat="1" ht="25.5">
      <c r="A635" s="404" t="s">
        <v>1384</v>
      </c>
      <c r="B635" s="396" t="s">
        <v>2324</v>
      </c>
      <c r="C635" s="397" t="s">
        <v>3494</v>
      </c>
      <c r="D635" s="396" t="s">
        <v>3494</v>
      </c>
      <c r="E635" s="396" t="s">
        <v>5022</v>
      </c>
      <c r="F635" s="396" t="s">
        <v>1384</v>
      </c>
      <c r="G635" s="396" t="s">
        <v>3125</v>
      </c>
      <c r="H635" s="405">
        <v>0</v>
      </c>
      <c r="I635" s="399" t="s">
        <v>3459</v>
      </c>
      <c r="J635" s="399" t="s">
        <v>3460</v>
      </c>
      <c r="K635" s="406" t="s">
        <v>5403</v>
      </c>
      <c r="L635" s="406" t="s">
        <v>5404</v>
      </c>
      <c r="M635" s="406" t="s">
        <v>5365</v>
      </c>
      <c r="N635" s="406" t="s">
        <v>5405</v>
      </c>
      <c r="O635" s="406" t="s">
        <v>5405</v>
      </c>
      <c r="P635" s="406" t="s">
        <v>925</v>
      </c>
      <c r="Q635" s="250" t="s">
        <v>5047</v>
      </c>
      <c r="R635" s="233"/>
      <c r="S635" s="234">
        <f>IF(C635="",NA(),MATCH($B635&amp;$C635,'Smelter Reference List'!$J:$J,0))</f>
        <v>394</v>
      </c>
      <c r="T635" s="235"/>
      <c r="U635" s="235">
        <f t="shared" si="14"/>
        <v>0</v>
      </c>
      <c r="V635" s="235"/>
      <c r="W635" s="235"/>
      <c r="Y635" s="228" t="str">
        <f t="shared" si="15"/>
        <v>TinOperaciones Metalurgical S.A.</v>
      </c>
    </row>
    <row r="636" spans="1:25" s="228" customFormat="1" ht="20.25">
      <c r="A636" s="404" t="s">
        <v>1385</v>
      </c>
      <c r="B636" s="396" t="s">
        <v>2324</v>
      </c>
      <c r="C636" s="397" t="s">
        <v>1508</v>
      </c>
      <c r="D636" s="396" t="s">
        <v>1508</v>
      </c>
      <c r="E636" s="396" t="s">
        <v>2238</v>
      </c>
      <c r="F636" s="396" t="s">
        <v>1385</v>
      </c>
      <c r="G636" s="396" t="s">
        <v>3125</v>
      </c>
      <c r="H636" s="405" t="s">
        <v>5406</v>
      </c>
      <c r="I636" s="399" t="s">
        <v>3453</v>
      </c>
      <c r="J636" s="399" t="s">
        <v>3454</v>
      </c>
      <c r="K636" s="405" t="s">
        <v>5407</v>
      </c>
      <c r="L636" s="405" t="s">
        <v>5408</v>
      </c>
      <c r="M636" s="405" t="s">
        <v>5409</v>
      </c>
      <c r="N636" s="405" t="s">
        <v>5052</v>
      </c>
      <c r="O636" s="405" t="s">
        <v>5191</v>
      </c>
      <c r="P636" s="405" t="s">
        <v>925</v>
      </c>
      <c r="Q636" s="250" t="s">
        <v>5047</v>
      </c>
      <c r="R636" s="233"/>
      <c r="S636" s="234">
        <f>IF(C636="",NA(),MATCH($B636&amp;$C636,'Smelter Reference List'!$J:$J,0))</f>
        <v>399</v>
      </c>
      <c r="T636" s="235"/>
      <c r="U636" s="235">
        <f t="shared" si="14"/>
        <v>0</v>
      </c>
      <c r="V636" s="235"/>
      <c r="W636" s="235"/>
      <c r="Y636" s="228" t="str">
        <f t="shared" si="15"/>
        <v>TinPT Artha Cipta Langgeng</v>
      </c>
    </row>
    <row r="637" spans="1:25" s="228" customFormat="1" ht="20.25">
      <c r="A637" s="404" t="s">
        <v>1386</v>
      </c>
      <c r="B637" s="396" t="s">
        <v>2324</v>
      </c>
      <c r="C637" s="397" t="s">
        <v>1509</v>
      </c>
      <c r="D637" s="396" t="s">
        <v>1509</v>
      </c>
      <c r="E637" s="396" t="s">
        <v>2238</v>
      </c>
      <c r="F637" s="396" t="s">
        <v>1386</v>
      </c>
      <c r="G637" s="396" t="s">
        <v>3125</v>
      </c>
      <c r="H637" s="405" t="s">
        <v>5410</v>
      </c>
      <c r="I637" s="399" t="s">
        <v>3495</v>
      </c>
      <c r="J637" s="399" t="s">
        <v>3454</v>
      </c>
      <c r="K637" s="405" t="s">
        <v>5411</v>
      </c>
      <c r="L637" s="405" t="s">
        <v>5097</v>
      </c>
      <c r="M637" s="405" t="s">
        <v>5412</v>
      </c>
      <c r="N637" s="405" t="s">
        <v>5052</v>
      </c>
      <c r="O637" s="405" t="s">
        <v>5191</v>
      </c>
      <c r="P637" s="405" t="s">
        <v>925</v>
      </c>
      <c r="Q637" s="250" t="s">
        <v>5047</v>
      </c>
      <c r="R637" s="233"/>
      <c r="S637" s="234">
        <f>IF(C637="",NA(),MATCH($B637&amp;$C637,'Smelter Reference List'!$J:$J,0))</f>
        <v>401</v>
      </c>
      <c r="T637" s="235"/>
      <c r="U637" s="235">
        <f t="shared" si="14"/>
        <v>0</v>
      </c>
      <c r="V637" s="235"/>
      <c r="W637" s="235"/>
      <c r="Y637" s="228" t="str">
        <f t="shared" si="15"/>
        <v>TinPT Babel Inti Perkasa</v>
      </c>
    </row>
    <row r="638" spans="1:25" s="228" customFormat="1" ht="20.25">
      <c r="A638" s="404" t="s">
        <v>1387</v>
      </c>
      <c r="B638" s="396" t="s">
        <v>2324</v>
      </c>
      <c r="C638" s="397" t="s">
        <v>1173</v>
      </c>
      <c r="D638" s="396" t="s">
        <v>1173</v>
      </c>
      <c r="E638" s="396" t="s">
        <v>2238</v>
      </c>
      <c r="F638" s="396" t="s">
        <v>1387</v>
      </c>
      <c r="G638" s="396" t="s">
        <v>3125</v>
      </c>
      <c r="H638" s="405" t="s">
        <v>5413</v>
      </c>
      <c r="I638" s="399" t="s">
        <v>3453</v>
      </c>
      <c r="J638" s="399" t="s">
        <v>3454</v>
      </c>
      <c r="K638" s="405" t="s">
        <v>5414</v>
      </c>
      <c r="L638" s="405" t="s">
        <v>5415</v>
      </c>
      <c r="M638" s="405" t="s">
        <v>5416</v>
      </c>
      <c r="N638" s="405" t="s">
        <v>5417</v>
      </c>
      <c r="O638" s="405" t="s">
        <v>5191</v>
      </c>
      <c r="P638" s="405" t="s">
        <v>925</v>
      </c>
      <c r="Q638" s="250" t="s">
        <v>5047</v>
      </c>
      <c r="R638" s="233"/>
      <c r="S638" s="234">
        <f>IF(C638="",NA(),MATCH($B638&amp;$C638,'Smelter Reference List'!$J:$J,0))</f>
        <v>405</v>
      </c>
      <c r="T638" s="235"/>
      <c r="U638" s="235">
        <f t="shared" si="14"/>
        <v>0</v>
      </c>
      <c r="V638" s="235"/>
      <c r="W638" s="235"/>
      <c r="Y638" s="228" t="str">
        <f t="shared" si="15"/>
        <v>TinPT Bangka Tin Industry</v>
      </c>
    </row>
    <row r="639" spans="1:25" s="228" customFormat="1" ht="20.25">
      <c r="A639" s="404" t="s">
        <v>1388</v>
      </c>
      <c r="B639" s="396" t="s">
        <v>2324</v>
      </c>
      <c r="C639" s="397" t="s">
        <v>1193</v>
      </c>
      <c r="D639" s="396" t="s">
        <v>1193</v>
      </c>
      <c r="E639" s="396" t="s">
        <v>2238</v>
      </c>
      <c r="F639" s="396" t="s">
        <v>1388</v>
      </c>
      <c r="G639" s="396" t="s">
        <v>3125</v>
      </c>
      <c r="H639" s="405" t="s">
        <v>5418</v>
      </c>
      <c r="I639" s="399" t="s">
        <v>3457</v>
      </c>
      <c r="J639" s="399" t="s">
        <v>3454</v>
      </c>
      <c r="K639" s="405" t="s">
        <v>5419</v>
      </c>
      <c r="L639" s="405" t="s">
        <v>5420</v>
      </c>
      <c r="M639" s="405" t="s">
        <v>5421</v>
      </c>
      <c r="N639" s="405" t="s">
        <v>5422</v>
      </c>
      <c r="O639" s="405" t="s">
        <v>5191</v>
      </c>
      <c r="P639" s="405" t="s">
        <v>925</v>
      </c>
      <c r="Q639" s="250" t="s">
        <v>5047</v>
      </c>
      <c r="R639" s="233"/>
      <c r="S639" s="234">
        <f>IF(C639="",NA(),MATCH($B639&amp;$C639,'Smelter Reference List'!$J:$J,0))</f>
        <v>406</v>
      </c>
      <c r="T639" s="235"/>
      <c r="U639" s="235">
        <f t="shared" si="14"/>
        <v>0</v>
      </c>
      <c r="V639" s="235"/>
      <c r="W639" s="235"/>
      <c r="Y639" s="228" t="str">
        <f t="shared" si="15"/>
        <v>TinPT Belitung Industri Sejahtera</v>
      </c>
    </row>
    <row r="640" spans="1:25" s="228" customFormat="1" ht="20.25">
      <c r="A640" s="404" t="s">
        <v>1389</v>
      </c>
      <c r="B640" s="396" t="s">
        <v>2324</v>
      </c>
      <c r="C640" s="397" t="s">
        <v>1194</v>
      </c>
      <c r="D640" s="396" t="s">
        <v>1194</v>
      </c>
      <c r="E640" s="396" t="s">
        <v>2238</v>
      </c>
      <c r="F640" s="396" t="s">
        <v>1389</v>
      </c>
      <c r="G640" s="396" t="s">
        <v>3125</v>
      </c>
      <c r="H640" s="405">
        <v>0</v>
      </c>
      <c r="I640" s="399" t="s">
        <v>3457</v>
      </c>
      <c r="J640" s="399" t="s">
        <v>3454</v>
      </c>
      <c r="K640" s="406" t="s">
        <v>5423</v>
      </c>
      <c r="L640" s="406" t="s">
        <v>5424</v>
      </c>
      <c r="M640" s="406" t="s">
        <v>5365</v>
      </c>
      <c r="N640" s="406" t="s">
        <v>5425</v>
      </c>
      <c r="O640" s="406" t="s">
        <v>5426</v>
      </c>
      <c r="P640" s="406" t="s">
        <v>925</v>
      </c>
      <c r="Q640" s="250" t="s">
        <v>5047</v>
      </c>
      <c r="R640" s="233"/>
      <c r="S640" s="234">
        <f>IF(C640="",NA(),MATCH($B640&amp;$C640,'Smelter Reference List'!$J:$J,0))</f>
        <v>408</v>
      </c>
      <c r="T640" s="235"/>
      <c r="U640" s="235">
        <f t="shared" si="14"/>
        <v>0</v>
      </c>
      <c r="V640" s="235"/>
      <c r="W640" s="235"/>
      <c r="Y640" s="228" t="str">
        <f t="shared" si="15"/>
        <v>TinPT Bukit Timah</v>
      </c>
    </row>
    <row r="641" spans="1:25" s="228" customFormat="1" ht="20.25">
      <c r="A641" s="404" t="s">
        <v>1390</v>
      </c>
      <c r="B641" s="396" t="s">
        <v>2324</v>
      </c>
      <c r="C641" s="397" t="s">
        <v>1174</v>
      </c>
      <c r="D641" s="396" t="s">
        <v>1174</v>
      </c>
      <c r="E641" s="396" t="s">
        <v>2238</v>
      </c>
      <c r="F641" s="396" t="s">
        <v>1390</v>
      </c>
      <c r="G641" s="396" t="s">
        <v>3125</v>
      </c>
      <c r="H641" s="405" t="s">
        <v>5427</v>
      </c>
      <c r="I641" s="399" t="s">
        <v>3457</v>
      </c>
      <c r="J641" s="399" t="s">
        <v>3454</v>
      </c>
      <c r="K641" s="405" t="s">
        <v>5428</v>
      </c>
      <c r="L641" s="405" t="s">
        <v>5429</v>
      </c>
      <c r="M641" s="405" t="s">
        <v>5430</v>
      </c>
      <c r="N641" s="405" t="s">
        <v>5431</v>
      </c>
      <c r="O641" s="405" t="s">
        <v>5191</v>
      </c>
      <c r="P641" s="405" t="s">
        <v>925</v>
      </c>
      <c r="Q641" s="250" t="s">
        <v>5047</v>
      </c>
      <c r="R641" s="233"/>
      <c r="S641" s="234">
        <f>IF(C641="",NA(),MATCH($B641&amp;$C641,'Smelter Reference List'!$J:$J,0))</f>
        <v>410</v>
      </c>
      <c r="T641" s="235"/>
      <c r="U641" s="235">
        <f t="shared" si="14"/>
        <v>0</v>
      </c>
      <c r="V641" s="235"/>
      <c r="W641" s="235"/>
      <c r="Y641" s="228" t="str">
        <f t="shared" si="15"/>
        <v>TinPT DS Jaya Abadi</v>
      </c>
    </row>
    <row r="642" spans="1:25" s="228" customFormat="1" ht="20.25">
      <c r="A642" s="404" t="s">
        <v>1391</v>
      </c>
      <c r="B642" s="396" t="s">
        <v>2324</v>
      </c>
      <c r="C642" s="397" t="s">
        <v>1195</v>
      </c>
      <c r="D642" s="396" t="s">
        <v>1195</v>
      </c>
      <c r="E642" s="396" t="s">
        <v>2238</v>
      </c>
      <c r="F642" s="396" t="s">
        <v>1391</v>
      </c>
      <c r="G642" s="396" t="s">
        <v>3125</v>
      </c>
      <c r="H642" s="405" t="s">
        <v>5432</v>
      </c>
      <c r="I642" s="399" t="s">
        <v>3500</v>
      </c>
      <c r="J642" s="399" t="s">
        <v>3499</v>
      </c>
      <c r="K642" s="405" t="s">
        <v>5433</v>
      </c>
      <c r="L642" s="405" t="s">
        <v>5434</v>
      </c>
      <c r="M642" s="405" t="s">
        <v>5435</v>
      </c>
      <c r="N642" s="405" t="s">
        <v>5436</v>
      </c>
      <c r="O642" s="405" t="s">
        <v>5191</v>
      </c>
      <c r="P642" s="405" t="s">
        <v>925</v>
      </c>
      <c r="Q642" s="250" t="s">
        <v>5047</v>
      </c>
      <c r="R642" s="233"/>
      <c r="S642" s="234">
        <f>IF(C642="",NA(),MATCH($B642&amp;$C642,'Smelter Reference List'!$J:$J,0))</f>
        <v>411</v>
      </c>
      <c r="T642" s="235"/>
      <c r="U642" s="235">
        <f t="shared" si="14"/>
        <v>0</v>
      </c>
      <c r="V642" s="235"/>
      <c r="W642" s="235"/>
      <c r="Y642" s="228" t="str">
        <f t="shared" si="15"/>
        <v>TinPT Eunindo Usaha Mandiri</v>
      </c>
    </row>
    <row r="643" spans="1:25" s="228" customFormat="1" ht="20.25">
      <c r="A643" s="404" t="s">
        <v>1393</v>
      </c>
      <c r="B643" s="396" t="s">
        <v>2324</v>
      </c>
      <c r="C643" s="397" t="s">
        <v>1196</v>
      </c>
      <c r="D643" s="396" t="s">
        <v>1196</v>
      </c>
      <c r="E643" s="396" t="s">
        <v>2238</v>
      </c>
      <c r="F643" s="396" t="s">
        <v>1393</v>
      </c>
      <c r="G643" s="396" t="s">
        <v>3125</v>
      </c>
      <c r="H643" s="405" t="s">
        <v>5437</v>
      </c>
      <c r="I643" s="399" t="s">
        <v>3453</v>
      </c>
      <c r="J643" s="399" t="s">
        <v>3454</v>
      </c>
      <c r="K643" s="406" t="s">
        <v>5438</v>
      </c>
      <c r="L643" s="406" t="s">
        <v>5439</v>
      </c>
      <c r="M643" s="406" t="s">
        <v>5440</v>
      </c>
      <c r="N643" s="406" t="s">
        <v>5441</v>
      </c>
      <c r="O643" s="406" t="s">
        <v>5442</v>
      </c>
      <c r="P643" s="406" t="s">
        <v>925</v>
      </c>
      <c r="Q643" s="250" t="s">
        <v>5047</v>
      </c>
      <c r="R643" s="233"/>
      <c r="S643" s="234">
        <f>IF(C643="",NA(),MATCH($B643&amp;$C643,'Smelter Reference List'!$J:$J,0))</f>
        <v>419</v>
      </c>
      <c r="T643" s="235"/>
      <c r="U643" s="235">
        <f t="shared" si="14"/>
        <v>0</v>
      </c>
      <c r="V643" s="235"/>
      <c r="W643" s="235"/>
      <c r="Y643" s="228" t="str">
        <f t="shared" si="15"/>
        <v>TinPT Mitra Stania Prima</v>
      </c>
    </row>
    <row r="644" spans="1:25" s="228" customFormat="1" ht="20.25">
      <c r="A644" s="404" t="s">
        <v>2679</v>
      </c>
      <c r="B644" s="396" t="s">
        <v>2324</v>
      </c>
      <c r="C644" s="397" t="s">
        <v>2678</v>
      </c>
      <c r="D644" s="396" t="s">
        <v>2678</v>
      </c>
      <c r="E644" s="396" t="s">
        <v>2238</v>
      </c>
      <c r="F644" s="396" t="s">
        <v>2679</v>
      </c>
      <c r="G644" s="396" t="s">
        <v>3125</v>
      </c>
      <c r="H644" s="405" t="s">
        <v>5443</v>
      </c>
      <c r="I644" s="399" t="s">
        <v>3453</v>
      </c>
      <c r="J644" s="399" t="s">
        <v>3454</v>
      </c>
      <c r="K644" s="405" t="s">
        <v>5444</v>
      </c>
      <c r="L644" s="405" t="s">
        <v>5445</v>
      </c>
      <c r="M644" s="405" t="s">
        <v>5409</v>
      </c>
      <c r="N644" s="405" t="s">
        <v>5052</v>
      </c>
      <c r="O644" s="405" t="s">
        <v>5191</v>
      </c>
      <c r="P644" s="405" t="s">
        <v>925</v>
      </c>
      <c r="Q644" s="250" t="s">
        <v>5047</v>
      </c>
      <c r="R644" s="233"/>
      <c r="S644" s="234">
        <f>IF(C644="",NA(),MATCH($B644&amp;$C644,'Smelter Reference List'!$J:$J,0))</f>
        <v>421</v>
      </c>
      <c r="T644" s="235"/>
      <c r="U644" s="235">
        <f t="shared" si="14"/>
        <v>0</v>
      </c>
      <c r="V644" s="235"/>
      <c r="W644" s="235"/>
      <c r="Y644" s="228" t="str">
        <f t="shared" si="15"/>
        <v>TinPT Panca Mega Persada</v>
      </c>
    </row>
    <row r="645" spans="1:25" s="228" customFormat="1" ht="20.25">
      <c r="A645" s="404" t="s">
        <v>1395</v>
      </c>
      <c r="B645" s="396" t="s">
        <v>2324</v>
      </c>
      <c r="C645" s="397" t="s">
        <v>1394</v>
      </c>
      <c r="D645" s="396" t="s">
        <v>1394</v>
      </c>
      <c r="E645" s="396" t="s">
        <v>2238</v>
      </c>
      <c r="F645" s="396" t="s">
        <v>1395</v>
      </c>
      <c r="G645" s="396" t="s">
        <v>3125</v>
      </c>
      <c r="H645" s="405" t="s">
        <v>5446</v>
      </c>
      <c r="I645" s="399" t="s">
        <v>3457</v>
      </c>
      <c r="J645" s="399" t="s">
        <v>3454</v>
      </c>
      <c r="K645" s="405" t="s">
        <v>5447</v>
      </c>
      <c r="L645" s="405" t="s">
        <v>5448</v>
      </c>
      <c r="M645" s="405" t="s">
        <v>5449</v>
      </c>
      <c r="N645" s="405" t="s">
        <v>5052</v>
      </c>
      <c r="O645" s="405" t="s">
        <v>5191</v>
      </c>
      <c r="P645" s="405" t="s">
        <v>925</v>
      </c>
      <c r="Q645" s="250" t="s">
        <v>5047</v>
      </c>
      <c r="R645" s="233"/>
      <c r="S645" s="234">
        <f>IF(C645="",NA(),MATCH($B645&amp;$C645,'Smelter Reference List'!$J:$J,0))</f>
        <v>423</v>
      </c>
      <c r="T645" s="235"/>
      <c r="U645" s="235">
        <f t="shared" si="14"/>
        <v>0</v>
      </c>
      <c r="V645" s="235"/>
      <c r="W645" s="235"/>
      <c r="Y645" s="228" t="str">
        <f t="shared" si="15"/>
        <v>TinPT Prima Timah Utama</v>
      </c>
    </row>
    <row r="646" spans="1:25" s="228" customFormat="1" ht="20.25">
      <c r="A646" s="404" t="s">
        <v>1396</v>
      </c>
      <c r="B646" s="396" t="s">
        <v>2324</v>
      </c>
      <c r="C646" s="397" t="s">
        <v>4169</v>
      </c>
      <c r="D646" s="396" t="s">
        <v>4169</v>
      </c>
      <c r="E646" s="396" t="s">
        <v>2238</v>
      </c>
      <c r="F646" s="396" t="s">
        <v>1396</v>
      </c>
      <c r="G646" s="396" t="s">
        <v>3125</v>
      </c>
      <c r="H646" s="405" t="s">
        <v>5450</v>
      </c>
      <c r="I646" s="399" t="s">
        <v>3453</v>
      </c>
      <c r="J646" s="399" t="s">
        <v>3454</v>
      </c>
      <c r="K646" s="405" t="s">
        <v>5451</v>
      </c>
      <c r="L646" s="405" t="s">
        <v>5452</v>
      </c>
      <c r="M646" s="405" t="s">
        <v>5453</v>
      </c>
      <c r="N646" s="405" t="s">
        <v>5052</v>
      </c>
      <c r="O646" s="405" t="s">
        <v>5191</v>
      </c>
      <c r="P646" s="405" t="s">
        <v>925</v>
      </c>
      <c r="Q646" s="250" t="s">
        <v>5047</v>
      </c>
      <c r="R646" s="233"/>
      <c r="S646" s="234">
        <f>IF(C646="",NA(),MATCH($B646&amp;$C646,'Smelter Reference List'!$J:$J,0))</f>
        <v>424</v>
      </c>
      <c r="T646" s="235"/>
      <c r="U646" s="235">
        <f t="shared" ref="U646:U709" si="16">IF(AND(C646="Smelter not listed",OR(LEN(D646)=0,LEN(E646)=0)),1,0)</f>
        <v>0</v>
      </c>
      <c r="V646" s="235"/>
      <c r="W646" s="235"/>
      <c r="Y646" s="228" t="str">
        <f t="shared" ref="Y646:Y709" si="17">B646&amp;C646</f>
        <v>TinPT Refined Bangka Tin</v>
      </c>
    </row>
    <row r="647" spans="1:25" s="228" customFormat="1" ht="20.25">
      <c r="A647" s="404" t="s">
        <v>1397</v>
      </c>
      <c r="B647" s="396" t="s">
        <v>2324</v>
      </c>
      <c r="C647" s="397" t="s">
        <v>1197</v>
      </c>
      <c r="D647" s="396" t="s">
        <v>1197</v>
      </c>
      <c r="E647" s="396" t="s">
        <v>2238</v>
      </c>
      <c r="F647" s="396" t="s">
        <v>1397</v>
      </c>
      <c r="G647" s="396" t="s">
        <v>3125</v>
      </c>
      <c r="H647" s="405" t="s">
        <v>5454</v>
      </c>
      <c r="I647" s="399" t="s">
        <v>3457</v>
      </c>
      <c r="J647" s="399" t="s">
        <v>3454</v>
      </c>
      <c r="K647" s="405" t="s">
        <v>5455</v>
      </c>
      <c r="L647" s="405" t="s">
        <v>5456</v>
      </c>
      <c r="M647" s="405" t="s">
        <v>5457</v>
      </c>
      <c r="N647" s="405" t="s">
        <v>5458</v>
      </c>
      <c r="O647" s="405" t="s">
        <v>5191</v>
      </c>
      <c r="P647" s="405" t="s">
        <v>925</v>
      </c>
      <c r="Q647" s="250" t="s">
        <v>5047</v>
      </c>
      <c r="R647" s="233"/>
      <c r="S647" s="234">
        <f>IF(C647="",NA(),MATCH($B647&amp;$C647,'Smelter Reference List'!$J:$J,0))</f>
        <v>425</v>
      </c>
      <c r="T647" s="235"/>
      <c r="U647" s="235">
        <f t="shared" si="16"/>
        <v>0</v>
      </c>
      <c r="V647" s="235"/>
      <c r="W647" s="235"/>
      <c r="Y647" s="228" t="str">
        <f t="shared" si="17"/>
        <v>TinPT Sariwiguna Binasentosa</v>
      </c>
    </row>
    <row r="648" spans="1:25" s="228" customFormat="1" ht="20.25">
      <c r="A648" s="404" t="s">
        <v>1398</v>
      </c>
      <c r="B648" s="396" t="s">
        <v>2324</v>
      </c>
      <c r="C648" s="397" t="s">
        <v>2369</v>
      </c>
      <c r="D648" s="396" t="s">
        <v>2369</v>
      </c>
      <c r="E648" s="396" t="s">
        <v>2238</v>
      </c>
      <c r="F648" s="396" t="s">
        <v>1398</v>
      </c>
      <c r="G648" s="396" t="s">
        <v>3125</v>
      </c>
      <c r="H648" s="405">
        <v>0</v>
      </c>
      <c r="I648" s="399" t="s">
        <v>3457</v>
      </c>
      <c r="J648" s="399" t="s">
        <v>3454</v>
      </c>
      <c r="K648" s="406" t="s">
        <v>5459</v>
      </c>
      <c r="L648" s="406" t="s">
        <v>5460</v>
      </c>
      <c r="M648" s="406" t="s">
        <v>5365</v>
      </c>
      <c r="N648" s="406" t="s">
        <v>5461</v>
      </c>
      <c r="O648" s="406" t="s">
        <v>5462</v>
      </c>
      <c r="P648" s="406" t="s">
        <v>925</v>
      </c>
      <c r="Q648" s="250" t="s">
        <v>5047</v>
      </c>
      <c r="R648" s="233"/>
      <c r="S648" s="234">
        <f>IF(C648="",NA(),MATCH($B648&amp;$C648,'Smelter Reference List'!$J:$J,0))</f>
        <v>427</v>
      </c>
      <c r="T648" s="235"/>
      <c r="U648" s="235">
        <f t="shared" si="16"/>
        <v>0</v>
      </c>
      <c r="V648" s="235"/>
      <c r="W648" s="235"/>
      <c r="Y648" s="228" t="str">
        <f t="shared" si="17"/>
        <v>TinPT Stanindo Inti Perkasa</v>
      </c>
    </row>
    <row r="649" spans="1:25" s="228" customFormat="1" ht="20.25">
      <c r="A649" s="404" t="s">
        <v>2682</v>
      </c>
      <c r="B649" s="396" t="s">
        <v>2324</v>
      </c>
      <c r="C649" s="397" t="s">
        <v>2681</v>
      </c>
      <c r="D649" s="396" t="s">
        <v>2681</v>
      </c>
      <c r="E649" s="396" t="s">
        <v>2238</v>
      </c>
      <c r="F649" s="396" t="s">
        <v>2682</v>
      </c>
      <c r="G649" s="396" t="s">
        <v>3125</v>
      </c>
      <c r="H649" s="398">
        <v>0</v>
      </c>
      <c r="I649" s="399" t="s">
        <v>3457</v>
      </c>
      <c r="J649" s="399" t="s">
        <v>3454</v>
      </c>
      <c r="K649" s="402"/>
      <c r="L649" s="402"/>
      <c r="M649" s="402"/>
      <c r="N649" s="402"/>
      <c r="O649" s="402"/>
      <c r="P649" s="402"/>
      <c r="Q649" s="250" t="s">
        <v>5047</v>
      </c>
      <c r="R649" s="233"/>
      <c r="S649" s="234">
        <f>IF(C649="",NA(),MATCH($B649&amp;$C649,'Smelter Reference List'!$J:$J,0))</f>
        <v>429</v>
      </c>
      <c r="T649" s="235"/>
      <c r="U649" s="235">
        <f t="shared" si="16"/>
        <v>0</v>
      </c>
      <c r="V649" s="235"/>
      <c r="W649" s="235"/>
      <c r="Y649" s="228" t="str">
        <f t="shared" si="17"/>
        <v>TinPT Sumber Jaya Indah</v>
      </c>
    </row>
    <row r="650" spans="1:25" s="228" customFormat="1" ht="20.25">
      <c r="A650" s="404" t="s">
        <v>1424</v>
      </c>
      <c r="B650" s="396" t="s">
        <v>2324</v>
      </c>
      <c r="C650" s="397" t="s">
        <v>3503</v>
      </c>
      <c r="D650" s="396" t="s">
        <v>3503</v>
      </c>
      <c r="E650" s="396" t="s">
        <v>2238</v>
      </c>
      <c r="F650" s="396" t="s">
        <v>1424</v>
      </c>
      <c r="G650" s="396" t="s">
        <v>3125</v>
      </c>
      <c r="H650" s="405">
        <v>0</v>
      </c>
      <c r="I650" s="399" t="s">
        <v>3504</v>
      </c>
      <c r="J650" s="399" t="s">
        <v>3505</v>
      </c>
      <c r="K650" s="406" t="s">
        <v>5463</v>
      </c>
      <c r="L650" s="406" t="s">
        <v>5464</v>
      </c>
      <c r="M650" s="406" t="s">
        <v>5365</v>
      </c>
      <c r="N650" s="406" t="s">
        <v>5465</v>
      </c>
      <c r="O650" s="406" t="s">
        <v>2238</v>
      </c>
      <c r="P650" s="406" t="s">
        <v>925</v>
      </c>
      <c r="Q650" s="250" t="s">
        <v>5047</v>
      </c>
      <c r="R650" s="233"/>
      <c r="S650" s="234">
        <f>IF(C650="",NA(),MATCH($B650&amp;$C650,'Smelter Reference List'!$J:$J,0))</f>
        <v>431</v>
      </c>
      <c r="T650" s="235"/>
      <c r="U650" s="235">
        <f t="shared" si="16"/>
        <v>0</v>
      </c>
      <c r="V650" s="235"/>
      <c r="W650" s="235"/>
      <c r="Y650" s="228" t="str">
        <f t="shared" si="17"/>
        <v>TinPT Timah (Persero) Tbk Kundur</v>
      </c>
    </row>
    <row r="651" spans="1:25" s="228" customFormat="1" ht="20.25">
      <c r="A651" s="404" t="s">
        <v>1399</v>
      </c>
      <c r="B651" s="396" t="s">
        <v>2324</v>
      </c>
      <c r="C651" s="397" t="s">
        <v>4266</v>
      </c>
      <c r="D651" s="396" t="s">
        <v>4266</v>
      </c>
      <c r="E651" s="396" t="s">
        <v>2238</v>
      </c>
      <c r="F651" s="396" t="s">
        <v>1399</v>
      </c>
      <c r="G651" s="396" t="s">
        <v>3125</v>
      </c>
      <c r="H651" s="405">
        <v>0</v>
      </c>
      <c r="I651" s="399" t="s">
        <v>3507</v>
      </c>
      <c r="J651" s="399" t="s">
        <v>3454</v>
      </c>
      <c r="K651" s="406" t="s">
        <v>5466</v>
      </c>
      <c r="L651" s="406" t="s">
        <v>5467</v>
      </c>
      <c r="M651" s="406" t="s">
        <v>5365</v>
      </c>
      <c r="N651" s="406" t="s">
        <v>4266</v>
      </c>
      <c r="O651" s="406" t="s">
        <v>2238</v>
      </c>
      <c r="P651" s="406" t="s">
        <v>925</v>
      </c>
      <c r="Q651" s="250" t="s">
        <v>5047</v>
      </c>
      <c r="R651" s="233"/>
      <c r="S651" s="234">
        <f>IF(C651="",NA(),MATCH($B651&amp;$C651,'Smelter Reference List'!$J:$J,0))</f>
        <v>432</v>
      </c>
      <c r="T651" s="235"/>
      <c r="U651" s="235">
        <f t="shared" si="16"/>
        <v>0</v>
      </c>
      <c r="V651" s="235"/>
      <c r="W651" s="235"/>
      <c r="Y651" s="228" t="str">
        <f t="shared" si="17"/>
        <v>TinPT Timah (Persero) Tbk Mentok</v>
      </c>
    </row>
    <row r="652" spans="1:25" s="228" customFormat="1" ht="20.25">
      <c r="A652" s="404" t="s">
        <v>1400</v>
      </c>
      <c r="B652" s="396" t="s">
        <v>2324</v>
      </c>
      <c r="C652" s="397" t="s">
        <v>972</v>
      </c>
      <c r="D652" s="396" t="s">
        <v>972</v>
      </c>
      <c r="E652" s="396" t="s">
        <v>2238</v>
      </c>
      <c r="F652" s="396" t="s">
        <v>1400</v>
      </c>
      <c r="G652" s="396" t="s">
        <v>3125</v>
      </c>
      <c r="H652" s="405" t="s">
        <v>5468</v>
      </c>
      <c r="I652" s="399" t="s">
        <v>3457</v>
      </c>
      <c r="J652" s="399" t="s">
        <v>3454</v>
      </c>
      <c r="K652" s="405" t="s">
        <v>5469</v>
      </c>
      <c r="L652" s="405" t="s">
        <v>5470</v>
      </c>
      <c r="M652" s="405" t="s">
        <v>5471</v>
      </c>
      <c r="N652" s="405" t="s">
        <v>5472</v>
      </c>
      <c r="O652" s="405" t="s">
        <v>5191</v>
      </c>
      <c r="P652" s="405" t="s">
        <v>925</v>
      </c>
      <c r="Q652" s="250" t="s">
        <v>5047</v>
      </c>
      <c r="R652" s="233"/>
      <c r="S652" s="234">
        <f>IF(C652="",NA(),MATCH($B652&amp;$C652,'Smelter Reference List'!$J:$J,0))</f>
        <v>434</v>
      </c>
      <c r="T652" s="235"/>
      <c r="U652" s="235">
        <f t="shared" si="16"/>
        <v>0</v>
      </c>
      <c r="V652" s="235"/>
      <c r="W652" s="235"/>
      <c r="Y652" s="228" t="str">
        <f t="shared" si="17"/>
        <v>TinPT Tinindo Inter Nusa</v>
      </c>
    </row>
    <row r="653" spans="1:25" s="228" customFormat="1" ht="25.5">
      <c r="A653" s="404" t="s">
        <v>1402</v>
      </c>
      <c r="B653" s="396" t="s">
        <v>2324</v>
      </c>
      <c r="C653" s="397" t="s">
        <v>1401</v>
      </c>
      <c r="D653" s="396" t="s">
        <v>1401</v>
      </c>
      <c r="E653" s="396" t="s">
        <v>5018</v>
      </c>
      <c r="F653" s="396" t="s">
        <v>1402</v>
      </c>
      <c r="G653" s="396" t="s">
        <v>3125</v>
      </c>
      <c r="H653" s="405" t="s">
        <v>5473</v>
      </c>
      <c r="I653" s="399" t="s">
        <v>3508</v>
      </c>
      <c r="J653" s="399" t="s">
        <v>3296</v>
      </c>
      <c r="K653" s="405" t="s">
        <v>5474</v>
      </c>
      <c r="L653" s="405" t="s">
        <v>5475</v>
      </c>
      <c r="M653" s="405" t="s">
        <v>5351</v>
      </c>
      <c r="N653" s="405" t="s">
        <v>5052</v>
      </c>
      <c r="O653" s="405" t="s">
        <v>5046</v>
      </c>
      <c r="P653" s="405" t="s">
        <v>925</v>
      </c>
      <c r="Q653" s="250" t="s">
        <v>5047</v>
      </c>
      <c r="R653" s="233"/>
      <c r="S653" s="234">
        <f>IF(C653="",NA(),MATCH($B653&amp;$C653,'Smelter Reference List'!$J:$J,0))</f>
        <v>439</v>
      </c>
      <c r="T653" s="235"/>
      <c r="U653" s="235">
        <f t="shared" si="16"/>
        <v>0</v>
      </c>
      <c r="V653" s="235"/>
      <c r="W653" s="235"/>
      <c r="Y653" s="228" t="str">
        <f t="shared" si="17"/>
        <v>TinRui Da Hung</v>
      </c>
    </row>
    <row r="654" spans="1:25" s="228" customFormat="1" ht="20.25">
      <c r="A654" s="404" t="s">
        <v>1403</v>
      </c>
      <c r="B654" s="396" t="s">
        <v>2324</v>
      </c>
      <c r="C654" s="397" t="s">
        <v>4176</v>
      </c>
      <c r="D654" s="396" t="s">
        <v>4176</v>
      </c>
      <c r="E654" s="396" t="s">
        <v>2170</v>
      </c>
      <c r="F654" s="396" t="s">
        <v>1403</v>
      </c>
      <c r="G654" s="396" t="s">
        <v>3125</v>
      </c>
      <c r="H654" s="405" t="s">
        <v>5476</v>
      </c>
      <c r="I654" s="399" t="s">
        <v>3509</v>
      </c>
      <c r="J654" s="399" t="s">
        <v>3313</v>
      </c>
      <c r="K654" s="405" t="s">
        <v>5477</v>
      </c>
      <c r="L654" s="405" t="s">
        <v>5478</v>
      </c>
      <c r="M654" s="405" t="s">
        <v>5479</v>
      </c>
      <c r="N654" s="405" t="s">
        <v>5052</v>
      </c>
      <c r="O654" s="405" t="s">
        <v>5191</v>
      </c>
      <c r="P654" s="405" t="s">
        <v>925</v>
      </c>
      <c r="Q654" s="250" t="s">
        <v>5047</v>
      </c>
      <c r="R654" s="233"/>
      <c r="S654" s="234">
        <f>IF(C654="",NA(),MATCH($B654&amp;$C654,'Smelter Reference List'!$J:$J,0))</f>
        <v>442</v>
      </c>
      <c r="T654" s="235"/>
      <c r="U654" s="235">
        <f t="shared" si="16"/>
        <v>0</v>
      </c>
      <c r="V654" s="235"/>
      <c r="W654" s="235"/>
      <c r="Y654" s="228" t="str">
        <f t="shared" si="17"/>
        <v>TinSoft Metais Ltda.</v>
      </c>
    </row>
    <row r="655" spans="1:25" s="228" customFormat="1" ht="20.25">
      <c r="A655" s="404" t="s">
        <v>1404</v>
      </c>
      <c r="B655" s="396" t="s">
        <v>2324</v>
      </c>
      <c r="C655" s="397" t="s">
        <v>1951</v>
      </c>
      <c r="D655" s="396" t="s">
        <v>1951</v>
      </c>
      <c r="E655" s="396" t="s">
        <v>1743</v>
      </c>
      <c r="F655" s="396" t="s">
        <v>1404</v>
      </c>
      <c r="G655" s="396" t="s">
        <v>3125</v>
      </c>
      <c r="H655" s="405">
        <v>0</v>
      </c>
      <c r="I655" s="399" t="s">
        <v>3510</v>
      </c>
      <c r="J655" s="399" t="s">
        <v>3511</v>
      </c>
      <c r="K655" s="406" t="s">
        <v>5480</v>
      </c>
      <c r="L655" s="406" t="s">
        <v>5481</v>
      </c>
      <c r="M655" s="406" t="s">
        <v>5365</v>
      </c>
      <c r="N655" s="406" t="s">
        <v>1951</v>
      </c>
      <c r="O655" s="406" t="s">
        <v>1743</v>
      </c>
      <c r="P655" s="406" t="s">
        <v>925</v>
      </c>
      <c r="Q655" s="250" t="s">
        <v>5047</v>
      </c>
      <c r="R655" s="233"/>
      <c r="S655" s="234">
        <f>IF(C655="",NA(),MATCH($B655&amp;$C655,'Smelter Reference List'!$J:$J,0))</f>
        <v>445</v>
      </c>
      <c r="T655" s="235"/>
      <c r="U655" s="235">
        <f t="shared" si="16"/>
        <v>0</v>
      </c>
      <c r="V655" s="235"/>
      <c r="W655" s="235"/>
      <c r="Y655" s="228" t="str">
        <f t="shared" si="17"/>
        <v>TinThaisarco</v>
      </c>
    </row>
    <row r="656" spans="1:25" s="228" customFormat="1" ht="20.25">
      <c r="A656" s="404" t="s">
        <v>3518</v>
      </c>
      <c r="B656" s="396" t="s">
        <v>2324</v>
      </c>
      <c r="C656" s="397" t="s">
        <v>3517</v>
      </c>
      <c r="D656" s="396" t="s">
        <v>3517</v>
      </c>
      <c r="E656" s="396" t="s">
        <v>1766</v>
      </c>
      <c r="F656" s="396" t="s">
        <v>3518</v>
      </c>
      <c r="G656" s="396" t="s">
        <v>3125</v>
      </c>
      <c r="H656" s="405" t="s">
        <v>5055</v>
      </c>
      <c r="I656" s="399" t="s">
        <v>3519</v>
      </c>
      <c r="J656" s="399" t="s">
        <v>3520</v>
      </c>
      <c r="K656" s="405" t="s">
        <v>5055</v>
      </c>
      <c r="L656" s="405" t="s">
        <v>5055</v>
      </c>
      <c r="M656" s="405" t="s">
        <v>5055</v>
      </c>
      <c r="N656" s="405" t="s">
        <v>5055</v>
      </c>
      <c r="O656" s="405" t="s">
        <v>5191</v>
      </c>
      <c r="P656" s="405" t="s">
        <v>925</v>
      </c>
      <c r="Q656" s="250" t="s">
        <v>5047</v>
      </c>
      <c r="R656" s="233"/>
      <c r="S656" s="234">
        <f>IF(C656="",NA(),MATCH($B656&amp;$C656,'Smelter Reference List'!$J:$J,0))</f>
        <v>451</v>
      </c>
      <c r="T656" s="235"/>
      <c r="U656" s="235">
        <f t="shared" si="16"/>
        <v>0</v>
      </c>
      <c r="V656" s="235"/>
      <c r="W656" s="235"/>
      <c r="Y656" s="228" t="str">
        <f t="shared" si="17"/>
        <v>TinVQB Mineral and Trading Group JSC</v>
      </c>
    </row>
    <row r="657" spans="1:25" s="228" customFormat="1" ht="20.25">
      <c r="A657" s="404" t="s">
        <v>1405</v>
      </c>
      <c r="B657" s="396" t="s">
        <v>2324</v>
      </c>
      <c r="C657" s="397" t="s">
        <v>68</v>
      </c>
      <c r="D657" s="396" t="s">
        <v>68</v>
      </c>
      <c r="E657" s="396" t="s">
        <v>2170</v>
      </c>
      <c r="F657" s="396" t="s">
        <v>1405</v>
      </c>
      <c r="G657" s="396" t="s">
        <v>3125</v>
      </c>
      <c r="H657" s="405" t="s">
        <v>5482</v>
      </c>
      <c r="I657" s="399" t="s">
        <v>3451</v>
      </c>
      <c r="J657" s="399" t="s">
        <v>3452</v>
      </c>
      <c r="K657" s="405" t="s">
        <v>5483</v>
      </c>
      <c r="L657" s="405" t="s">
        <v>5484</v>
      </c>
      <c r="M657" s="405" t="s">
        <v>5479</v>
      </c>
      <c r="N657" s="405" t="s">
        <v>5485</v>
      </c>
      <c r="O657" s="405" t="s">
        <v>5191</v>
      </c>
      <c r="P657" s="405" t="s">
        <v>925</v>
      </c>
      <c r="Q657" s="250" t="s">
        <v>5047</v>
      </c>
      <c r="R657" s="233"/>
      <c r="S657" s="234">
        <f>IF(C657="",NA(),MATCH($B657&amp;$C657,'Smelter Reference List'!$J:$J,0))</f>
        <v>452</v>
      </c>
      <c r="T657" s="235"/>
      <c r="U657" s="235">
        <f t="shared" si="16"/>
        <v>0</v>
      </c>
      <c r="V657" s="235"/>
      <c r="W657" s="235"/>
      <c r="Y657" s="228" t="str">
        <f t="shared" si="17"/>
        <v>TinWhite Solder Metalurgia e Mineração Ltda.</v>
      </c>
    </row>
    <row r="658" spans="1:25" s="228" customFormat="1" ht="20.25">
      <c r="A658" s="404" t="s">
        <v>1407</v>
      </c>
      <c r="B658" s="396" t="s">
        <v>2324</v>
      </c>
      <c r="C658" s="397" t="s">
        <v>4749</v>
      </c>
      <c r="D658" s="396" t="s">
        <v>4749</v>
      </c>
      <c r="E658" s="396" t="s">
        <v>2181</v>
      </c>
      <c r="F658" s="396" t="s">
        <v>1407</v>
      </c>
      <c r="G658" s="396" t="s">
        <v>3125</v>
      </c>
      <c r="H658" s="405" t="s">
        <v>5486</v>
      </c>
      <c r="I658" s="399" t="s">
        <v>5023</v>
      </c>
      <c r="J658" s="399" t="s">
        <v>3161</v>
      </c>
      <c r="K658" s="405" t="s">
        <v>5487</v>
      </c>
      <c r="L658" s="405" t="s">
        <v>5488</v>
      </c>
      <c r="M658" s="405" t="s">
        <v>5489</v>
      </c>
      <c r="N658" s="405" t="s">
        <v>5490</v>
      </c>
      <c r="O658" s="405" t="s">
        <v>5191</v>
      </c>
      <c r="P658" s="405" t="s">
        <v>925</v>
      </c>
      <c r="Q658" s="250" t="s">
        <v>5047</v>
      </c>
      <c r="R658" s="233"/>
      <c r="S658" s="234">
        <f>IF(C658="",NA(),MATCH($B658&amp;$C658,'Smelter Reference List'!$J:$J,0))</f>
        <v>462</v>
      </c>
      <c r="T658" s="235"/>
      <c r="U658" s="235">
        <f t="shared" si="16"/>
        <v>0</v>
      </c>
      <c r="V658" s="235"/>
      <c r="W658" s="235"/>
      <c r="Y658" s="228" t="str">
        <f t="shared" si="17"/>
        <v>TinYunnan Tin Company Limited</v>
      </c>
    </row>
    <row r="659" spans="1:25" s="228" customFormat="1" ht="20.25">
      <c r="A659" s="404" t="s">
        <v>2705</v>
      </c>
      <c r="B659" s="396" t="s">
        <v>2324</v>
      </c>
      <c r="C659" s="397" t="s">
        <v>2704</v>
      </c>
      <c r="D659" s="396" t="s">
        <v>2704</v>
      </c>
      <c r="E659" s="396" t="s">
        <v>2238</v>
      </c>
      <c r="F659" s="396" t="s">
        <v>2705</v>
      </c>
      <c r="G659" s="396" t="s">
        <v>3125</v>
      </c>
      <c r="H659" s="405" t="s">
        <v>5055</v>
      </c>
      <c r="I659" s="399" t="s">
        <v>3457</v>
      </c>
      <c r="J659" s="399" t="s">
        <v>3454</v>
      </c>
      <c r="K659" s="405" t="s">
        <v>5055</v>
      </c>
      <c r="L659" s="405" t="s">
        <v>5055</v>
      </c>
      <c r="M659" s="405" t="s">
        <v>5112</v>
      </c>
      <c r="N659" s="405" t="s">
        <v>5055</v>
      </c>
      <c r="O659" s="405" t="s">
        <v>5191</v>
      </c>
      <c r="P659" s="405" t="s">
        <v>925</v>
      </c>
      <c r="Q659" s="250" t="s">
        <v>5047</v>
      </c>
      <c r="R659" s="233"/>
      <c r="S659" s="234">
        <f>IF(C659="",NA(),MATCH($B659&amp;$C659,'Smelter Reference List'!$J:$J,0))</f>
        <v>336</v>
      </c>
      <c r="T659" s="235"/>
      <c r="U659" s="235">
        <f t="shared" si="16"/>
        <v>0</v>
      </c>
      <c r="V659" s="235"/>
      <c r="W659" s="235"/>
      <c r="Y659" s="228" t="str">
        <f t="shared" si="17"/>
        <v>TinCV Venus Inti Perkasa</v>
      </c>
    </row>
    <row r="660" spans="1:25" s="228" customFormat="1" ht="20.25">
      <c r="A660" s="404" t="s">
        <v>200</v>
      </c>
      <c r="B660" s="396" t="s">
        <v>2324</v>
      </c>
      <c r="C660" s="397" t="s">
        <v>4186</v>
      </c>
      <c r="D660" s="396" t="s">
        <v>4186</v>
      </c>
      <c r="E660" s="396" t="s">
        <v>2170</v>
      </c>
      <c r="F660" s="396" t="s">
        <v>200</v>
      </c>
      <c r="G660" s="396" t="s">
        <v>3125</v>
      </c>
      <c r="H660" s="405" t="s">
        <v>5491</v>
      </c>
      <c r="I660" s="399" t="s">
        <v>3381</v>
      </c>
      <c r="J660" s="399" t="s">
        <v>3136</v>
      </c>
      <c r="K660" s="405" t="s">
        <v>5492</v>
      </c>
      <c r="L660" s="405" t="s">
        <v>5493</v>
      </c>
      <c r="M660" s="405" t="s">
        <v>5494</v>
      </c>
      <c r="N660" s="405" t="s">
        <v>5495</v>
      </c>
      <c r="O660" s="405" t="s">
        <v>5046</v>
      </c>
      <c r="P660" s="405" t="s">
        <v>925</v>
      </c>
      <c r="Q660" s="250" t="s">
        <v>5047</v>
      </c>
      <c r="R660" s="233"/>
      <c r="S660" s="234">
        <f>IF(C660="",NA(),MATCH($B660&amp;$C660,'Smelter Reference List'!$J:$J,0))</f>
        <v>376</v>
      </c>
      <c r="T660" s="235"/>
      <c r="U660" s="235">
        <f t="shared" si="16"/>
        <v>0</v>
      </c>
      <c r="V660" s="235"/>
      <c r="W660" s="235"/>
      <c r="Y660" s="228" t="str">
        <f t="shared" si="17"/>
        <v>TinMagnu's Minerais Metais e Ligas Ltda.</v>
      </c>
    </row>
    <row r="661" spans="1:25" s="228" customFormat="1" ht="20.25">
      <c r="A661" s="404" t="s">
        <v>2714</v>
      </c>
      <c r="B661" s="396" t="s">
        <v>2324</v>
      </c>
      <c r="C661" s="397" t="s">
        <v>4187</v>
      </c>
      <c r="D661" s="396" t="s">
        <v>4187</v>
      </c>
      <c r="E661" s="396" t="s">
        <v>2238</v>
      </c>
      <c r="F661" s="396" t="s">
        <v>2714</v>
      </c>
      <c r="G661" s="396" t="s">
        <v>3125</v>
      </c>
      <c r="H661" s="405" t="s">
        <v>5496</v>
      </c>
      <c r="I661" s="399" t="s">
        <v>3525</v>
      </c>
      <c r="J661" s="399" t="s">
        <v>3526</v>
      </c>
      <c r="K661" s="405" t="s">
        <v>5497</v>
      </c>
      <c r="L661" s="405" t="s">
        <v>5498</v>
      </c>
      <c r="M661" s="405" t="s">
        <v>5499</v>
      </c>
      <c r="N661" s="405" t="s">
        <v>5052</v>
      </c>
      <c r="O661" s="405" t="s">
        <v>5191</v>
      </c>
      <c r="P661" s="405" t="s">
        <v>925</v>
      </c>
      <c r="Q661" s="250" t="s">
        <v>5047</v>
      </c>
      <c r="R661" s="233"/>
      <c r="S661" s="234">
        <f>IF(C661="",NA(),MATCH($B661&amp;$C661,'Smelter Reference List'!$J:$J,0))</f>
        <v>437</v>
      </c>
      <c r="T661" s="235"/>
      <c r="U661" s="235">
        <f t="shared" si="16"/>
        <v>0</v>
      </c>
      <c r="V661" s="235"/>
      <c r="W661" s="235"/>
      <c r="Y661" s="228" t="str">
        <f t="shared" si="17"/>
        <v>TinPT Wahana Perkit Jaya</v>
      </c>
    </row>
    <row r="662" spans="1:25" s="228" customFormat="1" ht="20.25">
      <c r="A662" s="404" t="s">
        <v>2576</v>
      </c>
      <c r="B662" s="396" t="s">
        <v>2324</v>
      </c>
      <c r="C662" s="397" t="s">
        <v>4743</v>
      </c>
      <c r="D662" s="396" t="s">
        <v>4743</v>
      </c>
      <c r="E662" s="396" t="s">
        <v>2170</v>
      </c>
      <c r="F662" s="396" t="s">
        <v>2576</v>
      </c>
      <c r="G662" s="396" t="s">
        <v>3125</v>
      </c>
      <c r="H662" s="405" t="s">
        <v>5055</v>
      </c>
      <c r="I662" s="399" t="s">
        <v>3451</v>
      </c>
      <c r="J662" s="399" t="s">
        <v>3452</v>
      </c>
      <c r="K662" s="405" t="s">
        <v>5055</v>
      </c>
      <c r="L662" s="405" t="s">
        <v>5055</v>
      </c>
      <c r="M662" s="405" t="s">
        <v>5055</v>
      </c>
      <c r="N662" s="405" t="s">
        <v>5055</v>
      </c>
      <c r="O662" s="405" t="s">
        <v>5191</v>
      </c>
      <c r="P662" s="405" t="s">
        <v>925</v>
      </c>
      <c r="Q662" s="250" t="s">
        <v>5047</v>
      </c>
      <c r="R662" s="233"/>
      <c r="S662" s="234">
        <f>IF(C662="",NA(),MATCH($B662&amp;$C662,'Smelter Reference List'!$J:$J,0))</f>
        <v>378</v>
      </c>
      <c r="T662" s="235"/>
      <c r="U662" s="235">
        <f t="shared" si="16"/>
        <v>0</v>
      </c>
      <c r="V662" s="235"/>
      <c r="W662" s="235"/>
      <c r="Y662" s="228" t="str">
        <f t="shared" si="17"/>
        <v>TinMelt Metais e Ligas S.A.</v>
      </c>
    </row>
    <row r="663" spans="1:25" s="228" customFormat="1" ht="20.25">
      <c r="A663" s="404" t="s">
        <v>2709</v>
      </c>
      <c r="B663" s="396" t="s">
        <v>2324</v>
      </c>
      <c r="C663" s="397" t="s">
        <v>2708</v>
      </c>
      <c r="D663" s="396" t="s">
        <v>2708</v>
      </c>
      <c r="E663" s="396" t="s">
        <v>2238</v>
      </c>
      <c r="F663" s="396" t="s">
        <v>2709</v>
      </c>
      <c r="G663" s="396" t="s">
        <v>3125</v>
      </c>
      <c r="H663" s="405" t="s">
        <v>5500</v>
      </c>
      <c r="I663" s="399" t="s">
        <v>3453</v>
      </c>
      <c r="J663" s="399" t="s">
        <v>3454</v>
      </c>
      <c r="K663" s="405" t="s">
        <v>5501</v>
      </c>
      <c r="L663" s="405" t="s">
        <v>5502</v>
      </c>
      <c r="M663" s="405" t="s">
        <v>5503</v>
      </c>
      <c r="N663" s="405" t="s">
        <v>5052</v>
      </c>
      <c r="O663" s="405" t="s">
        <v>5191</v>
      </c>
      <c r="P663" s="405" t="s">
        <v>925</v>
      </c>
      <c r="Q663" s="250" t="s">
        <v>5047</v>
      </c>
      <c r="R663" s="233"/>
      <c r="S663" s="234">
        <f>IF(C663="",NA(),MATCH($B663&amp;$C663,'Smelter Reference List'!$J:$J,0))</f>
        <v>400</v>
      </c>
      <c r="T663" s="235"/>
      <c r="U663" s="235">
        <f t="shared" si="16"/>
        <v>0</v>
      </c>
      <c r="V663" s="235"/>
      <c r="W663" s="235"/>
      <c r="Y663" s="228" t="str">
        <f t="shared" si="17"/>
        <v>TinPT ATD Makmur Mandiri Jaya</v>
      </c>
    </row>
    <row r="664" spans="1:25" s="228" customFormat="1" ht="20.25">
      <c r="A664" s="404" t="s">
        <v>2707</v>
      </c>
      <c r="B664" s="396" t="s">
        <v>2324</v>
      </c>
      <c r="C664" s="397" t="s">
        <v>2706</v>
      </c>
      <c r="D664" s="396" t="s">
        <v>2706</v>
      </c>
      <c r="E664" s="396" t="s">
        <v>1705</v>
      </c>
      <c r="F664" s="396" t="s">
        <v>2707</v>
      </c>
      <c r="G664" s="396" t="s">
        <v>3125</v>
      </c>
      <c r="H664" s="405" t="s">
        <v>5504</v>
      </c>
      <c r="I664" s="399" t="s">
        <v>3527</v>
      </c>
      <c r="J664" s="399" t="s">
        <v>3528</v>
      </c>
      <c r="K664" s="405" t="s">
        <v>5505</v>
      </c>
      <c r="L664" s="405" t="s">
        <v>5506</v>
      </c>
      <c r="M664" s="405" t="s">
        <v>5507</v>
      </c>
      <c r="N664" s="405" t="s">
        <v>5508</v>
      </c>
      <c r="O664" s="405" t="s">
        <v>5139</v>
      </c>
      <c r="P664" s="405" t="s">
        <v>924</v>
      </c>
      <c r="Q664" s="250" t="s">
        <v>5047</v>
      </c>
      <c r="R664" s="233"/>
      <c r="S664" s="234">
        <f>IF(C664="",NA(),MATCH($B664&amp;$C664,'Smelter Reference List'!$J:$J,0))</f>
        <v>392</v>
      </c>
      <c r="T664" s="235"/>
      <c r="U664" s="235">
        <f t="shared" si="16"/>
        <v>0</v>
      </c>
      <c r="V664" s="235"/>
      <c r="W664" s="235"/>
      <c r="Y664" s="228" t="str">
        <f t="shared" si="17"/>
        <v>TinO.M. Manufacturing Philippines, Inc.</v>
      </c>
    </row>
    <row r="665" spans="1:25" s="228" customFormat="1" ht="20.25">
      <c r="A665" s="404" t="s">
        <v>2711</v>
      </c>
      <c r="B665" s="396" t="s">
        <v>2324</v>
      </c>
      <c r="C665" s="397" t="s">
        <v>2710</v>
      </c>
      <c r="D665" s="396" t="s">
        <v>2710</v>
      </c>
      <c r="E665" s="396" t="s">
        <v>2238</v>
      </c>
      <c r="F665" s="396" t="s">
        <v>2711</v>
      </c>
      <c r="G665" s="396" t="s">
        <v>3125</v>
      </c>
      <c r="H665" s="405" t="s">
        <v>5509</v>
      </c>
      <c r="I665" s="399" t="s">
        <v>3453</v>
      </c>
      <c r="J665" s="399" t="s">
        <v>3454</v>
      </c>
      <c r="K665" s="405" t="s">
        <v>5510</v>
      </c>
      <c r="L665" s="405" t="s">
        <v>5511</v>
      </c>
      <c r="M665" s="405" t="s">
        <v>5055</v>
      </c>
      <c r="N665" s="405" t="s">
        <v>5055</v>
      </c>
      <c r="O665" s="405" t="s">
        <v>5191</v>
      </c>
      <c r="P665" s="405" t="s">
        <v>925</v>
      </c>
      <c r="Q665" s="250" t="s">
        <v>5047</v>
      </c>
      <c r="R665" s="233"/>
      <c r="S665" s="234">
        <f>IF(C665="",NA(),MATCH($B665&amp;$C665,'Smelter Reference List'!$J:$J,0))</f>
        <v>415</v>
      </c>
      <c r="T665" s="235"/>
      <c r="U665" s="235">
        <f t="shared" si="16"/>
        <v>0</v>
      </c>
      <c r="V665" s="235"/>
      <c r="W665" s="235"/>
      <c r="Y665" s="228" t="str">
        <f t="shared" si="17"/>
        <v>TinPT Inti Stania Prima</v>
      </c>
    </row>
    <row r="666" spans="1:25" s="228" customFormat="1" ht="20.25">
      <c r="A666" s="404" t="s">
        <v>3544</v>
      </c>
      <c r="B666" s="396" t="s">
        <v>2324</v>
      </c>
      <c r="C666" s="397" t="s">
        <v>3543</v>
      </c>
      <c r="D666" s="396" t="s">
        <v>3543</v>
      </c>
      <c r="E666" s="396" t="s">
        <v>2238</v>
      </c>
      <c r="F666" s="396" t="s">
        <v>3544</v>
      </c>
      <c r="G666" s="396" t="s">
        <v>3125</v>
      </c>
      <c r="H666" s="405" t="s">
        <v>5055</v>
      </c>
      <c r="I666" s="399" t="s">
        <v>3457</v>
      </c>
      <c r="J666" s="399" t="s">
        <v>3454</v>
      </c>
      <c r="K666" s="405" t="s">
        <v>5055</v>
      </c>
      <c r="L666" s="405" t="s">
        <v>5055</v>
      </c>
      <c r="M666" s="405" t="s">
        <v>5055</v>
      </c>
      <c r="N666" s="405" t="s">
        <v>5055</v>
      </c>
      <c r="O666" s="405" t="s">
        <v>5191</v>
      </c>
      <c r="P666" s="405" t="s">
        <v>925</v>
      </c>
      <c r="Q666" s="250" t="s">
        <v>5047</v>
      </c>
      <c r="R666" s="233"/>
      <c r="S666" s="234">
        <f>IF(C666="",NA(),MATCH($B666&amp;$C666,'Smelter Reference List'!$J:$J,0))</f>
        <v>409</v>
      </c>
      <c r="T666" s="235"/>
      <c r="U666" s="235">
        <f t="shared" si="16"/>
        <v>0</v>
      </c>
      <c r="V666" s="235"/>
      <c r="W666" s="235"/>
      <c r="Y666" s="228" t="str">
        <f t="shared" si="17"/>
        <v>TinPT Cipta Persada Mulia</v>
      </c>
    </row>
    <row r="667" spans="1:25" s="228" customFormat="1" ht="20.25">
      <c r="A667" s="404" t="s">
        <v>3545</v>
      </c>
      <c r="B667" s="396" t="s">
        <v>2324</v>
      </c>
      <c r="C667" s="397" t="s">
        <v>4294</v>
      </c>
      <c r="D667" s="396" t="s">
        <v>4294</v>
      </c>
      <c r="E667" s="396" t="s">
        <v>2170</v>
      </c>
      <c r="F667" s="396" t="s">
        <v>3545</v>
      </c>
      <c r="G667" s="396" t="s">
        <v>3125</v>
      </c>
      <c r="H667" s="405" t="s">
        <v>5055</v>
      </c>
      <c r="I667" s="399" t="s">
        <v>3381</v>
      </c>
      <c r="J667" s="399" t="s">
        <v>3436</v>
      </c>
      <c r="K667" s="405" t="s">
        <v>5055</v>
      </c>
      <c r="L667" s="405" t="s">
        <v>5055</v>
      </c>
      <c r="M667" s="405" t="s">
        <v>5055</v>
      </c>
      <c r="N667" s="405" t="s">
        <v>5055</v>
      </c>
      <c r="O667" s="405" t="s">
        <v>5191</v>
      </c>
      <c r="P667" s="405" t="s">
        <v>925</v>
      </c>
      <c r="Q667" s="250" t="s">
        <v>5047</v>
      </c>
      <c r="R667" s="233"/>
      <c r="S667" s="234">
        <f>IF(C667="",NA(),MATCH($B667&amp;$C667,'Smelter Reference List'!$J:$J,0))</f>
        <v>438</v>
      </c>
      <c r="T667" s="235"/>
      <c r="U667" s="235">
        <f t="shared" si="16"/>
        <v>0</v>
      </c>
      <c r="V667" s="235"/>
      <c r="W667" s="235"/>
      <c r="Y667" s="228" t="str">
        <f t="shared" si="17"/>
        <v>TinResind Indústria e Comércio Ltda.</v>
      </c>
    </row>
    <row r="668" spans="1:25" s="228" customFormat="1" ht="20.25">
      <c r="A668" s="404" t="s">
        <v>3547</v>
      </c>
      <c r="B668" s="396" t="s">
        <v>2324</v>
      </c>
      <c r="C668" s="397" t="s">
        <v>3546</v>
      </c>
      <c r="D668" s="396" t="s">
        <v>3546</v>
      </c>
      <c r="E668" s="396" t="s">
        <v>2158</v>
      </c>
      <c r="F668" s="396" t="s">
        <v>3547</v>
      </c>
      <c r="G668" s="396" t="s">
        <v>3125</v>
      </c>
      <c r="H668" s="405" t="s">
        <v>5512</v>
      </c>
      <c r="I668" s="399" t="s">
        <v>3548</v>
      </c>
      <c r="J668" s="399" t="s">
        <v>3315</v>
      </c>
      <c r="K668" s="405" t="s">
        <v>5513</v>
      </c>
      <c r="L668" s="405" t="s">
        <v>5514</v>
      </c>
      <c r="M668" s="405" t="s">
        <v>5515</v>
      </c>
      <c r="N668" s="405" t="s">
        <v>5213</v>
      </c>
      <c r="O668" s="405" t="s">
        <v>5272</v>
      </c>
      <c r="P668" s="405" t="s">
        <v>925</v>
      </c>
      <c r="Q668" s="250" t="s">
        <v>5047</v>
      </c>
      <c r="R668" s="233"/>
      <c r="S668" s="234">
        <f>IF(C668="",NA(),MATCH($B668&amp;$C668,'Smelter Reference List'!$J:$J,0))</f>
        <v>382</v>
      </c>
      <c r="T668" s="235"/>
      <c r="U668" s="235">
        <f t="shared" si="16"/>
        <v>0</v>
      </c>
      <c r="V668" s="235"/>
      <c r="W668" s="235"/>
      <c r="Y668" s="228" t="str">
        <f t="shared" si="17"/>
        <v>TinMetallo-Chimique N.V.</v>
      </c>
    </row>
    <row r="669" spans="1:25" s="228" customFormat="1" ht="20.25">
      <c r="A669" s="404" t="s">
        <v>3549</v>
      </c>
      <c r="B669" s="396" t="s">
        <v>2324</v>
      </c>
      <c r="C669" s="397" t="s">
        <v>4736</v>
      </c>
      <c r="D669" s="396" t="s">
        <v>4736</v>
      </c>
      <c r="E669" s="396" t="s">
        <v>2205</v>
      </c>
      <c r="F669" s="396" t="s">
        <v>3549</v>
      </c>
      <c r="G669" s="396" t="s">
        <v>3125</v>
      </c>
      <c r="H669" s="405" t="s">
        <v>5516</v>
      </c>
      <c r="I669" s="399" t="s">
        <v>3550</v>
      </c>
      <c r="J669" s="399" t="s">
        <v>3551</v>
      </c>
      <c r="K669" s="405" t="s">
        <v>5513</v>
      </c>
      <c r="L669" s="405" t="s">
        <v>5517</v>
      </c>
      <c r="M669" s="405" t="s">
        <v>5068</v>
      </c>
      <c r="N669" s="405" t="s">
        <v>5052</v>
      </c>
      <c r="O669" s="405" t="s">
        <v>5046</v>
      </c>
      <c r="P669" s="405" t="s">
        <v>925</v>
      </c>
      <c r="Q669" s="250" t="s">
        <v>5047</v>
      </c>
      <c r="R669" s="233"/>
      <c r="S669" s="234">
        <f>IF(C669="",NA(),MATCH($B669&amp;$C669,'Smelter Reference List'!$J:$J,0))</f>
        <v>340</v>
      </c>
      <c r="T669" s="235"/>
      <c r="U669" s="235">
        <f t="shared" si="16"/>
        <v>0</v>
      </c>
      <c r="V669" s="235"/>
      <c r="W669" s="235"/>
      <c r="Y669" s="228" t="str">
        <f t="shared" si="17"/>
        <v>TinElmet S.L.U.</v>
      </c>
    </row>
    <row r="670" spans="1:25" s="228" customFormat="1" ht="20.25">
      <c r="A670" s="404" t="s">
        <v>4278</v>
      </c>
      <c r="B670" s="396" t="s">
        <v>2324</v>
      </c>
      <c r="C670" s="397" t="s">
        <v>4277</v>
      </c>
      <c r="D670" s="396" t="s">
        <v>4277</v>
      </c>
      <c r="E670" s="396" t="s">
        <v>2238</v>
      </c>
      <c r="F670" s="396" t="s">
        <v>4278</v>
      </c>
      <c r="G670" s="396" t="s">
        <v>3125</v>
      </c>
      <c r="H670" s="405" t="s">
        <v>5055</v>
      </c>
      <c r="I670" s="399" t="s">
        <v>3455</v>
      </c>
      <c r="J670" s="399" t="s">
        <v>3454</v>
      </c>
      <c r="K670" s="405" t="s">
        <v>5055</v>
      </c>
      <c r="L670" s="405" t="s">
        <v>5055</v>
      </c>
      <c r="M670" s="405" t="s">
        <v>5055</v>
      </c>
      <c r="N670" s="405" t="s">
        <v>5055</v>
      </c>
      <c r="O670" s="405" t="s">
        <v>5191</v>
      </c>
      <c r="P670" s="405" t="s">
        <v>925</v>
      </c>
      <c r="Q670" s="250" t="s">
        <v>5047</v>
      </c>
      <c r="R670" s="233"/>
      <c r="S670" s="234">
        <f>IF(C670="",NA(),MATCH($B670&amp;$C670,'Smelter Reference List'!$J:$J,0))</f>
        <v>403</v>
      </c>
      <c r="T670" s="235"/>
      <c r="U670" s="235">
        <f t="shared" si="16"/>
        <v>0</v>
      </c>
      <c r="V670" s="235"/>
      <c r="W670" s="235"/>
      <c r="Y670" s="228" t="str">
        <f t="shared" si="17"/>
        <v>TinPT Bangka Prima Tin</v>
      </c>
    </row>
    <row r="671" spans="1:25" s="228" customFormat="1" ht="20.25">
      <c r="A671" s="404" t="s">
        <v>1408</v>
      </c>
      <c r="B671" s="396" t="s">
        <v>2326</v>
      </c>
      <c r="C671" s="397" t="s">
        <v>3552</v>
      </c>
      <c r="D671" s="396" t="s">
        <v>3552</v>
      </c>
      <c r="E671" s="396" t="s">
        <v>2249</v>
      </c>
      <c r="F671" s="396" t="s">
        <v>1408</v>
      </c>
      <c r="G671" s="396" t="s">
        <v>3125</v>
      </c>
      <c r="H671" s="405" t="s">
        <v>5518</v>
      </c>
      <c r="I671" s="399" t="s">
        <v>4135</v>
      </c>
      <c r="J671" s="399" t="s">
        <v>4136</v>
      </c>
      <c r="K671" s="405" t="s">
        <v>5519</v>
      </c>
      <c r="L671" s="405" t="s">
        <v>5520</v>
      </c>
      <c r="M671" s="405" t="s">
        <v>5521</v>
      </c>
      <c r="N671" s="405" t="s">
        <v>5149</v>
      </c>
      <c r="O671" s="405" t="s">
        <v>5272</v>
      </c>
      <c r="P671" s="405" t="s">
        <v>925</v>
      </c>
      <c r="Q671" s="250" t="s">
        <v>5047</v>
      </c>
      <c r="R671" s="233"/>
      <c r="S671" s="234">
        <f>IF(C671="",NA(),MATCH($B671&amp;$C671,'Smelter Reference List'!$J:$J,0))</f>
        <v>469</v>
      </c>
      <c r="T671" s="235"/>
      <c r="U671" s="235">
        <f t="shared" si="16"/>
        <v>0</v>
      </c>
      <c r="V671" s="235"/>
      <c r="W671" s="235"/>
      <c r="Y671" s="228" t="str">
        <f t="shared" si="17"/>
        <v>TungstenA.L.M.T. TUNGSTEN Corp.</v>
      </c>
    </row>
    <row r="672" spans="1:25" s="228" customFormat="1" ht="20.25">
      <c r="A672" s="404" t="s">
        <v>1409</v>
      </c>
      <c r="B672" s="396" t="s">
        <v>2326</v>
      </c>
      <c r="C672" s="397" t="s">
        <v>209</v>
      </c>
      <c r="D672" s="396" t="s">
        <v>209</v>
      </c>
      <c r="E672" s="396" t="s">
        <v>5016</v>
      </c>
      <c r="F672" s="396" t="s">
        <v>1409</v>
      </c>
      <c r="G672" s="396" t="s">
        <v>3125</v>
      </c>
      <c r="H672" s="405" t="s">
        <v>5522</v>
      </c>
      <c r="I672" s="399" t="s">
        <v>3555</v>
      </c>
      <c r="J672" s="399" t="s">
        <v>3556</v>
      </c>
      <c r="K672" s="405" t="s">
        <v>5523</v>
      </c>
      <c r="L672" s="405" t="s">
        <v>5524</v>
      </c>
      <c r="M672" s="405" t="s">
        <v>5055</v>
      </c>
      <c r="N672" s="405" t="s">
        <v>5525</v>
      </c>
      <c r="O672" s="405" t="s">
        <v>5046</v>
      </c>
      <c r="P672" s="405" t="s">
        <v>925</v>
      </c>
      <c r="Q672" s="250" t="s">
        <v>5047</v>
      </c>
      <c r="R672" s="233"/>
      <c r="S672" s="234">
        <f>IF(C672="",NA(),MATCH($B672&amp;$C672,'Smelter Reference List'!$J:$J,0))</f>
        <v>514</v>
      </c>
      <c r="T672" s="235"/>
      <c r="U672" s="235">
        <f t="shared" si="16"/>
        <v>0</v>
      </c>
      <c r="V672" s="235"/>
      <c r="W672" s="235"/>
      <c r="Y672" s="228" t="str">
        <f t="shared" si="17"/>
        <v>TungstenKennametal Huntsville</v>
      </c>
    </row>
    <row r="673" spans="1:25" s="228" customFormat="1" ht="20.25">
      <c r="A673" s="404" t="s">
        <v>1410</v>
      </c>
      <c r="B673" s="396" t="s">
        <v>2326</v>
      </c>
      <c r="C673" s="397" t="s">
        <v>2660</v>
      </c>
      <c r="D673" s="396" t="s">
        <v>2660</v>
      </c>
      <c r="E673" s="396" t="s">
        <v>2181</v>
      </c>
      <c r="F673" s="396" t="s">
        <v>1410</v>
      </c>
      <c r="G673" s="396" t="s">
        <v>3125</v>
      </c>
      <c r="H673" s="405" t="s">
        <v>5526</v>
      </c>
      <c r="I673" s="399" t="s">
        <v>3557</v>
      </c>
      <c r="J673" s="399" t="s">
        <v>3335</v>
      </c>
      <c r="K673" s="405" t="s">
        <v>5527</v>
      </c>
      <c r="L673" s="405" t="s">
        <v>5528</v>
      </c>
      <c r="M673" s="405" t="s">
        <v>5529</v>
      </c>
      <c r="N673" s="405" t="s">
        <v>5052</v>
      </c>
      <c r="O673" s="405" t="s">
        <v>5191</v>
      </c>
      <c r="P673" s="405" t="s">
        <v>925</v>
      </c>
      <c r="Q673" s="250" t="s">
        <v>5047</v>
      </c>
      <c r="R673" s="233"/>
      <c r="S673" s="234">
        <f>IF(C673="",NA(),MATCH($B673&amp;$C673,'Smelter Reference List'!$J:$J,0))</f>
        <v>492</v>
      </c>
      <c r="T673" s="235"/>
      <c r="U673" s="235">
        <f t="shared" si="16"/>
        <v>0</v>
      </c>
      <c r="V673" s="235"/>
      <c r="W673" s="235"/>
      <c r="Y673" s="228" t="str">
        <f t="shared" si="17"/>
        <v>TungstenGuangdong Xianglu Tungsten Co., Ltd.</v>
      </c>
    </row>
    <row r="674" spans="1:25" s="228" customFormat="1" ht="20.25">
      <c r="A674" s="404" t="s">
        <v>1411</v>
      </c>
      <c r="B674" s="396" t="s">
        <v>2326</v>
      </c>
      <c r="C674" s="397" t="s">
        <v>2659</v>
      </c>
      <c r="D674" s="396" t="s">
        <v>2659</v>
      </c>
      <c r="E674" s="396" t="s">
        <v>2181</v>
      </c>
      <c r="F674" s="396" t="s">
        <v>1411</v>
      </c>
      <c r="G674" s="396" t="s">
        <v>3125</v>
      </c>
      <c r="H674" s="405" t="s">
        <v>5530</v>
      </c>
      <c r="I674" s="399" t="s">
        <v>3471</v>
      </c>
      <c r="J674" s="399" t="s">
        <v>3204</v>
      </c>
      <c r="K674" s="405" t="s">
        <v>5531</v>
      </c>
      <c r="L674" s="405" t="s">
        <v>5532</v>
      </c>
      <c r="M674" s="405" t="s">
        <v>5533</v>
      </c>
      <c r="N674" s="405" t="s">
        <v>5534</v>
      </c>
      <c r="O674" s="405" t="s">
        <v>5191</v>
      </c>
      <c r="P674" s="405" t="s">
        <v>925</v>
      </c>
      <c r="Q674" s="250" t="s">
        <v>5047</v>
      </c>
      <c r="R674" s="233"/>
      <c r="S674" s="234">
        <f>IF(C674="",NA(),MATCH($B674&amp;$C674,'Smelter Reference List'!$J:$J,0))</f>
        <v>480</v>
      </c>
      <c r="T674" s="235"/>
      <c r="U674" s="235">
        <f t="shared" si="16"/>
        <v>0</v>
      </c>
      <c r="V674" s="235"/>
      <c r="W674" s="235"/>
      <c r="Y674" s="228" t="str">
        <f t="shared" si="17"/>
        <v>TungstenChongyi Zhangyuan Tungsten Co., Ltd.</v>
      </c>
    </row>
    <row r="675" spans="1:25" s="228" customFormat="1" ht="20.25">
      <c r="A675" s="404" t="s">
        <v>1413</v>
      </c>
      <c r="B675" s="396" t="s">
        <v>2326</v>
      </c>
      <c r="C675" s="397" t="s">
        <v>1464</v>
      </c>
      <c r="D675" s="396" t="s">
        <v>1464</v>
      </c>
      <c r="E675" s="396" t="s">
        <v>2181</v>
      </c>
      <c r="F675" s="396" t="s">
        <v>1413</v>
      </c>
      <c r="G675" s="396" t="s">
        <v>3125</v>
      </c>
      <c r="H675" s="405" t="s">
        <v>5535</v>
      </c>
      <c r="I675" s="399" t="s">
        <v>3559</v>
      </c>
      <c r="J675" s="399" t="s">
        <v>3332</v>
      </c>
      <c r="K675" s="405" t="s">
        <v>5055</v>
      </c>
      <c r="L675" s="405" t="s">
        <v>5055</v>
      </c>
      <c r="M675" s="405" t="s">
        <v>5055</v>
      </c>
      <c r="N675" s="405" t="s">
        <v>5055</v>
      </c>
      <c r="O675" s="405" t="s">
        <v>5191</v>
      </c>
      <c r="P675" s="405" t="s">
        <v>925</v>
      </c>
      <c r="Q675" s="250" t="s">
        <v>5047</v>
      </c>
      <c r="R675" s="233"/>
      <c r="S675" s="234">
        <f>IF(C675="",NA(),MATCH($B675&amp;$C675,'Smelter Reference List'!$J:$J,0))</f>
        <v>483</v>
      </c>
      <c r="T675" s="235"/>
      <c r="U675" s="235">
        <f t="shared" si="16"/>
        <v>0</v>
      </c>
      <c r="V675" s="235"/>
      <c r="W675" s="235"/>
      <c r="Y675" s="228" t="str">
        <f t="shared" si="17"/>
        <v>TungstenFujian Jinxin Tungsten Co., Ltd.</v>
      </c>
    </row>
    <row r="676" spans="1:25" s="228" customFormat="1" ht="20.25">
      <c r="A676" s="404" t="s">
        <v>1414</v>
      </c>
      <c r="B676" s="396" t="s">
        <v>2326</v>
      </c>
      <c r="C676" s="397" t="s">
        <v>1</v>
      </c>
      <c r="D676" s="396" t="s">
        <v>1</v>
      </c>
      <c r="E676" s="396" t="s">
        <v>5016</v>
      </c>
      <c r="F676" s="396" t="s">
        <v>1414</v>
      </c>
      <c r="G676" s="396" t="s">
        <v>3125</v>
      </c>
      <c r="H676" s="405" t="s">
        <v>5536</v>
      </c>
      <c r="I676" s="399" t="s">
        <v>3560</v>
      </c>
      <c r="J676" s="399" t="s">
        <v>3401</v>
      </c>
      <c r="K676" s="405" t="s">
        <v>5537</v>
      </c>
      <c r="L676" s="405" t="s">
        <v>5538</v>
      </c>
      <c r="M676" s="405" t="s">
        <v>5539</v>
      </c>
      <c r="N676" s="405" t="s">
        <v>5149</v>
      </c>
      <c r="O676" s="405" t="s">
        <v>5046</v>
      </c>
      <c r="P676" s="405" t="s">
        <v>925</v>
      </c>
      <c r="Q676" s="250" t="s">
        <v>5047</v>
      </c>
      <c r="R676" s="233"/>
      <c r="S676" s="234">
        <f>IF(C676="",NA(),MATCH($B676&amp;$C676,'Smelter Reference List'!$J:$J,0))</f>
        <v>490</v>
      </c>
      <c r="T676" s="235"/>
      <c r="U676" s="235">
        <f t="shared" si="16"/>
        <v>0</v>
      </c>
      <c r="V676" s="235"/>
      <c r="W676" s="235"/>
      <c r="Y676" s="228" t="str">
        <f t="shared" si="17"/>
        <v>TungstenGlobal Tungsten &amp; Powders Corp.</v>
      </c>
    </row>
    <row r="677" spans="1:25" s="228" customFormat="1" ht="20.25">
      <c r="A677" s="404" t="s">
        <v>1415</v>
      </c>
      <c r="B677" s="396" t="s">
        <v>2326</v>
      </c>
      <c r="C677" s="397" t="s">
        <v>4286</v>
      </c>
      <c r="D677" s="396" t="s">
        <v>4286</v>
      </c>
      <c r="E677" s="396" t="s">
        <v>2181</v>
      </c>
      <c r="F677" s="396" t="s">
        <v>1415</v>
      </c>
      <c r="G677" s="396" t="s">
        <v>3125</v>
      </c>
      <c r="H677" s="405"/>
      <c r="I677" s="399" t="s">
        <v>4137</v>
      </c>
      <c r="J677" s="399" t="s">
        <v>3186</v>
      </c>
      <c r="K677" s="407"/>
      <c r="L677" s="407"/>
      <c r="M677" s="407"/>
      <c r="N677" s="407"/>
      <c r="O677" s="407"/>
      <c r="P677" s="407"/>
      <c r="Q677" s="250" t="s">
        <v>5047</v>
      </c>
      <c r="R677" s="233"/>
      <c r="S677" s="234">
        <f>IF(C677="",NA(),MATCH($B677&amp;$C677,'Smelter Reference List'!$J:$J,0))</f>
        <v>496</v>
      </c>
      <c r="T677" s="235"/>
      <c r="U677" s="235">
        <f t="shared" si="16"/>
        <v>0</v>
      </c>
      <c r="V677" s="235"/>
      <c r="W677" s="235"/>
      <c r="Y677" s="228" t="str">
        <f t="shared" si="17"/>
        <v>TungstenHunan Chenzhou Mining Co., Ltd.</v>
      </c>
    </row>
    <row r="678" spans="1:25" s="228" customFormat="1" ht="20.25">
      <c r="A678" s="404" t="s">
        <v>1416</v>
      </c>
      <c r="B678" s="396" t="s">
        <v>2326</v>
      </c>
      <c r="C678" s="397" t="s">
        <v>2661</v>
      </c>
      <c r="D678" s="396" t="s">
        <v>2661</v>
      </c>
      <c r="E678" s="396" t="s">
        <v>2181</v>
      </c>
      <c r="F678" s="396" t="s">
        <v>1416</v>
      </c>
      <c r="G678" s="396" t="s">
        <v>3125</v>
      </c>
      <c r="H678" s="405" t="s">
        <v>5540</v>
      </c>
      <c r="I678" s="399" t="s">
        <v>3407</v>
      </c>
      <c r="J678" s="399" t="s">
        <v>3186</v>
      </c>
      <c r="K678" s="405" t="s">
        <v>5541</v>
      </c>
      <c r="L678" s="405" t="s">
        <v>5542</v>
      </c>
      <c r="M678" s="405" t="s">
        <v>5543</v>
      </c>
      <c r="N678" s="405" t="s">
        <v>5544</v>
      </c>
      <c r="O678" s="405" t="s">
        <v>5191</v>
      </c>
      <c r="P678" s="405" t="s">
        <v>925</v>
      </c>
      <c r="Q678" s="250" t="s">
        <v>5047</v>
      </c>
      <c r="R678" s="233"/>
      <c r="S678" s="234">
        <f>IF(C678="",NA(),MATCH($B678&amp;$C678,'Smelter Reference List'!$J:$J,0))</f>
        <v>500</v>
      </c>
      <c r="T678" s="235"/>
      <c r="U678" s="235">
        <f t="shared" si="16"/>
        <v>0</v>
      </c>
      <c r="V678" s="235"/>
      <c r="W678" s="235"/>
      <c r="Y678" s="228" t="str">
        <f t="shared" si="17"/>
        <v>TungstenHunan Chunchang Nonferrous Metals Co., Ltd.</v>
      </c>
    </row>
    <row r="679" spans="1:25" s="228" customFormat="1" ht="20.25">
      <c r="A679" s="404" t="s">
        <v>1417</v>
      </c>
      <c r="B679" s="396" t="s">
        <v>2326</v>
      </c>
      <c r="C679" s="397" t="s">
        <v>2662</v>
      </c>
      <c r="D679" s="396" t="s">
        <v>2662</v>
      </c>
      <c r="E679" s="396" t="s">
        <v>2249</v>
      </c>
      <c r="F679" s="396" t="s">
        <v>1417</v>
      </c>
      <c r="G679" s="396" t="s">
        <v>3125</v>
      </c>
      <c r="H679" s="405" t="s">
        <v>5545</v>
      </c>
      <c r="I679" s="399" t="s">
        <v>4138</v>
      </c>
      <c r="J679" s="399" t="s">
        <v>3174</v>
      </c>
      <c r="K679" s="405" t="s">
        <v>5546</v>
      </c>
      <c r="L679" s="405" t="s">
        <v>5547</v>
      </c>
      <c r="M679" s="405" t="s">
        <v>5548</v>
      </c>
      <c r="N679" s="405" t="s">
        <v>5549</v>
      </c>
      <c r="O679" s="405" t="s">
        <v>5046</v>
      </c>
      <c r="P679" s="405" t="s">
        <v>925</v>
      </c>
      <c r="Q679" s="250" t="s">
        <v>5047</v>
      </c>
      <c r="R679" s="233"/>
      <c r="S679" s="234">
        <f>IF(C679="",NA(),MATCH($B679&amp;$C679,'Smelter Reference List'!$J:$J,0))</f>
        <v>502</v>
      </c>
      <c r="T679" s="235"/>
      <c r="U679" s="235">
        <f t="shared" si="16"/>
        <v>0</v>
      </c>
      <c r="V679" s="235"/>
      <c r="W679" s="235"/>
      <c r="Y679" s="228" t="str">
        <f t="shared" si="17"/>
        <v>TungstenJapan New Metals Co., Ltd.</v>
      </c>
    </row>
    <row r="680" spans="1:25" s="228" customFormat="1" ht="20.25">
      <c r="A680" s="404" t="s">
        <v>1419</v>
      </c>
      <c r="B680" s="396" t="s">
        <v>2326</v>
      </c>
      <c r="C680" s="397" t="s">
        <v>211</v>
      </c>
      <c r="D680" s="396" t="s">
        <v>211</v>
      </c>
      <c r="E680" s="396" t="s">
        <v>2181</v>
      </c>
      <c r="F680" s="396" t="s">
        <v>1419</v>
      </c>
      <c r="G680" s="396" t="s">
        <v>3125</v>
      </c>
      <c r="H680" s="405" t="s">
        <v>5550</v>
      </c>
      <c r="I680" s="399" t="s">
        <v>3471</v>
      </c>
      <c r="J680" s="399" t="s">
        <v>3204</v>
      </c>
      <c r="K680" s="405" t="s">
        <v>5551</v>
      </c>
      <c r="L680" s="405" t="s">
        <v>5552</v>
      </c>
      <c r="M680" s="405" t="s">
        <v>5553</v>
      </c>
      <c r="N680" s="405" t="s">
        <v>5554</v>
      </c>
      <c r="O680" s="405" t="s">
        <v>5191</v>
      </c>
      <c r="P680" s="405" t="s">
        <v>925</v>
      </c>
      <c r="Q680" s="250" t="s">
        <v>5047</v>
      </c>
      <c r="R680" s="233"/>
      <c r="S680" s="234">
        <f>IF(C680="",NA(),MATCH($B680&amp;$C680,'Smelter Reference List'!$J:$J,0))</f>
        <v>485</v>
      </c>
      <c r="T680" s="235"/>
      <c r="U680" s="235">
        <f t="shared" si="16"/>
        <v>0</v>
      </c>
      <c r="V680" s="235"/>
      <c r="W680" s="235"/>
      <c r="Y680" s="228" t="str">
        <f t="shared" si="17"/>
        <v>TungstenGanzhou Huaxing Tungsten Products Co., Ltd.</v>
      </c>
    </row>
    <row r="681" spans="1:25" s="228" customFormat="1" ht="20.25">
      <c r="A681" s="404" t="s">
        <v>1420</v>
      </c>
      <c r="B681" s="396" t="s">
        <v>2326</v>
      </c>
      <c r="C681" s="397" t="s">
        <v>212</v>
      </c>
      <c r="D681" s="396" t="s">
        <v>212</v>
      </c>
      <c r="E681" s="396" t="s">
        <v>5016</v>
      </c>
      <c r="F681" s="396" t="s">
        <v>1420</v>
      </c>
      <c r="G681" s="396" t="s">
        <v>3125</v>
      </c>
      <c r="H681" s="405" t="s">
        <v>5555</v>
      </c>
      <c r="I681" s="399" t="s">
        <v>3563</v>
      </c>
      <c r="J681" s="399" t="s">
        <v>3431</v>
      </c>
      <c r="K681" s="405" t="s">
        <v>5055</v>
      </c>
      <c r="L681" s="405" t="s">
        <v>5055</v>
      </c>
      <c r="M681" s="405" t="s">
        <v>5055</v>
      </c>
      <c r="N681" s="405" t="s">
        <v>5055</v>
      </c>
      <c r="O681" s="405" t="s">
        <v>5191</v>
      </c>
      <c r="P681" s="405" t="s">
        <v>925</v>
      </c>
      <c r="Q681" s="250" t="s">
        <v>5047</v>
      </c>
      <c r="R681" s="233"/>
      <c r="S681" s="234">
        <f>IF(C681="",NA(),MATCH($B681&amp;$C681,'Smelter Reference List'!$J:$J,0))</f>
        <v>513</v>
      </c>
      <c r="T681" s="235"/>
      <c r="U681" s="235">
        <f t="shared" si="16"/>
        <v>0</v>
      </c>
      <c r="V681" s="235"/>
      <c r="W681" s="235"/>
      <c r="Y681" s="228" t="str">
        <f t="shared" si="17"/>
        <v>TungstenKennametal Fallon</v>
      </c>
    </row>
    <row r="682" spans="1:25" s="228" customFormat="1" ht="20.25">
      <c r="A682" s="404" t="s">
        <v>1421</v>
      </c>
      <c r="B682" s="396" t="s">
        <v>2326</v>
      </c>
      <c r="C682" s="397" t="s">
        <v>2</v>
      </c>
      <c r="D682" s="396" t="s">
        <v>2</v>
      </c>
      <c r="E682" s="396" t="s">
        <v>1766</v>
      </c>
      <c r="F682" s="396" t="s">
        <v>1421</v>
      </c>
      <c r="G682" s="396" t="s">
        <v>3125</v>
      </c>
      <c r="H682" s="405" t="s">
        <v>5556</v>
      </c>
      <c r="I682" s="399" t="s">
        <v>3564</v>
      </c>
      <c r="J682" s="399" t="s">
        <v>4139</v>
      </c>
      <c r="K682" s="405" t="s">
        <v>5055</v>
      </c>
      <c r="L682" s="405" t="s">
        <v>5557</v>
      </c>
      <c r="M682" s="405" t="s">
        <v>5558</v>
      </c>
      <c r="N682" s="405" t="s">
        <v>5052</v>
      </c>
      <c r="O682" s="405" t="s">
        <v>5191</v>
      </c>
      <c r="P682" s="405" t="s">
        <v>925</v>
      </c>
      <c r="Q682" s="250" t="s">
        <v>5047</v>
      </c>
      <c r="R682" s="233"/>
      <c r="S682" s="234">
        <f>IF(C682="",NA(),MATCH($B682&amp;$C682,'Smelter Reference List'!$J:$J,0))</f>
        <v>524</v>
      </c>
      <c r="T682" s="235"/>
      <c r="U682" s="235">
        <f t="shared" si="16"/>
        <v>0</v>
      </c>
      <c r="V682" s="235"/>
      <c r="W682" s="235"/>
      <c r="Y682" s="228" t="str">
        <f t="shared" si="17"/>
        <v>TungstenTejing (Vietnam) Tungsten Co., Ltd.</v>
      </c>
    </row>
    <row r="683" spans="1:25" s="228" customFormat="1" ht="20.25">
      <c r="A683" s="404" t="s">
        <v>2577</v>
      </c>
      <c r="B683" s="396" t="s">
        <v>2326</v>
      </c>
      <c r="C683" s="397" t="s">
        <v>4180</v>
      </c>
      <c r="D683" s="396" t="s">
        <v>4180</v>
      </c>
      <c r="E683" s="396" t="s">
        <v>1766</v>
      </c>
      <c r="F683" s="396" t="s">
        <v>2577</v>
      </c>
      <c r="G683" s="396" t="s">
        <v>3125</v>
      </c>
      <c r="H683" s="405"/>
      <c r="I683" s="399" t="s">
        <v>3564</v>
      </c>
      <c r="J683" s="399" t="s">
        <v>3565</v>
      </c>
      <c r="K683" s="407"/>
      <c r="L683" s="407"/>
      <c r="M683" s="407"/>
      <c r="N683" s="407"/>
      <c r="O683" s="407"/>
      <c r="P683" s="407"/>
      <c r="Q683" s="250" t="s">
        <v>5047</v>
      </c>
      <c r="R683" s="233"/>
      <c r="S683" s="234">
        <f>IF(C683="",NA(),MATCH($B683&amp;$C683,'Smelter Reference List'!$J:$J,0))</f>
        <v>525</v>
      </c>
      <c r="T683" s="235"/>
      <c r="U683" s="235">
        <f t="shared" si="16"/>
        <v>0</v>
      </c>
      <c r="V683" s="235"/>
      <c r="W683" s="235"/>
      <c r="Y683" s="228" t="str">
        <f t="shared" si="17"/>
        <v>TungstenVietnam Youngsun Tungsten Industry Co., Ltd.</v>
      </c>
    </row>
    <row r="684" spans="1:25" s="228" customFormat="1" ht="20.25">
      <c r="A684" s="404" t="s">
        <v>1422</v>
      </c>
      <c r="B684" s="396" t="s">
        <v>2326</v>
      </c>
      <c r="C684" s="397" t="s">
        <v>1785</v>
      </c>
      <c r="D684" s="396" t="s">
        <v>1785</v>
      </c>
      <c r="E684" s="396" t="s">
        <v>2155</v>
      </c>
      <c r="F684" s="396" t="s">
        <v>1422</v>
      </c>
      <c r="G684" s="396" t="s">
        <v>3125</v>
      </c>
      <c r="H684" s="405" t="s">
        <v>5559</v>
      </c>
      <c r="I684" s="399" t="s">
        <v>3566</v>
      </c>
      <c r="J684" s="399" t="s">
        <v>3415</v>
      </c>
      <c r="K684" s="405" t="s">
        <v>5560</v>
      </c>
      <c r="L684" s="405" t="s">
        <v>5561</v>
      </c>
      <c r="M684" s="405" t="s">
        <v>5562</v>
      </c>
      <c r="N684" s="405" t="s">
        <v>5563</v>
      </c>
      <c r="O684" s="405" t="s">
        <v>5272</v>
      </c>
      <c r="P684" s="405" t="s">
        <v>925</v>
      </c>
      <c r="Q684" s="250" t="s">
        <v>5047</v>
      </c>
      <c r="R684" s="233"/>
      <c r="S684" s="234">
        <f>IF(C684="",NA(),MATCH($B684&amp;$C684,'Smelter Reference List'!$J:$J,0))</f>
        <v>528</v>
      </c>
      <c r="T684" s="235"/>
      <c r="U684" s="235">
        <f t="shared" si="16"/>
        <v>0</v>
      </c>
      <c r="V684" s="235"/>
      <c r="W684" s="235"/>
      <c r="Y684" s="228" t="str">
        <f t="shared" si="17"/>
        <v>TungstenWolfram Bergbau und Hütten AG</v>
      </c>
    </row>
    <row r="685" spans="1:25" s="228" customFormat="1" ht="20.25">
      <c r="A685" s="404" t="s">
        <v>1423</v>
      </c>
      <c r="B685" s="396" t="s">
        <v>2326</v>
      </c>
      <c r="C685" s="397" t="s">
        <v>2663</v>
      </c>
      <c r="D685" s="396" t="s">
        <v>2663</v>
      </c>
      <c r="E685" s="396" t="s">
        <v>2181</v>
      </c>
      <c r="F685" s="396" t="s">
        <v>1423</v>
      </c>
      <c r="G685" s="396" t="s">
        <v>3125</v>
      </c>
      <c r="H685" s="405" t="s">
        <v>5564</v>
      </c>
      <c r="I685" s="399" t="s">
        <v>3569</v>
      </c>
      <c r="J685" s="399" t="s">
        <v>3332</v>
      </c>
      <c r="K685" s="405" t="s">
        <v>5565</v>
      </c>
      <c r="L685" s="405" t="s">
        <v>5566</v>
      </c>
      <c r="M685" s="405" t="s">
        <v>5567</v>
      </c>
      <c r="N685" s="405" t="s">
        <v>5568</v>
      </c>
      <c r="O685" s="405" t="s">
        <v>5046</v>
      </c>
      <c r="P685" s="405" t="s">
        <v>925</v>
      </c>
      <c r="Q685" s="250" t="s">
        <v>5047</v>
      </c>
      <c r="R685" s="233"/>
      <c r="S685" s="234">
        <f>IF(C685="",NA(),MATCH($B685&amp;$C685,'Smelter Reference List'!$J:$J,0))</f>
        <v>532</v>
      </c>
      <c r="T685" s="235"/>
      <c r="U685" s="235">
        <f t="shared" si="16"/>
        <v>0</v>
      </c>
      <c r="V685" s="235"/>
      <c r="W685" s="235"/>
      <c r="Y685" s="228" t="str">
        <f t="shared" si="17"/>
        <v>TungstenXiamen Tungsten Co., Ltd.</v>
      </c>
    </row>
    <row r="686" spans="1:25" s="228" customFormat="1" ht="20.25">
      <c r="A686" s="404" t="s">
        <v>201</v>
      </c>
      <c r="B686" s="396" t="s">
        <v>2326</v>
      </c>
      <c r="C686" s="397" t="s">
        <v>213</v>
      </c>
      <c r="D686" s="396" t="s">
        <v>213</v>
      </c>
      <c r="E686" s="396" t="s">
        <v>2181</v>
      </c>
      <c r="F686" s="396" t="s">
        <v>201</v>
      </c>
      <c r="G686" s="396" t="s">
        <v>3125</v>
      </c>
      <c r="H686" s="405" t="s">
        <v>5055</v>
      </c>
      <c r="I686" s="399" t="s">
        <v>3471</v>
      </c>
      <c r="J686" s="399" t="s">
        <v>3204</v>
      </c>
      <c r="K686" s="405" t="s">
        <v>5055</v>
      </c>
      <c r="L686" s="405" t="s">
        <v>5055</v>
      </c>
      <c r="M686" s="405" t="s">
        <v>5055</v>
      </c>
      <c r="N686" s="405" t="s">
        <v>5055</v>
      </c>
      <c r="O686" s="405" t="s">
        <v>5046</v>
      </c>
      <c r="P686" s="405" t="s">
        <v>925</v>
      </c>
      <c r="Q686" s="250" t="s">
        <v>5047</v>
      </c>
      <c r="R686" s="233"/>
      <c r="S686" s="234">
        <f>IF(C686="",NA(),MATCH($B686&amp;$C686,'Smelter Reference List'!$J:$J,0))</f>
        <v>486</v>
      </c>
      <c r="T686" s="235"/>
      <c r="U686" s="235">
        <f t="shared" si="16"/>
        <v>0</v>
      </c>
      <c r="V686" s="235"/>
      <c r="W686" s="235"/>
      <c r="Y686" s="228" t="str">
        <f t="shared" si="17"/>
        <v>TungstenGanzhou Jiangwu Ferrotungsten Co., Ltd.</v>
      </c>
    </row>
    <row r="687" spans="1:25" s="228" customFormat="1" ht="20.25">
      <c r="A687" s="404" t="s">
        <v>203</v>
      </c>
      <c r="B687" s="396" t="s">
        <v>2326</v>
      </c>
      <c r="C687" s="397" t="s">
        <v>215</v>
      </c>
      <c r="D687" s="396" t="s">
        <v>215</v>
      </c>
      <c r="E687" s="396" t="s">
        <v>2181</v>
      </c>
      <c r="F687" s="396" t="s">
        <v>203</v>
      </c>
      <c r="G687" s="396" t="s">
        <v>3125</v>
      </c>
      <c r="H687" s="405" t="s">
        <v>5055</v>
      </c>
      <c r="I687" s="399" t="s">
        <v>3471</v>
      </c>
      <c r="J687" s="399" t="s">
        <v>3204</v>
      </c>
      <c r="K687" s="405" t="s">
        <v>5055</v>
      </c>
      <c r="L687" s="405" t="s">
        <v>5055</v>
      </c>
      <c r="M687" s="405" t="s">
        <v>5055</v>
      </c>
      <c r="N687" s="405" t="s">
        <v>5569</v>
      </c>
      <c r="O687" s="405" t="s">
        <v>5191</v>
      </c>
      <c r="P687" s="405" t="s">
        <v>925</v>
      </c>
      <c r="Q687" s="250" t="s">
        <v>5047</v>
      </c>
      <c r="R687" s="233"/>
      <c r="S687" s="234">
        <f>IF(C687="",NA(),MATCH($B687&amp;$C687,'Smelter Reference List'!$J:$J,0))</f>
        <v>510</v>
      </c>
      <c r="T687" s="235"/>
      <c r="U687" s="235">
        <f t="shared" si="16"/>
        <v>0</v>
      </c>
      <c r="V687" s="235"/>
      <c r="W687" s="235"/>
      <c r="Y687" s="228" t="str">
        <f t="shared" si="17"/>
        <v>TungstenJiangxi Xinsheng Tungsten Industry Co., Ltd.</v>
      </c>
    </row>
    <row r="688" spans="1:25" s="228" customFormat="1" ht="25.5">
      <c r="A688" s="404" t="s">
        <v>204</v>
      </c>
      <c r="B688" s="396" t="s">
        <v>2326</v>
      </c>
      <c r="C688" s="397" t="s">
        <v>216</v>
      </c>
      <c r="D688" s="396" t="s">
        <v>216</v>
      </c>
      <c r="E688" s="396" t="s">
        <v>2181</v>
      </c>
      <c r="F688" s="396" t="s">
        <v>204</v>
      </c>
      <c r="G688" s="396" t="s">
        <v>3125</v>
      </c>
      <c r="H688" s="405" t="s">
        <v>5024</v>
      </c>
      <c r="I688" s="399" t="s">
        <v>3573</v>
      </c>
      <c r="J688" s="399" t="s">
        <v>3204</v>
      </c>
      <c r="K688" s="406" t="s">
        <v>5024</v>
      </c>
      <c r="L688" s="406" t="s">
        <v>5024</v>
      </c>
      <c r="M688" s="406" t="s">
        <v>5024</v>
      </c>
      <c r="N688" s="406" t="s">
        <v>5024</v>
      </c>
      <c r="O688" s="406" t="s">
        <v>5024</v>
      </c>
      <c r="P688" s="406" t="s">
        <v>925</v>
      </c>
      <c r="Q688" s="250" t="s">
        <v>5047</v>
      </c>
      <c r="R688" s="233"/>
      <c r="S688" s="234">
        <f>IF(C688="",NA(),MATCH($B688&amp;$C688,'Smelter Reference List'!$J:$J,0))</f>
        <v>507</v>
      </c>
      <c r="T688" s="235"/>
      <c r="U688" s="235">
        <f t="shared" si="16"/>
        <v>0</v>
      </c>
      <c r="V688" s="235"/>
      <c r="W688" s="235"/>
      <c r="Y688" s="228" t="str">
        <f t="shared" si="17"/>
        <v>TungstenJiangxi Tonggu Non-ferrous Metallurgical &amp; Chemical Co., Ltd.</v>
      </c>
    </row>
    <row r="689" spans="1:25" s="228" customFormat="1" ht="20.25">
      <c r="A689" s="404" t="s">
        <v>206</v>
      </c>
      <c r="B689" s="396" t="s">
        <v>2326</v>
      </c>
      <c r="C689" s="397" t="s">
        <v>218</v>
      </c>
      <c r="D689" s="396" t="s">
        <v>218</v>
      </c>
      <c r="E689" s="396" t="s">
        <v>2181</v>
      </c>
      <c r="F689" s="396" t="s">
        <v>206</v>
      </c>
      <c r="G689" s="396" t="s">
        <v>3125</v>
      </c>
      <c r="H689" s="398">
        <v>0</v>
      </c>
      <c r="I689" s="399" t="s">
        <v>3569</v>
      </c>
      <c r="J689" s="399" t="s">
        <v>3332</v>
      </c>
      <c r="K689" s="406" t="s">
        <v>5565</v>
      </c>
      <c r="L689" s="406" t="s">
        <v>5566</v>
      </c>
      <c r="M689" s="406" t="s">
        <v>5570</v>
      </c>
      <c r="N689" s="406" t="s">
        <v>5571</v>
      </c>
      <c r="O689" s="406" t="s">
        <v>5572</v>
      </c>
      <c r="P689" s="406" t="s">
        <v>925</v>
      </c>
      <c r="Q689" s="250" t="s">
        <v>5047</v>
      </c>
      <c r="R689" s="233"/>
      <c r="S689" s="234">
        <f>IF(C689="",NA(),MATCH($B689&amp;$C689,'Smelter Reference List'!$J:$J,0))</f>
        <v>531</v>
      </c>
      <c r="T689" s="235"/>
      <c r="U689" s="235">
        <f t="shared" si="16"/>
        <v>0</v>
      </c>
      <c r="V689" s="235"/>
      <c r="W689" s="235"/>
      <c r="Y689" s="228" t="str">
        <f t="shared" si="17"/>
        <v>TungstenXiamen Tungsten (H.C.) Co., Ltd.</v>
      </c>
    </row>
    <row r="690" spans="1:25" s="228" customFormat="1" ht="20.25">
      <c r="A690" s="404" t="s">
        <v>722</v>
      </c>
      <c r="B690" s="396" t="s">
        <v>2326</v>
      </c>
      <c r="C690" s="397" t="s">
        <v>721</v>
      </c>
      <c r="D690" s="396" t="s">
        <v>721</v>
      </c>
      <c r="E690" s="396" t="s">
        <v>2181</v>
      </c>
      <c r="F690" s="396" t="s">
        <v>722</v>
      </c>
      <c r="G690" s="396" t="s">
        <v>3125</v>
      </c>
      <c r="H690" s="405" t="s">
        <v>5573</v>
      </c>
      <c r="I690" s="399" t="s">
        <v>3471</v>
      </c>
      <c r="J690" s="399" t="s">
        <v>3204</v>
      </c>
      <c r="K690" s="405" t="s">
        <v>5574</v>
      </c>
      <c r="L690" s="405" t="s">
        <v>5575</v>
      </c>
      <c r="M690" s="405" t="s">
        <v>5576</v>
      </c>
      <c r="N690" s="405" t="s">
        <v>5577</v>
      </c>
      <c r="O690" s="405" t="s">
        <v>5191</v>
      </c>
      <c r="P690" s="405" t="s">
        <v>925</v>
      </c>
      <c r="Q690" s="250" t="s">
        <v>5047</v>
      </c>
      <c r="R690" s="233"/>
      <c r="S690" s="234">
        <f>IF(C690="",NA(),MATCH($B690&amp;$C690,'Smelter Reference List'!$J:$J,0))</f>
        <v>488</v>
      </c>
      <c r="T690" s="235"/>
      <c r="U690" s="235">
        <f t="shared" si="16"/>
        <v>0</v>
      </c>
      <c r="V690" s="235"/>
      <c r="W690" s="235"/>
      <c r="Y690" s="228" t="str">
        <f t="shared" si="17"/>
        <v>TungstenGanzhou Seadragon W &amp; Mo Co., Ltd.</v>
      </c>
    </row>
    <row r="691" spans="1:25" s="228" customFormat="1" ht="25.5">
      <c r="A691" s="404" t="s">
        <v>2718</v>
      </c>
      <c r="B691" s="396" t="s">
        <v>2326</v>
      </c>
      <c r="C691" s="397" t="s">
        <v>2717</v>
      </c>
      <c r="D691" s="396" t="s">
        <v>2717</v>
      </c>
      <c r="E691" s="396" t="s">
        <v>2181</v>
      </c>
      <c r="F691" s="396" t="s">
        <v>2718</v>
      </c>
      <c r="G691" s="396" t="s">
        <v>3125</v>
      </c>
      <c r="H691" s="405" t="s">
        <v>5578</v>
      </c>
      <c r="I691" s="399" t="s">
        <v>3475</v>
      </c>
      <c r="J691" s="399" t="s">
        <v>3186</v>
      </c>
      <c r="K691" s="405" t="s">
        <v>5579</v>
      </c>
      <c r="L691" s="405" t="s">
        <v>5580</v>
      </c>
      <c r="M691" s="405" t="s">
        <v>5055</v>
      </c>
      <c r="N691" s="405" t="s">
        <v>5581</v>
      </c>
      <c r="O691" s="405" t="s">
        <v>5046</v>
      </c>
      <c r="P691" s="405" t="s">
        <v>925</v>
      </c>
      <c r="Q691" s="250" t="s">
        <v>5047</v>
      </c>
      <c r="R691" s="233"/>
      <c r="S691" s="234">
        <f>IF(C691="",NA(),MATCH($B691&amp;$C691,'Smelter Reference List'!$J:$J,0))</f>
        <v>478</v>
      </c>
      <c r="T691" s="235"/>
      <c r="U691" s="235">
        <f t="shared" si="16"/>
        <v>0</v>
      </c>
      <c r="V691" s="235"/>
      <c r="W691" s="235"/>
      <c r="Y691" s="228" t="str">
        <f t="shared" si="17"/>
        <v>TungstenChenzhou Diamond Tungsten Products Co., Ltd.</v>
      </c>
    </row>
    <row r="692" spans="1:25" s="228" customFormat="1" ht="20.25">
      <c r="A692" s="404" t="s">
        <v>2761</v>
      </c>
      <c r="B692" s="396" t="s">
        <v>2326</v>
      </c>
      <c r="C692" s="397" t="s">
        <v>2749</v>
      </c>
      <c r="D692" s="396" t="s">
        <v>2749</v>
      </c>
      <c r="E692" s="396" t="s">
        <v>2195</v>
      </c>
      <c r="F692" s="396" t="s">
        <v>2761</v>
      </c>
      <c r="G692" s="396" t="s">
        <v>3125</v>
      </c>
      <c r="H692" s="405" t="s">
        <v>5337</v>
      </c>
      <c r="I692" s="399" t="s">
        <v>3420</v>
      </c>
      <c r="J692" s="399" t="s">
        <v>3131</v>
      </c>
      <c r="K692" s="405" t="s">
        <v>5055</v>
      </c>
      <c r="L692" s="405" t="s">
        <v>5055</v>
      </c>
      <c r="M692" s="405" t="s">
        <v>5055</v>
      </c>
      <c r="N692" s="405" t="s">
        <v>5055</v>
      </c>
      <c r="O692" s="405" t="s">
        <v>5282</v>
      </c>
      <c r="P692" s="405" t="s">
        <v>925</v>
      </c>
      <c r="Q692" s="250" t="s">
        <v>5047</v>
      </c>
      <c r="R692" s="233"/>
      <c r="S692" s="234">
        <f>IF(C692="",NA(),MATCH($B692&amp;$C692,'Smelter Reference List'!$J:$J,0))</f>
        <v>494</v>
      </c>
      <c r="T692" s="235"/>
      <c r="U692" s="235">
        <f t="shared" si="16"/>
        <v>0</v>
      </c>
      <c r="V692" s="235"/>
      <c r="W692" s="235"/>
      <c r="Y692" s="228" t="str">
        <f t="shared" si="17"/>
        <v>TungstenH.C. Starck Smelting GmbH &amp; Co.KG</v>
      </c>
    </row>
    <row r="693" spans="1:25" s="228" customFormat="1" ht="25.5">
      <c r="A693" s="404" t="s">
        <v>2764</v>
      </c>
      <c r="B693" s="396" t="s">
        <v>2326</v>
      </c>
      <c r="C693" s="397" t="s">
        <v>2765</v>
      </c>
      <c r="D693" s="396" t="s">
        <v>2765</v>
      </c>
      <c r="E693" s="396" t="s">
        <v>1766</v>
      </c>
      <c r="F693" s="396" t="s">
        <v>2764</v>
      </c>
      <c r="G693" s="396" t="s">
        <v>3125</v>
      </c>
      <c r="H693" s="405" t="s">
        <v>5582</v>
      </c>
      <c r="I693" s="399" t="s">
        <v>3587</v>
      </c>
      <c r="J693" s="399" t="s">
        <v>3588</v>
      </c>
      <c r="K693" s="405" t="s">
        <v>5055</v>
      </c>
      <c r="L693" s="405" t="s">
        <v>5055</v>
      </c>
      <c r="M693" s="405" t="s">
        <v>5055</v>
      </c>
      <c r="N693" s="405" t="s">
        <v>5055</v>
      </c>
      <c r="O693" s="405" t="s">
        <v>5191</v>
      </c>
      <c r="P693" s="405" t="s">
        <v>925</v>
      </c>
      <c r="Q693" s="250" t="s">
        <v>5047</v>
      </c>
      <c r="R693" s="233"/>
      <c r="S693" s="234">
        <f>IF(C693="",NA(),MATCH($B693&amp;$C693,'Smelter Reference List'!$J:$J,0))</f>
        <v>518</v>
      </c>
      <c r="T693" s="235"/>
      <c r="U693" s="235">
        <f t="shared" si="16"/>
        <v>0</v>
      </c>
      <c r="V693" s="235"/>
      <c r="W693" s="235"/>
      <c r="Y693" s="228" t="str">
        <f t="shared" si="17"/>
        <v>TungstenNui Phao H.C. Starck Tungsten Chemicals Manufacturing LLC</v>
      </c>
    </row>
    <row r="694" spans="1:25" s="228" customFormat="1" ht="25.5">
      <c r="A694" s="404" t="s">
        <v>2763</v>
      </c>
      <c r="B694" s="396" t="s">
        <v>2326</v>
      </c>
      <c r="C694" s="397" t="s">
        <v>2762</v>
      </c>
      <c r="D694" s="396" t="s">
        <v>2762</v>
      </c>
      <c r="E694" s="396" t="s">
        <v>2181</v>
      </c>
      <c r="F694" s="396" t="s">
        <v>2763</v>
      </c>
      <c r="G694" s="396" t="s">
        <v>3125</v>
      </c>
      <c r="H694" s="405" t="s">
        <v>5055</v>
      </c>
      <c r="I694" s="399" t="s">
        <v>3471</v>
      </c>
      <c r="J694" s="399" t="s">
        <v>3204</v>
      </c>
      <c r="K694" s="405" t="s">
        <v>5055</v>
      </c>
      <c r="L694" s="405" t="s">
        <v>5055</v>
      </c>
      <c r="M694" s="405" t="s">
        <v>5112</v>
      </c>
      <c r="N694" s="405" t="s">
        <v>5055</v>
      </c>
      <c r="O694" s="405" t="s">
        <v>5191</v>
      </c>
      <c r="P694" s="405" t="s">
        <v>925</v>
      </c>
      <c r="Q694" s="250" t="s">
        <v>5047</v>
      </c>
      <c r="R694" s="233"/>
      <c r="S694" s="234">
        <f>IF(C694="",NA(),MATCH($B694&amp;$C694,'Smelter Reference List'!$J:$J,0))</f>
        <v>503</v>
      </c>
      <c r="T694" s="235"/>
      <c r="U694" s="235">
        <f t="shared" si="16"/>
        <v>0</v>
      </c>
      <c r="V694" s="235"/>
      <c r="W694" s="235"/>
      <c r="Y694" s="228" t="str">
        <f t="shared" si="17"/>
        <v>TungstenJiangwu H.C. Starck Tungsten Products Co., Ltd.</v>
      </c>
    </row>
    <row r="695" spans="1:25" s="228" customFormat="1" ht="20.25">
      <c r="A695" s="404" t="s">
        <v>3594</v>
      </c>
      <c r="B695" s="396" t="s">
        <v>2326</v>
      </c>
      <c r="C695" s="397" t="s">
        <v>3593</v>
      </c>
      <c r="D695" s="396" t="s">
        <v>3593</v>
      </c>
      <c r="E695" s="396" t="s">
        <v>5016</v>
      </c>
      <c r="F695" s="396" t="s">
        <v>3594</v>
      </c>
      <c r="G695" s="396" t="s">
        <v>3125</v>
      </c>
      <c r="H695" s="405">
        <v>0</v>
      </c>
      <c r="I695" s="399" t="s">
        <v>3595</v>
      </c>
      <c r="J695" s="399" t="s">
        <v>3230</v>
      </c>
      <c r="K695" s="406"/>
      <c r="L695" s="406"/>
      <c r="M695" s="406"/>
      <c r="N695" s="406"/>
      <c r="O695" s="406"/>
      <c r="P695" s="406"/>
      <c r="Q695" s="250" t="s">
        <v>5047</v>
      </c>
      <c r="R695" s="233"/>
      <c r="S695" s="234">
        <f>IF(C695="",NA(),MATCH($B695&amp;$C695,'Smelter Reference List'!$J:$J,0))</f>
        <v>517</v>
      </c>
      <c r="T695" s="235"/>
      <c r="U695" s="235">
        <f t="shared" si="16"/>
        <v>0</v>
      </c>
      <c r="V695" s="235"/>
      <c r="W695" s="235"/>
      <c r="Y695" s="228" t="str">
        <f t="shared" si="17"/>
        <v>TungstenNiagara Refining LLC</v>
      </c>
    </row>
    <row r="696" spans="1:25" s="228" customFormat="1" ht="25.5">
      <c r="A696" s="404" t="s">
        <v>3597</v>
      </c>
      <c r="B696" s="396" t="s">
        <v>2326</v>
      </c>
      <c r="C696" s="397" t="s">
        <v>3596</v>
      </c>
      <c r="D696" s="396" t="s">
        <v>3596</v>
      </c>
      <c r="E696" s="396" t="s">
        <v>1717</v>
      </c>
      <c r="F696" s="396" t="s">
        <v>3597</v>
      </c>
      <c r="G696" s="396" t="s">
        <v>3125</v>
      </c>
      <c r="H696" s="405" t="s">
        <v>5055</v>
      </c>
      <c r="I696" s="399" t="s">
        <v>3598</v>
      </c>
      <c r="J696" s="399" t="s">
        <v>3599</v>
      </c>
      <c r="K696" s="405" t="s">
        <v>5055</v>
      </c>
      <c r="L696" s="405" t="s">
        <v>5055</v>
      </c>
      <c r="M696" s="405" t="s">
        <v>5055</v>
      </c>
      <c r="N696" s="405" t="s">
        <v>5055</v>
      </c>
      <c r="O696" s="405" t="s">
        <v>5046</v>
      </c>
      <c r="P696" s="405" t="s">
        <v>925</v>
      </c>
      <c r="Q696" s="403" t="s">
        <v>5047</v>
      </c>
      <c r="R696" s="233"/>
      <c r="S696" s="234">
        <f>IF(C696="",NA(),MATCH($B696&amp;$C696,'Smelter Reference List'!$J:$J,0))</f>
        <v>501</v>
      </c>
      <c r="T696" s="235"/>
      <c r="U696" s="235">
        <f t="shared" si="16"/>
        <v>0</v>
      </c>
      <c r="V696" s="235"/>
      <c r="W696" s="235"/>
      <c r="Y696" s="228" t="str">
        <f t="shared" si="17"/>
        <v>TungstenHydrometallurg, JSC</v>
      </c>
    </row>
    <row r="697" spans="1:25" s="228" customFormat="1" ht="20.25">
      <c r="A697" s="161"/>
      <c r="B697" s="408" t="s">
        <v>2324</v>
      </c>
      <c r="C697" s="297" t="s">
        <v>3604</v>
      </c>
      <c r="D697" s="161" t="s">
        <v>5583</v>
      </c>
      <c r="E697" s="161" t="s">
        <v>2238</v>
      </c>
      <c r="F697" s="161"/>
      <c r="G697" s="228" t="s">
        <v>5584</v>
      </c>
      <c r="H697" s="247" t="s">
        <v>5585</v>
      </c>
      <c r="I697" s="248" t="s">
        <v>5586</v>
      </c>
      <c r="J697" s="248" t="s">
        <v>5587</v>
      </c>
      <c r="K697" s="249" t="s">
        <v>5588</v>
      </c>
      <c r="L697" s="249" t="s">
        <v>5589</v>
      </c>
      <c r="M697" s="249"/>
      <c r="N697" s="249"/>
      <c r="O697" s="249"/>
      <c r="P697" s="249"/>
      <c r="Q697" s="250"/>
      <c r="R697" s="233"/>
      <c r="S697" s="234">
        <f>IF(C697="",NA(),MATCH($B697&amp;$C697,'Smelter Reference List'!$J:$J,0))</f>
        <v>467</v>
      </c>
      <c r="T697" s="235"/>
      <c r="U697" s="235">
        <f t="shared" si="16"/>
        <v>0</v>
      </c>
      <c r="V697" s="235"/>
      <c r="W697" s="235"/>
      <c r="Y697" s="228" t="str">
        <f t="shared" si="17"/>
        <v>TinSmelter not listed</v>
      </c>
    </row>
    <row r="698" spans="1:25" s="228" customFormat="1" ht="20.25">
      <c r="A698" s="161"/>
      <c r="B698" s="408" t="s">
        <v>2323</v>
      </c>
      <c r="C698" s="297" t="s">
        <v>3604</v>
      </c>
      <c r="D698" s="161" t="s">
        <v>2451</v>
      </c>
      <c r="E698" s="161" t="s">
        <v>2195</v>
      </c>
      <c r="F698" s="161"/>
      <c r="G698" s="228" t="s">
        <v>5584</v>
      </c>
      <c r="H698" s="247" t="s">
        <v>5590</v>
      </c>
      <c r="I698" s="248" t="s">
        <v>3137</v>
      </c>
      <c r="J698" s="248" t="s">
        <v>3138</v>
      </c>
      <c r="K698" s="245" t="s">
        <v>5591</v>
      </c>
      <c r="L698" s="245" t="s">
        <v>5592</v>
      </c>
      <c r="M698" s="245"/>
      <c r="N698" s="245"/>
      <c r="O698" s="245"/>
      <c r="P698" s="245"/>
      <c r="Q698" s="246"/>
      <c r="R698" s="233"/>
      <c r="S698" s="234">
        <f>IF(C698="",NA(),MATCH($B698&amp;$C698,'Smelter Reference List'!$J:$J,0))</f>
        <v>238</v>
      </c>
      <c r="T698" s="235"/>
      <c r="U698" s="235">
        <f t="shared" si="16"/>
        <v>0</v>
      </c>
      <c r="V698" s="235"/>
      <c r="W698" s="235"/>
      <c r="Y698" s="228" t="str">
        <f t="shared" si="17"/>
        <v>GoldSmelter not listed</v>
      </c>
    </row>
    <row r="699" spans="1:25" s="228" customFormat="1" ht="20.25">
      <c r="A699" s="408"/>
      <c r="B699" s="408" t="s">
        <v>2326</v>
      </c>
      <c r="C699" s="297" t="s">
        <v>3604</v>
      </c>
      <c r="D699" s="408" t="s">
        <v>5593</v>
      </c>
      <c r="E699" s="408" t="s">
        <v>2249</v>
      </c>
      <c r="F699" s="161"/>
      <c r="G699" s="228" t="s">
        <v>5584</v>
      </c>
      <c r="H699" s="409" t="s">
        <v>5594</v>
      </c>
      <c r="I699" s="410" t="s">
        <v>3129</v>
      </c>
      <c r="J699" s="409" t="s">
        <v>5595</v>
      </c>
      <c r="K699" s="409" t="s">
        <v>5596</v>
      </c>
      <c r="L699" s="408" t="s">
        <v>5597</v>
      </c>
      <c r="M699" s="409"/>
      <c r="N699" s="409"/>
      <c r="O699" s="409"/>
      <c r="P699" s="409"/>
      <c r="Q699" s="411"/>
      <c r="R699" s="233"/>
      <c r="S699" s="234">
        <f>IF(C699="",NA(),MATCH($B699&amp;$C699,'Smelter Reference List'!$J:$J,0))</f>
        <v>536</v>
      </c>
      <c r="T699" s="235"/>
      <c r="U699" s="235">
        <f t="shared" si="16"/>
        <v>0</v>
      </c>
      <c r="V699" s="235"/>
      <c r="W699" s="235"/>
      <c r="Y699" s="228" t="str">
        <f t="shared" si="17"/>
        <v>TungstenSmelter not listed</v>
      </c>
    </row>
    <row r="700" spans="1:25" s="228" customFormat="1" ht="20.25">
      <c r="A700" s="161"/>
      <c r="B700" s="408" t="s">
        <v>2323</v>
      </c>
      <c r="C700" s="297" t="s">
        <v>3604</v>
      </c>
      <c r="D700" s="161" t="s">
        <v>5598</v>
      </c>
      <c r="E700" s="161" t="s">
        <v>2179</v>
      </c>
      <c r="F700" s="161"/>
      <c r="G700" s="228" t="s">
        <v>5584</v>
      </c>
      <c r="H700" s="247" t="s">
        <v>5599</v>
      </c>
      <c r="I700" s="248" t="s">
        <v>3137</v>
      </c>
      <c r="J700" s="248" t="s">
        <v>5599</v>
      </c>
      <c r="K700" s="245" t="s">
        <v>5600</v>
      </c>
      <c r="L700" s="245" t="s">
        <v>5601</v>
      </c>
      <c r="M700" s="245" t="s">
        <v>5602</v>
      </c>
      <c r="N700" s="245" t="s">
        <v>3137</v>
      </c>
      <c r="O700" s="245" t="s">
        <v>5603</v>
      </c>
      <c r="P700" s="245"/>
      <c r="Q700" s="246"/>
      <c r="R700" s="233"/>
      <c r="S700" s="234">
        <f>IF(C700="",NA(),MATCH($B700&amp;$C700,'Smelter Reference List'!$J:$J,0))</f>
        <v>238</v>
      </c>
      <c r="T700" s="235"/>
      <c r="U700" s="235">
        <f t="shared" si="16"/>
        <v>0</v>
      </c>
      <c r="V700" s="235"/>
      <c r="W700" s="235"/>
      <c r="Y700" s="228" t="str">
        <f t="shared" si="17"/>
        <v>GoldSmelter not listed</v>
      </c>
    </row>
    <row r="701" spans="1:25" s="228" customFormat="1" ht="20.25">
      <c r="A701" s="161"/>
      <c r="B701" s="408" t="s">
        <v>2323</v>
      </c>
      <c r="C701" s="297" t="s">
        <v>3604</v>
      </c>
      <c r="D701" s="161" t="s">
        <v>5604</v>
      </c>
      <c r="E701" s="161" t="s">
        <v>2249</v>
      </c>
      <c r="F701" s="161"/>
      <c r="G701" s="228" t="s">
        <v>5584</v>
      </c>
      <c r="H701" s="247" t="s">
        <v>5605</v>
      </c>
      <c r="I701" s="248" t="s">
        <v>3139</v>
      </c>
      <c r="J701" s="248" t="s">
        <v>3140</v>
      </c>
      <c r="K701" s="245" t="s">
        <v>5063</v>
      </c>
      <c r="L701" s="245"/>
      <c r="M701" s="245" t="s">
        <v>5602</v>
      </c>
      <c r="N701" s="245"/>
      <c r="O701" s="245"/>
      <c r="P701" s="245"/>
      <c r="Q701" s="246"/>
      <c r="R701" s="233"/>
      <c r="S701" s="234">
        <f>IF(C701="",NA(),MATCH($B701&amp;$C701,'Smelter Reference List'!$J:$J,0))</f>
        <v>238</v>
      </c>
      <c r="T701" s="235"/>
      <c r="U701" s="235">
        <f t="shared" si="16"/>
        <v>0</v>
      </c>
      <c r="V701" s="235"/>
      <c r="W701" s="235"/>
      <c r="Y701" s="228" t="str">
        <f t="shared" si="17"/>
        <v>GoldSmelter not listed</v>
      </c>
    </row>
    <row r="702" spans="1:25" s="228" customFormat="1" ht="20.25">
      <c r="A702" s="161"/>
      <c r="B702" s="408" t="s">
        <v>2323</v>
      </c>
      <c r="C702" s="297" t="s">
        <v>3604</v>
      </c>
      <c r="D702" s="161" t="s">
        <v>1788</v>
      </c>
      <c r="E702" s="161" t="s">
        <v>2249</v>
      </c>
      <c r="F702" s="161"/>
      <c r="G702" s="228" t="s">
        <v>5584</v>
      </c>
      <c r="H702" s="247" t="s">
        <v>5606</v>
      </c>
      <c r="I702" s="248" t="s">
        <v>5607</v>
      </c>
      <c r="J702" s="248" t="s">
        <v>3129</v>
      </c>
      <c r="K702" s="245" t="s">
        <v>5063</v>
      </c>
      <c r="L702" s="245" t="s">
        <v>5608</v>
      </c>
      <c r="M702" s="245" t="s">
        <v>5602</v>
      </c>
      <c r="N702" s="245"/>
      <c r="O702" s="245"/>
      <c r="P702" s="245"/>
      <c r="Q702" s="246"/>
      <c r="R702" s="233"/>
      <c r="S702" s="234">
        <f>IF(C702="",NA(),MATCH($B702&amp;$C702,'Smelter Reference List'!$J:$J,0))</f>
        <v>238</v>
      </c>
      <c r="T702" s="235"/>
      <c r="U702" s="235">
        <f t="shared" si="16"/>
        <v>0</v>
      </c>
      <c r="V702" s="235"/>
      <c r="W702" s="235"/>
      <c r="Y702" s="228" t="str">
        <f t="shared" si="17"/>
        <v>GoldSmelter not listed</v>
      </c>
    </row>
    <row r="703" spans="1:25" s="228" customFormat="1" ht="20.25">
      <c r="A703" s="161"/>
      <c r="B703" s="408" t="s">
        <v>2323</v>
      </c>
      <c r="C703" s="297" t="s">
        <v>3604</v>
      </c>
      <c r="D703" s="161" t="s">
        <v>72</v>
      </c>
      <c r="E703" s="161" t="s">
        <v>2232</v>
      </c>
      <c r="F703" s="161"/>
      <c r="G703" s="228" t="s">
        <v>5584</v>
      </c>
      <c r="H703" s="247" t="s">
        <v>5609</v>
      </c>
      <c r="I703" s="248" t="s">
        <v>5610</v>
      </c>
      <c r="J703" s="248" t="s">
        <v>5611</v>
      </c>
      <c r="K703" s="245" t="s">
        <v>5063</v>
      </c>
      <c r="L703" s="245" t="s">
        <v>5612</v>
      </c>
      <c r="M703" s="245" t="s">
        <v>5602</v>
      </c>
      <c r="N703" s="245" t="s">
        <v>5061</v>
      </c>
      <c r="O703" s="245" t="s">
        <v>5061</v>
      </c>
      <c r="P703" s="245"/>
      <c r="Q703" s="246"/>
      <c r="R703" s="233"/>
      <c r="S703" s="234">
        <f>IF(C703="",NA(),MATCH($B703&amp;$C703,'Smelter Reference List'!$J:$J,0))</f>
        <v>238</v>
      </c>
      <c r="T703" s="235"/>
      <c r="U703" s="235">
        <f t="shared" si="16"/>
        <v>0</v>
      </c>
      <c r="V703" s="235"/>
      <c r="W703" s="235"/>
      <c r="Y703" s="228" t="str">
        <f t="shared" si="17"/>
        <v>GoldSmelter not listed</v>
      </c>
    </row>
    <row r="704" spans="1:25" s="228" customFormat="1" ht="20.25">
      <c r="A704" s="161"/>
      <c r="B704" s="408" t="s">
        <v>2323</v>
      </c>
      <c r="C704" s="297" t="s">
        <v>3604</v>
      </c>
      <c r="D704" s="161" t="s">
        <v>2451</v>
      </c>
      <c r="E704" s="161" t="s">
        <v>2195</v>
      </c>
      <c r="F704" s="161"/>
      <c r="G704" s="228" t="s">
        <v>5584</v>
      </c>
      <c r="H704" s="247" t="s">
        <v>5613</v>
      </c>
      <c r="I704" s="248" t="s">
        <v>5614</v>
      </c>
      <c r="J704" s="248" t="s">
        <v>3193</v>
      </c>
      <c r="K704" s="245" t="s">
        <v>5615</v>
      </c>
      <c r="L704" s="245" t="s">
        <v>5616</v>
      </c>
      <c r="M704" s="245" t="s">
        <v>5602</v>
      </c>
      <c r="N704" s="245" t="s">
        <v>5061</v>
      </c>
      <c r="O704" s="245" t="s">
        <v>5061</v>
      </c>
      <c r="P704" s="245"/>
      <c r="Q704" s="246"/>
      <c r="R704" s="233"/>
      <c r="S704" s="234">
        <f>IF(C704="",NA(),MATCH($B704&amp;$C704,'Smelter Reference List'!$J:$J,0))</f>
        <v>238</v>
      </c>
      <c r="T704" s="235"/>
      <c r="U704" s="235">
        <f t="shared" si="16"/>
        <v>0</v>
      </c>
      <c r="V704" s="235"/>
      <c r="W704" s="235"/>
      <c r="Y704" s="228" t="str">
        <f t="shared" si="17"/>
        <v>GoldSmelter not listed</v>
      </c>
    </row>
    <row r="705" spans="1:25" s="228" customFormat="1" ht="20.25">
      <c r="A705" s="408"/>
      <c r="B705" s="408" t="s">
        <v>2323</v>
      </c>
      <c r="C705" s="297" t="s">
        <v>3604</v>
      </c>
      <c r="D705" s="408" t="s">
        <v>5617</v>
      </c>
      <c r="E705" s="408" t="s">
        <v>1759</v>
      </c>
      <c r="F705" s="161"/>
      <c r="G705" s="228" t="s">
        <v>5584</v>
      </c>
      <c r="H705" s="409" t="s">
        <v>5618</v>
      </c>
      <c r="I705" s="409" t="s">
        <v>3206</v>
      </c>
      <c r="J705" s="409" t="s">
        <v>3207</v>
      </c>
      <c r="K705" s="409" t="s">
        <v>5121</v>
      </c>
      <c r="L705" s="409" t="s">
        <v>5122</v>
      </c>
      <c r="M705" s="409" t="s">
        <v>5602</v>
      </c>
      <c r="N705" s="409" t="s">
        <v>5063</v>
      </c>
      <c r="O705" s="409" t="s">
        <v>5063</v>
      </c>
      <c r="P705" s="409"/>
      <c r="Q705" s="411"/>
      <c r="R705" s="233"/>
      <c r="S705" s="234">
        <f>IF(C705="",NA(),MATCH($B705&amp;$C705,'Smelter Reference List'!$J:$J,0))</f>
        <v>238</v>
      </c>
      <c r="T705" s="235"/>
      <c r="U705" s="235">
        <f t="shared" si="16"/>
        <v>0</v>
      </c>
      <c r="V705" s="235"/>
      <c r="W705" s="235"/>
      <c r="Y705" s="228" t="str">
        <f t="shared" si="17"/>
        <v>GoldSmelter not listed</v>
      </c>
    </row>
    <row r="706" spans="1:25" s="228" customFormat="1" ht="20.25">
      <c r="A706" s="408"/>
      <c r="B706" s="408" t="s">
        <v>2323</v>
      </c>
      <c r="C706" s="297" t="s">
        <v>3604</v>
      </c>
      <c r="D706" s="408" t="s">
        <v>5619</v>
      </c>
      <c r="E706" s="408" t="s">
        <v>2177</v>
      </c>
      <c r="F706" s="161"/>
      <c r="G706" s="228" t="s">
        <v>5584</v>
      </c>
      <c r="H706" s="409" t="s">
        <v>5620</v>
      </c>
      <c r="I706" s="409" t="s">
        <v>3210</v>
      </c>
      <c r="J706" s="409" t="s">
        <v>3209</v>
      </c>
      <c r="K706" s="409" t="s">
        <v>5621</v>
      </c>
      <c r="L706" s="409" t="s">
        <v>5622</v>
      </c>
      <c r="M706" s="409" t="s">
        <v>5602</v>
      </c>
      <c r="N706" s="409" t="s">
        <v>5061</v>
      </c>
      <c r="O706" s="409" t="s">
        <v>5061</v>
      </c>
      <c r="P706" s="409"/>
      <c r="Q706" s="411"/>
      <c r="R706" s="233"/>
      <c r="S706" s="234">
        <f>IF(C706="",NA(),MATCH($B706&amp;$C706,'Smelter Reference List'!$J:$J,0))</f>
        <v>238</v>
      </c>
      <c r="T706" s="235"/>
      <c r="U706" s="235">
        <f t="shared" si="16"/>
        <v>0</v>
      </c>
      <c r="V706" s="235"/>
      <c r="W706" s="235"/>
      <c r="Y706" s="228" t="str">
        <f t="shared" si="17"/>
        <v>GoldSmelter not listed</v>
      </c>
    </row>
    <row r="707" spans="1:25" s="228" customFormat="1" ht="20.25">
      <c r="A707" s="161"/>
      <c r="B707" s="408" t="s">
        <v>2323</v>
      </c>
      <c r="C707" s="297" t="s">
        <v>3604</v>
      </c>
      <c r="D707" s="161" t="s">
        <v>73</v>
      </c>
      <c r="E707" s="161" t="s">
        <v>2249</v>
      </c>
      <c r="F707" s="161"/>
      <c r="G707" s="228" t="s">
        <v>5584</v>
      </c>
      <c r="H707" s="247" t="s">
        <v>5623</v>
      </c>
      <c r="I707" s="248" t="s">
        <v>5607</v>
      </c>
      <c r="J707" s="248" t="s">
        <v>3129</v>
      </c>
      <c r="K707" s="245" t="s">
        <v>5624</v>
      </c>
      <c r="L707" s="245" t="s">
        <v>5129</v>
      </c>
      <c r="M707" s="245" t="s">
        <v>5602</v>
      </c>
      <c r="N707" s="245" t="s">
        <v>5063</v>
      </c>
      <c r="O707" s="245" t="s">
        <v>5063</v>
      </c>
      <c r="P707" s="245"/>
      <c r="Q707" s="246"/>
      <c r="R707" s="233"/>
      <c r="S707" s="234">
        <f>IF(C707="",NA(),MATCH($B707&amp;$C707,'Smelter Reference List'!$J:$J,0))</f>
        <v>238</v>
      </c>
      <c r="T707" s="235"/>
      <c r="U707" s="235">
        <f t="shared" si="16"/>
        <v>0</v>
      </c>
      <c r="V707" s="235"/>
      <c r="W707" s="235"/>
      <c r="Y707" s="228" t="str">
        <f t="shared" si="17"/>
        <v>GoldSmelter not listed</v>
      </c>
    </row>
    <row r="708" spans="1:25" s="228" customFormat="1" ht="20.25">
      <c r="A708" s="161"/>
      <c r="B708" s="408" t="s">
        <v>2323</v>
      </c>
      <c r="C708" s="297" t="s">
        <v>3604</v>
      </c>
      <c r="D708" s="161" t="s">
        <v>1792</v>
      </c>
      <c r="E708" s="161" t="s">
        <v>1759</v>
      </c>
      <c r="F708" s="161"/>
      <c r="G708" s="228" t="s">
        <v>5584</v>
      </c>
      <c r="H708" s="247" t="s">
        <v>5145</v>
      </c>
      <c r="I708" s="248" t="s">
        <v>3229</v>
      </c>
      <c r="J708" s="248" t="s">
        <v>5625</v>
      </c>
      <c r="K708" s="245" t="s">
        <v>5626</v>
      </c>
      <c r="L708" s="245" t="s">
        <v>5627</v>
      </c>
      <c r="M708" s="245" t="s">
        <v>5602</v>
      </c>
      <c r="N708" s="245" t="s">
        <v>5628</v>
      </c>
      <c r="O708" s="245" t="s">
        <v>2123</v>
      </c>
      <c r="P708" s="245"/>
      <c r="Q708" s="246"/>
      <c r="R708" s="233"/>
      <c r="S708" s="234">
        <f>IF(C708="",NA(),MATCH($B708&amp;$C708,'Smelter Reference List'!$J:$J,0))</f>
        <v>238</v>
      </c>
      <c r="T708" s="235"/>
      <c r="U708" s="235">
        <f t="shared" si="16"/>
        <v>0</v>
      </c>
      <c r="V708" s="235"/>
      <c r="W708" s="235"/>
      <c r="Y708" s="228" t="str">
        <f t="shared" si="17"/>
        <v>GoldSmelter not listed</v>
      </c>
    </row>
    <row r="709" spans="1:25" s="228" customFormat="1" ht="20.25">
      <c r="A709" s="161"/>
      <c r="B709" s="408" t="s">
        <v>2323</v>
      </c>
      <c r="C709" s="297" t="s">
        <v>3604</v>
      </c>
      <c r="D709" s="161" t="s">
        <v>75</v>
      </c>
      <c r="E709" s="161" t="s">
        <v>2249</v>
      </c>
      <c r="F709" s="161"/>
      <c r="G709" s="228" t="s">
        <v>5584</v>
      </c>
      <c r="H709" s="247" t="s">
        <v>5629</v>
      </c>
      <c r="I709" s="248" t="s">
        <v>5630</v>
      </c>
      <c r="J709" s="248" t="s">
        <v>3129</v>
      </c>
      <c r="K709" s="245" t="s">
        <v>5631</v>
      </c>
      <c r="L709" s="245" t="s">
        <v>5632</v>
      </c>
      <c r="M709" s="245" t="s">
        <v>5602</v>
      </c>
      <c r="N709" s="245" t="s">
        <v>5063</v>
      </c>
      <c r="O709" s="245" t="s">
        <v>5063</v>
      </c>
      <c r="P709" s="245"/>
      <c r="Q709" s="246"/>
      <c r="R709" s="233"/>
      <c r="S709" s="234">
        <f>IF(C709="",NA(),MATCH($B709&amp;$C709,'Smelter Reference List'!$J:$J,0))</f>
        <v>238</v>
      </c>
      <c r="T709" s="235"/>
      <c r="U709" s="235">
        <f t="shared" si="16"/>
        <v>0</v>
      </c>
      <c r="V709" s="235"/>
      <c r="W709" s="235"/>
      <c r="Y709" s="228" t="str">
        <f t="shared" si="17"/>
        <v>GoldSmelter not listed</v>
      </c>
    </row>
    <row r="710" spans="1:25" s="228" customFormat="1" ht="20.25">
      <c r="A710" s="161"/>
      <c r="B710" s="408" t="s">
        <v>2323</v>
      </c>
      <c r="C710" s="297" t="s">
        <v>3604</v>
      </c>
      <c r="D710" s="161" t="s">
        <v>2453</v>
      </c>
      <c r="E710" s="161" t="s">
        <v>1759</v>
      </c>
      <c r="F710" s="161"/>
      <c r="G710" s="228" t="s">
        <v>5584</v>
      </c>
      <c r="H710" s="247" t="s">
        <v>5162</v>
      </c>
      <c r="I710" s="248" t="s">
        <v>3241</v>
      </c>
      <c r="J710" s="248" t="s">
        <v>5633</v>
      </c>
      <c r="K710" s="245" t="s">
        <v>5163</v>
      </c>
      <c r="L710" s="245" t="s">
        <v>5164</v>
      </c>
      <c r="M710" s="245" t="s">
        <v>5602</v>
      </c>
      <c r="N710" s="245" t="s">
        <v>5061</v>
      </c>
      <c r="O710" s="245" t="s">
        <v>5061</v>
      </c>
      <c r="P710" s="245"/>
      <c r="Q710" s="246"/>
      <c r="R710" s="233"/>
      <c r="S710" s="234">
        <f>IF(C710="",NA(),MATCH($B710&amp;$C710,'Smelter Reference List'!$J:$J,0))</f>
        <v>238</v>
      </c>
      <c r="T710" s="235"/>
      <c r="U710" s="235">
        <f t="shared" ref="U710:U773" si="18">IF(AND(C710="Smelter not listed",OR(LEN(D710)=0,LEN(E710)=0)),1,0)</f>
        <v>0</v>
      </c>
      <c r="V710" s="235"/>
      <c r="W710" s="235"/>
      <c r="Y710" s="228" t="str">
        <f t="shared" ref="Y710:Y773" si="19">B710&amp;C710</f>
        <v>GoldSmelter not listed</v>
      </c>
    </row>
    <row r="711" spans="1:25" s="228" customFormat="1" ht="20.25">
      <c r="A711" s="161"/>
      <c r="B711" s="408" t="s">
        <v>2323</v>
      </c>
      <c r="C711" s="297" t="s">
        <v>3604</v>
      </c>
      <c r="D711" s="161" t="s">
        <v>2371</v>
      </c>
      <c r="E711" s="161" t="s">
        <v>2249</v>
      </c>
      <c r="F711" s="161"/>
      <c r="G711" s="228" t="s">
        <v>5584</v>
      </c>
      <c r="H711" s="247" t="s">
        <v>5634</v>
      </c>
      <c r="I711" s="248" t="s">
        <v>5607</v>
      </c>
      <c r="J711" s="248" t="s">
        <v>5635</v>
      </c>
      <c r="K711" s="245" t="s">
        <v>5636</v>
      </c>
      <c r="L711" s="245" t="s">
        <v>5637</v>
      </c>
      <c r="M711" s="245" t="s">
        <v>5602</v>
      </c>
      <c r="N711" s="245" t="s">
        <v>4775</v>
      </c>
      <c r="O711" s="245" t="s">
        <v>4775</v>
      </c>
      <c r="P711" s="245"/>
      <c r="Q711" s="246"/>
      <c r="R711" s="233"/>
      <c r="S711" s="234">
        <f>IF(C711="",NA(),MATCH($B711&amp;$C711,'Smelter Reference List'!$J:$J,0))</f>
        <v>238</v>
      </c>
      <c r="T711" s="235"/>
      <c r="U711" s="235">
        <f t="shared" si="18"/>
        <v>0</v>
      </c>
      <c r="V711" s="235"/>
      <c r="W711" s="235"/>
      <c r="Y711" s="228" t="str">
        <f t="shared" si="19"/>
        <v>GoldSmelter not listed</v>
      </c>
    </row>
    <row r="712" spans="1:25" s="228" customFormat="1" ht="20.25">
      <c r="A712" s="161"/>
      <c r="B712" s="408" t="s">
        <v>2323</v>
      </c>
      <c r="C712" s="297" t="s">
        <v>3604</v>
      </c>
      <c r="D712" s="161" t="s">
        <v>2454</v>
      </c>
      <c r="E712" s="161" t="s">
        <v>2249</v>
      </c>
      <c r="F712" s="161"/>
      <c r="G712" s="228" t="s">
        <v>5584</v>
      </c>
      <c r="H712" s="247" t="s">
        <v>5638</v>
      </c>
      <c r="I712" s="248" t="s">
        <v>5639</v>
      </c>
      <c r="J712" s="248" t="s">
        <v>3129</v>
      </c>
      <c r="K712" s="245" t="s">
        <v>5063</v>
      </c>
      <c r="L712" s="245"/>
      <c r="M712" s="245" t="s">
        <v>5602</v>
      </c>
      <c r="N712" s="245" t="s">
        <v>5063</v>
      </c>
      <c r="O712" s="245" t="s">
        <v>5063</v>
      </c>
      <c r="P712" s="245"/>
      <c r="Q712" s="246"/>
      <c r="R712" s="233"/>
      <c r="S712" s="234">
        <f>IF(C712="",NA(),MATCH($B712&amp;$C712,'Smelter Reference List'!$J:$J,0))</f>
        <v>238</v>
      </c>
      <c r="T712" s="235"/>
      <c r="U712" s="235">
        <f t="shared" si="18"/>
        <v>0</v>
      </c>
      <c r="V712" s="235"/>
      <c r="W712" s="235"/>
      <c r="Y712" s="228" t="str">
        <f t="shared" si="19"/>
        <v>GoldSmelter not listed</v>
      </c>
    </row>
    <row r="713" spans="1:25" s="228" customFormat="1" ht="20.25">
      <c r="A713" s="161"/>
      <c r="B713" s="408" t="s">
        <v>2323</v>
      </c>
      <c r="C713" s="297" t="s">
        <v>3604</v>
      </c>
      <c r="D713" s="161" t="s">
        <v>1795</v>
      </c>
      <c r="E713" s="161" t="s">
        <v>2177</v>
      </c>
      <c r="F713" s="161"/>
      <c r="G713" s="228" t="s">
        <v>5584</v>
      </c>
      <c r="H713" s="247" t="s">
        <v>5640</v>
      </c>
      <c r="I713" s="248" t="s">
        <v>3272</v>
      </c>
      <c r="J713" s="248" t="s">
        <v>5641</v>
      </c>
      <c r="K713" s="245" t="s">
        <v>5642</v>
      </c>
      <c r="L713" s="245" t="s">
        <v>5643</v>
      </c>
      <c r="M713" s="245" t="s">
        <v>5602</v>
      </c>
      <c r="N713" s="245" t="s">
        <v>5061</v>
      </c>
      <c r="O713" s="245" t="s">
        <v>5061</v>
      </c>
      <c r="P713" s="245"/>
      <c r="Q713" s="246"/>
      <c r="R713" s="233"/>
      <c r="S713" s="234">
        <f>IF(C713="",NA(),MATCH($B713&amp;$C713,'Smelter Reference List'!$J:$J,0))</f>
        <v>238</v>
      </c>
      <c r="T713" s="235"/>
      <c r="U713" s="235">
        <f t="shared" si="18"/>
        <v>0</v>
      </c>
      <c r="V713" s="235"/>
      <c r="W713" s="235"/>
      <c r="Y713" s="228" t="str">
        <f t="shared" si="19"/>
        <v>GoldSmelter not listed</v>
      </c>
    </row>
    <row r="714" spans="1:25" s="228" customFormat="1" ht="20.25">
      <c r="A714" s="408"/>
      <c r="B714" s="408" t="s">
        <v>2323</v>
      </c>
      <c r="C714" s="297" t="s">
        <v>3604</v>
      </c>
      <c r="D714" s="408" t="s">
        <v>5644</v>
      </c>
      <c r="E714" s="408" t="s">
        <v>2181</v>
      </c>
      <c r="F714" s="161"/>
      <c r="G714" s="228" t="s">
        <v>5584</v>
      </c>
      <c r="H714" s="409" t="s">
        <v>5645</v>
      </c>
      <c r="I714" s="409" t="s">
        <v>3185</v>
      </c>
      <c r="J714" s="409" t="s">
        <v>3264</v>
      </c>
      <c r="K714" s="409" t="s">
        <v>5646</v>
      </c>
      <c r="L714" s="409" t="s">
        <v>5647</v>
      </c>
      <c r="M714" s="409" t="s">
        <v>5602</v>
      </c>
      <c r="N714" s="409" t="s">
        <v>260</v>
      </c>
      <c r="O714" s="409" t="s">
        <v>5648</v>
      </c>
      <c r="P714" s="409"/>
      <c r="Q714" s="411"/>
      <c r="R714" s="233"/>
      <c r="S714" s="234">
        <f>IF(C714="",NA(),MATCH($B714&amp;$C714,'Smelter Reference List'!$J:$J,0))</f>
        <v>238</v>
      </c>
      <c r="T714" s="235"/>
      <c r="U714" s="235">
        <f t="shared" si="18"/>
        <v>0</v>
      </c>
      <c r="V714" s="235"/>
      <c r="W714" s="235"/>
      <c r="Y714" s="228" t="str">
        <f t="shared" si="19"/>
        <v>GoldSmelter not listed</v>
      </c>
    </row>
    <row r="715" spans="1:25" s="228" customFormat="1" ht="20.25">
      <c r="A715" s="161"/>
      <c r="B715" s="408" t="s">
        <v>2323</v>
      </c>
      <c r="C715" s="297" t="s">
        <v>3604</v>
      </c>
      <c r="D715" s="161" t="s">
        <v>77</v>
      </c>
      <c r="E715" s="161" t="s">
        <v>2249</v>
      </c>
      <c r="F715" s="161"/>
      <c r="G715" s="228" t="s">
        <v>5584</v>
      </c>
      <c r="H715" s="247" t="s">
        <v>5649</v>
      </c>
      <c r="I715" s="412" t="s">
        <v>5650</v>
      </c>
      <c r="J715" s="412" t="s">
        <v>5651</v>
      </c>
      <c r="K715" s="245" t="s">
        <v>5224</v>
      </c>
      <c r="L715" s="245" t="s">
        <v>5225</v>
      </c>
      <c r="M715" s="245" t="s">
        <v>5602</v>
      </c>
      <c r="N715" s="245" t="s">
        <v>5061</v>
      </c>
      <c r="O715" s="245" t="s">
        <v>5061</v>
      </c>
      <c r="P715" s="245"/>
      <c r="Q715" s="246"/>
      <c r="R715" s="233"/>
      <c r="S715" s="234">
        <f>IF(C715="",NA(),MATCH($B715&amp;$C715,'Smelter Reference List'!$J:$J,0))</f>
        <v>238</v>
      </c>
      <c r="T715" s="235"/>
      <c r="U715" s="235">
        <f t="shared" si="18"/>
        <v>0</v>
      </c>
      <c r="V715" s="235"/>
      <c r="W715" s="235"/>
      <c r="Y715" s="228" t="str">
        <f t="shared" si="19"/>
        <v>GoldSmelter not listed</v>
      </c>
    </row>
    <row r="716" spans="1:25" s="228" customFormat="1" ht="20.25">
      <c r="A716" s="161"/>
      <c r="B716" s="408" t="s">
        <v>2323</v>
      </c>
      <c r="C716" s="297" t="s">
        <v>3604</v>
      </c>
      <c r="D716" s="161" t="s">
        <v>2457</v>
      </c>
      <c r="E716" s="161" t="s">
        <v>2249</v>
      </c>
      <c r="F716" s="161"/>
      <c r="G716" s="228" t="s">
        <v>5584</v>
      </c>
      <c r="H716" s="247" t="s">
        <v>5652</v>
      </c>
      <c r="I716" s="248" t="s">
        <v>3129</v>
      </c>
      <c r="J716" s="248" t="s">
        <v>3129</v>
      </c>
      <c r="K716" s="245" t="s">
        <v>5653</v>
      </c>
      <c r="L716" s="245" t="s">
        <v>5654</v>
      </c>
      <c r="M716" s="245" t="s">
        <v>5602</v>
      </c>
      <c r="N716" s="245" t="s">
        <v>4775</v>
      </c>
      <c r="O716" s="245" t="s">
        <v>4775</v>
      </c>
      <c r="P716" s="245"/>
      <c r="Q716" s="246"/>
      <c r="R716" s="233"/>
      <c r="S716" s="234">
        <f>IF(C716="",NA(),MATCH($B716&amp;$C716,'Smelter Reference List'!$J:$J,0))</f>
        <v>238</v>
      </c>
      <c r="T716" s="235"/>
      <c r="U716" s="235">
        <f t="shared" si="18"/>
        <v>0</v>
      </c>
      <c r="V716" s="235"/>
      <c r="W716" s="235"/>
      <c r="Y716" s="228" t="str">
        <f t="shared" si="19"/>
        <v>GoldSmelter not listed</v>
      </c>
    </row>
    <row r="717" spans="1:25" s="228" customFormat="1" ht="20.25">
      <c r="A717" s="161"/>
      <c r="B717" s="408" t="s">
        <v>2323</v>
      </c>
      <c r="C717" s="297" t="s">
        <v>3604</v>
      </c>
      <c r="D717" s="161" t="s">
        <v>5655</v>
      </c>
      <c r="E717" s="161" t="s">
        <v>2177</v>
      </c>
      <c r="F717" s="161"/>
      <c r="G717" s="228" t="s">
        <v>5584</v>
      </c>
      <c r="H717" s="247" t="s">
        <v>5656</v>
      </c>
      <c r="I717" s="248" t="s">
        <v>5657</v>
      </c>
      <c r="J717" s="248" t="s">
        <v>3210</v>
      </c>
      <c r="K717" s="245" t="s">
        <v>5085</v>
      </c>
      <c r="L717" s="245" t="s">
        <v>5658</v>
      </c>
      <c r="M717" s="245" t="s">
        <v>5602</v>
      </c>
      <c r="N717" s="245" t="s">
        <v>5659</v>
      </c>
      <c r="O717" s="245" t="s">
        <v>5660</v>
      </c>
      <c r="P717" s="245"/>
      <c r="Q717" s="246"/>
      <c r="R717" s="233"/>
      <c r="S717" s="234">
        <f>IF(C717="",NA(),MATCH($B717&amp;$C717,'Smelter Reference List'!$J:$J,0))</f>
        <v>238</v>
      </c>
      <c r="T717" s="235"/>
      <c r="U717" s="235">
        <f t="shared" si="18"/>
        <v>0</v>
      </c>
      <c r="V717" s="235"/>
      <c r="W717" s="235"/>
      <c r="Y717" s="228" t="str">
        <f t="shared" si="19"/>
        <v>GoldSmelter not listed</v>
      </c>
    </row>
    <row r="718" spans="1:25" s="228" customFormat="1" ht="20.25">
      <c r="A718" s="161"/>
      <c r="B718" s="408" t="s">
        <v>2323</v>
      </c>
      <c r="C718" s="297" t="s">
        <v>3604</v>
      </c>
      <c r="D718" s="161" t="s">
        <v>2575</v>
      </c>
      <c r="E718" s="161" t="s">
        <v>2181</v>
      </c>
      <c r="F718" s="161"/>
      <c r="G718" s="228" t="s">
        <v>5584</v>
      </c>
      <c r="H718" s="247" t="s">
        <v>5661</v>
      </c>
      <c r="I718" s="248">
        <v>0</v>
      </c>
      <c r="J718" s="248">
        <v>0</v>
      </c>
      <c r="K718" s="245" t="s">
        <v>5662</v>
      </c>
      <c r="L718" s="245" t="s">
        <v>5663</v>
      </c>
      <c r="M718" s="245" t="s">
        <v>5602</v>
      </c>
      <c r="N718" s="245"/>
      <c r="O718" s="245"/>
      <c r="P718" s="245"/>
      <c r="Q718" s="246"/>
      <c r="R718" s="233"/>
      <c r="S718" s="234">
        <f>IF(C718="",NA(),MATCH($B718&amp;$C718,'Smelter Reference List'!$J:$J,0))</f>
        <v>238</v>
      </c>
      <c r="T718" s="235"/>
      <c r="U718" s="235">
        <f t="shared" si="18"/>
        <v>0</v>
      </c>
      <c r="V718" s="235"/>
      <c r="W718" s="235"/>
      <c r="Y718" s="228" t="str">
        <f t="shared" si="19"/>
        <v>GoldSmelter not listed</v>
      </c>
    </row>
    <row r="719" spans="1:25" s="228" customFormat="1" ht="20.25">
      <c r="A719" s="161"/>
      <c r="B719" s="408" t="s">
        <v>2324</v>
      </c>
      <c r="C719" s="297" t="s">
        <v>3604</v>
      </c>
      <c r="D719" s="161" t="s">
        <v>2369</v>
      </c>
      <c r="E719" s="161" t="s">
        <v>2238</v>
      </c>
      <c r="F719" s="161"/>
      <c r="G719" s="228" t="s">
        <v>5584</v>
      </c>
      <c r="H719" s="247" t="s">
        <v>5427</v>
      </c>
      <c r="I719" s="248" t="s">
        <v>5664</v>
      </c>
      <c r="J719" s="248" t="s">
        <v>3454</v>
      </c>
      <c r="K719" s="245" t="s">
        <v>5428</v>
      </c>
      <c r="L719" s="245" t="s">
        <v>5429</v>
      </c>
      <c r="M719" s="245" t="s">
        <v>5602</v>
      </c>
      <c r="N719" s="245" t="s">
        <v>5367</v>
      </c>
      <c r="O719" s="245" t="s">
        <v>5367</v>
      </c>
      <c r="P719" s="245"/>
      <c r="Q719" s="246"/>
      <c r="R719" s="233"/>
      <c r="S719" s="234">
        <f>IF(C719="",NA(),MATCH($B719&amp;$C719,'Smelter Reference List'!$J:$J,0))</f>
        <v>467</v>
      </c>
      <c r="T719" s="235"/>
      <c r="U719" s="235">
        <f t="shared" si="18"/>
        <v>0</v>
      </c>
      <c r="V719" s="235"/>
      <c r="W719" s="235"/>
      <c r="Y719" s="228" t="str">
        <f t="shared" si="19"/>
        <v>TinSmelter not listed</v>
      </c>
    </row>
    <row r="720" spans="1:25" s="228" customFormat="1" ht="20.25">
      <c r="A720" s="161"/>
      <c r="B720" s="408" t="s">
        <v>2324</v>
      </c>
      <c r="C720" s="297" t="s">
        <v>3604</v>
      </c>
      <c r="D720" s="161" t="s">
        <v>1505</v>
      </c>
      <c r="E720" s="161" t="s">
        <v>2238</v>
      </c>
      <c r="F720" s="161"/>
      <c r="G720" s="228" t="s">
        <v>5584</v>
      </c>
      <c r="H720" s="247" t="s">
        <v>5665</v>
      </c>
      <c r="I720" s="248" t="s">
        <v>5666</v>
      </c>
      <c r="J720" s="248" t="s">
        <v>2238</v>
      </c>
      <c r="K720" s="245" t="s">
        <v>5667</v>
      </c>
      <c r="L720" s="245" t="s">
        <v>5668</v>
      </c>
      <c r="M720" s="245" t="s">
        <v>5602</v>
      </c>
      <c r="N720" s="245" t="s">
        <v>5669</v>
      </c>
      <c r="O720" s="245" t="s">
        <v>5367</v>
      </c>
      <c r="P720" s="245"/>
      <c r="Q720" s="246"/>
      <c r="R720" s="233"/>
      <c r="S720" s="234">
        <f>IF(C720="",NA(),MATCH($B720&amp;$C720,'Smelter Reference List'!$J:$J,0))</f>
        <v>467</v>
      </c>
      <c r="T720" s="235"/>
      <c r="U720" s="235">
        <f t="shared" si="18"/>
        <v>0</v>
      </c>
      <c r="V720" s="235"/>
      <c r="W720" s="235"/>
      <c r="Y720" s="228" t="str">
        <f t="shared" si="19"/>
        <v>TinSmelter not listed</v>
      </c>
    </row>
    <row r="721" spans="1:25" s="228" customFormat="1" ht="20.25">
      <c r="A721" s="161"/>
      <c r="B721" s="408" t="s">
        <v>2324</v>
      </c>
      <c r="C721" s="297" t="s">
        <v>3604</v>
      </c>
      <c r="D721" s="161" t="s">
        <v>1506</v>
      </c>
      <c r="E721" s="161" t="s">
        <v>2169</v>
      </c>
      <c r="F721" s="161"/>
      <c r="G721" s="228" t="s">
        <v>5584</v>
      </c>
      <c r="H721" s="247" t="s">
        <v>5670</v>
      </c>
      <c r="I721" s="248" t="s">
        <v>5671</v>
      </c>
      <c r="J721" s="248" t="s">
        <v>2169</v>
      </c>
      <c r="K721" s="245" t="s">
        <v>5672</v>
      </c>
      <c r="L721" s="245" t="s">
        <v>5673</v>
      </c>
      <c r="M721" s="245" t="s">
        <v>5602</v>
      </c>
      <c r="N721" s="245" t="s">
        <v>5674</v>
      </c>
      <c r="O721" s="245" t="s">
        <v>5675</v>
      </c>
      <c r="P721" s="245"/>
      <c r="Q721" s="246"/>
      <c r="R721" s="233"/>
      <c r="S721" s="234">
        <f>IF(C721="",NA(),MATCH($B721&amp;$C721,'Smelter Reference List'!$J:$J,0))</f>
        <v>467</v>
      </c>
      <c r="T721" s="235"/>
      <c r="U721" s="235">
        <f t="shared" si="18"/>
        <v>0</v>
      </c>
      <c r="V721" s="235"/>
      <c r="W721" s="235"/>
      <c r="Y721" s="228" t="str">
        <f t="shared" si="19"/>
        <v>TinSmelter not listed</v>
      </c>
    </row>
    <row r="722" spans="1:25" s="228" customFormat="1" ht="20.25">
      <c r="A722" s="408"/>
      <c r="B722" s="408" t="s">
        <v>2324</v>
      </c>
      <c r="C722" s="297" t="s">
        <v>3604</v>
      </c>
      <c r="D722" s="408" t="s">
        <v>5676</v>
      </c>
      <c r="E722" s="408" t="s">
        <v>2158</v>
      </c>
      <c r="F722" s="161"/>
      <c r="G722" s="228" t="s">
        <v>5584</v>
      </c>
      <c r="H722" s="409" t="s">
        <v>5677</v>
      </c>
      <c r="I722" s="409" t="s">
        <v>5678</v>
      </c>
      <c r="J722" s="409" t="s">
        <v>2158</v>
      </c>
      <c r="K722" s="409" t="s">
        <v>5679</v>
      </c>
      <c r="L722" s="409" t="s">
        <v>5517</v>
      </c>
      <c r="M722" s="409" t="s">
        <v>5602</v>
      </c>
      <c r="N722" s="409" t="s">
        <v>5680</v>
      </c>
      <c r="O722" s="409" t="s">
        <v>5681</v>
      </c>
      <c r="P722" s="409"/>
      <c r="Q722" s="411"/>
      <c r="R722" s="233"/>
      <c r="S722" s="234">
        <f>IF(C722="",NA(),MATCH($B722&amp;$C722,'Smelter Reference List'!$J:$J,0))</f>
        <v>467</v>
      </c>
      <c r="T722" s="235"/>
      <c r="U722" s="235">
        <f t="shared" si="18"/>
        <v>0</v>
      </c>
      <c r="V722" s="235"/>
      <c r="W722" s="235"/>
      <c r="Y722" s="228" t="str">
        <f t="shared" si="19"/>
        <v>TinSmelter not listed</v>
      </c>
    </row>
    <row r="723" spans="1:25" s="228" customFormat="1" ht="20.25">
      <c r="A723" s="161"/>
      <c r="B723" s="408" t="s">
        <v>2324</v>
      </c>
      <c r="C723" s="297" t="s">
        <v>3604</v>
      </c>
      <c r="D723" s="161" t="s">
        <v>1953</v>
      </c>
      <c r="E723" s="161" t="s">
        <v>2170</v>
      </c>
      <c r="F723" s="161"/>
      <c r="G723" s="228" t="s">
        <v>5584</v>
      </c>
      <c r="H723" s="247" t="s">
        <v>5682</v>
      </c>
      <c r="I723" s="248" t="s">
        <v>5683</v>
      </c>
      <c r="J723" s="248" t="s">
        <v>5684</v>
      </c>
      <c r="K723" s="245" t="s">
        <v>5685</v>
      </c>
      <c r="L723" s="245" t="s">
        <v>5686</v>
      </c>
      <c r="M723" s="245" t="s">
        <v>5602</v>
      </c>
      <c r="N723" s="245" t="s">
        <v>5687</v>
      </c>
      <c r="O723" s="245" t="s">
        <v>5688</v>
      </c>
      <c r="P723" s="245"/>
      <c r="Q723" s="246"/>
      <c r="R723" s="233"/>
      <c r="S723" s="234">
        <f>IF(C723="",NA(),MATCH($B723&amp;$C723,'Smelter Reference List'!$J:$J,0))</f>
        <v>467</v>
      </c>
      <c r="T723" s="235"/>
      <c r="U723" s="235">
        <f t="shared" si="18"/>
        <v>0</v>
      </c>
      <c r="V723" s="235"/>
      <c r="W723" s="235"/>
      <c r="Y723" s="228" t="str">
        <f t="shared" si="19"/>
        <v>TinSmelter not listed</v>
      </c>
    </row>
    <row r="724" spans="1:25" s="228" customFormat="1" ht="20.25">
      <c r="A724" s="161"/>
      <c r="B724" s="408" t="s">
        <v>2324</v>
      </c>
      <c r="C724" s="297" t="s">
        <v>3604</v>
      </c>
      <c r="D724" s="161" t="s">
        <v>1954</v>
      </c>
      <c r="E724" s="161" t="s">
        <v>1704</v>
      </c>
      <c r="F724" s="161"/>
      <c r="G724" s="228" t="s">
        <v>5584</v>
      </c>
      <c r="H724" s="247" t="s">
        <v>5689</v>
      </c>
      <c r="I724" s="248" t="s">
        <v>5690</v>
      </c>
      <c r="J724" s="248" t="s">
        <v>1704</v>
      </c>
      <c r="K724" s="245" t="s">
        <v>5691</v>
      </c>
      <c r="L724" s="245" t="s">
        <v>5692</v>
      </c>
      <c r="M724" s="245" t="s">
        <v>5602</v>
      </c>
      <c r="N724" s="245" t="s">
        <v>5693</v>
      </c>
      <c r="O724" s="245" t="s">
        <v>5694</v>
      </c>
      <c r="P724" s="245"/>
      <c r="Q724" s="246"/>
      <c r="R724" s="233"/>
      <c r="S724" s="234">
        <f>IF(C724="",NA(),MATCH($B724&amp;$C724,'Smelter Reference List'!$J:$J,0))</f>
        <v>467</v>
      </c>
      <c r="T724" s="235"/>
      <c r="U724" s="235">
        <f t="shared" si="18"/>
        <v>0</v>
      </c>
      <c r="V724" s="235"/>
      <c r="W724" s="235"/>
      <c r="Y724" s="228" t="str">
        <f t="shared" si="19"/>
        <v>TinSmelter not listed</v>
      </c>
    </row>
    <row r="725" spans="1:25" s="228" customFormat="1" ht="20.25">
      <c r="A725" s="161"/>
      <c r="B725" s="408" t="s">
        <v>2324</v>
      </c>
      <c r="C725" s="297" t="s">
        <v>3604</v>
      </c>
      <c r="D725" s="161" t="s">
        <v>4144</v>
      </c>
      <c r="E725" s="161" t="s">
        <v>2169</v>
      </c>
      <c r="F725" s="161"/>
      <c r="G725" s="228" t="s">
        <v>5584</v>
      </c>
      <c r="H725" s="247" t="s">
        <v>5695</v>
      </c>
      <c r="I725" s="248" t="s">
        <v>5671</v>
      </c>
      <c r="J725" s="248" t="s">
        <v>2169</v>
      </c>
      <c r="K725" s="245" t="s">
        <v>5696</v>
      </c>
      <c r="L725" s="245" t="s">
        <v>5697</v>
      </c>
      <c r="M725" s="245" t="s">
        <v>5602</v>
      </c>
      <c r="N725" s="245" t="s">
        <v>5674</v>
      </c>
      <c r="O725" s="245" t="s">
        <v>5675</v>
      </c>
      <c r="P725" s="245"/>
      <c r="Q725" s="246"/>
      <c r="R725" s="233"/>
      <c r="S725" s="234">
        <f>IF(C725="",NA(),MATCH($B725&amp;$C725,'Smelter Reference List'!$J:$J,0))</f>
        <v>467</v>
      </c>
      <c r="T725" s="235"/>
      <c r="U725" s="235">
        <f t="shared" si="18"/>
        <v>0</v>
      </c>
      <c r="V725" s="235"/>
      <c r="W725" s="235"/>
      <c r="Y725" s="228" t="str">
        <f t="shared" si="19"/>
        <v>TinSmelter not listed</v>
      </c>
    </row>
    <row r="726" spans="1:25" s="228" customFormat="1" ht="20.25">
      <c r="A726" s="161"/>
      <c r="B726" s="408" t="s">
        <v>2324</v>
      </c>
      <c r="C726" s="297" t="s">
        <v>3604</v>
      </c>
      <c r="D726" s="161" t="s">
        <v>5698</v>
      </c>
      <c r="E726" s="161" t="s">
        <v>2238</v>
      </c>
      <c r="F726" s="161"/>
      <c r="G726" s="228" t="s">
        <v>5584</v>
      </c>
      <c r="H726" s="247" t="s">
        <v>5699</v>
      </c>
      <c r="I726" s="248" t="s">
        <v>5666</v>
      </c>
      <c r="J726" s="248" t="s">
        <v>5700</v>
      </c>
      <c r="K726" s="245" t="s">
        <v>5701</v>
      </c>
      <c r="L726" s="245" t="s">
        <v>5702</v>
      </c>
      <c r="M726" s="245" t="s">
        <v>5602</v>
      </c>
      <c r="N726" s="245" t="s">
        <v>5669</v>
      </c>
      <c r="O726" s="245" t="s">
        <v>5367</v>
      </c>
      <c r="P726" s="245"/>
      <c r="Q726" s="246"/>
      <c r="R726" s="233"/>
      <c r="S726" s="234">
        <f>IF(C726="",NA(),MATCH($B726&amp;$C726,'Smelter Reference List'!$J:$J,0))</f>
        <v>467</v>
      </c>
      <c r="T726" s="235"/>
      <c r="U726" s="235">
        <f t="shared" si="18"/>
        <v>0</v>
      </c>
      <c r="V726" s="235"/>
      <c r="W726" s="235"/>
      <c r="Y726" s="228" t="str">
        <f t="shared" si="19"/>
        <v>TinSmelter not listed</v>
      </c>
    </row>
    <row r="727" spans="1:25" s="228" customFormat="1" ht="20.25">
      <c r="A727" s="161"/>
      <c r="B727" s="408" t="s">
        <v>2324</v>
      </c>
      <c r="C727" s="297" t="s">
        <v>3604</v>
      </c>
      <c r="D727" s="161" t="s">
        <v>1194</v>
      </c>
      <c r="E727" s="161" t="s">
        <v>2238</v>
      </c>
      <c r="F727" s="161"/>
      <c r="G727" s="228" t="s">
        <v>5584</v>
      </c>
      <c r="H727" s="247" t="s">
        <v>5703</v>
      </c>
      <c r="I727" s="248" t="s">
        <v>5704</v>
      </c>
      <c r="J727" s="248" t="s">
        <v>5705</v>
      </c>
      <c r="K727" s="245" t="s">
        <v>5706</v>
      </c>
      <c r="L727" s="245" t="s">
        <v>5097</v>
      </c>
      <c r="M727" s="245" t="s">
        <v>5602</v>
      </c>
      <c r="N727" s="245" t="s">
        <v>1194</v>
      </c>
      <c r="O727" s="245" t="s">
        <v>2238</v>
      </c>
      <c r="P727" s="245"/>
      <c r="Q727" s="246"/>
      <c r="R727" s="233"/>
      <c r="S727" s="234">
        <f>IF(C727="",NA(),MATCH($B727&amp;$C727,'Smelter Reference List'!$J:$J,0))</f>
        <v>467</v>
      </c>
      <c r="T727" s="235"/>
      <c r="U727" s="235">
        <f t="shared" si="18"/>
        <v>0</v>
      </c>
      <c r="V727" s="235"/>
      <c r="W727" s="235"/>
      <c r="Y727" s="228" t="str">
        <f t="shared" si="19"/>
        <v>TinSmelter not listed</v>
      </c>
    </row>
    <row r="728" spans="1:25" s="228" customFormat="1" ht="20.25">
      <c r="A728" s="161"/>
      <c r="B728" s="408" t="s">
        <v>2324</v>
      </c>
      <c r="C728" s="297" t="s">
        <v>3604</v>
      </c>
      <c r="D728" s="161" t="s">
        <v>5583</v>
      </c>
      <c r="E728" s="161" t="s">
        <v>2238</v>
      </c>
      <c r="F728" s="161"/>
      <c r="G728" s="228" t="s">
        <v>5584</v>
      </c>
      <c r="H728" s="247" t="s">
        <v>5707</v>
      </c>
      <c r="I728" s="248" t="s">
        <v>5708</v>
      </c>
      <c r="J728" s="248" t="s">
        <v>5709</v>
      </c>
      <c r="K728" s="245" t="s">
        <v>5710</v>
      </c>
      <c r="L728" s="245" t="s">
        <v>5464</v>
      </c>
      <c r="M728" s="245" t="s">
        <v>5602</v>
      </c>
      <c r="N728" s="245"/>
      <c r="O728" s="245"/>
      <c r="P728" s="245"/>
      <c r="Q728" s="246"/>
      <c r="R728" s="233"/>
      <c r="S728" s="234">
        <f>IF(C728="",NA(),MATCH($B728&amp;$C728,'Smelter Reference List'!$J:$J,0))</f>
        <v>467</v>
      </c>
      <c r="T728" s="235"/>
      <c r="U728" s="235">
        <f t="shared" si="18"/>
        <v>0</v>
      </c>
      <c r="V728" s="235"/>
      <c r="W728" s="235"/>
      <c r="Y728" s="228" t="str">
        <f t="shared" si="19"/>
        <v>TinSmelter not listed</v>
      </c>
    </row>
    <row r="729" spans="1:25" s="228" customFormat="1" ht="20.25">
      <c r="A729" s="161"/>
      <c r="B729" s="408" t="s">
        <v>2324</v>
      </c>
      <c r="C729" s="297" t="s">
        <v>3604</v>
      </c>
      <c r="D729" s="161" t="s">
        <v>1951</v>
      </c>
      <c r="E729" s="161" t="s">
        <v>1743</v>
      </c>
      <c r="F729" s="161"/>
      <c r="G729" s="228" t="s">
        <v>5584</v>
      </c>
      <c r="H729" s="247" t="s">
        <v>5711</v>
      </c>
      <c r="I729" s="248" t="s">
        <v>5712</v>
      </c>
      <c r="J729" s="248" t="s">
        <v>5713</v>
      </c>
      <c r="K729" s="245" t="s">
        <v>5714</v>
      </c>
      <c r="L729" s="245" t="s">
        <v>5715</v>
      </c>
      <c r="M729" s="245" t="s">
        <v>5602</v>
      </c>
      <c r="N729" s="245" t="s">
        <v>5367</v>
      </c>
      <c r="O729" s="245" t="s">
        <v>5367</v>
      </c>
      <c r="P729" s="245"/>
      <c r="Q729" s="246"/>
      <c r="R729" s="233"/>
      <c r="S729" s="234">
        <f>IF(C729="",NA(),MATCH($B729&amp;$C729,'Smelter Reference List'!$J:$J,0))</f>
        <v>467</v>
      </c>
      <c r="T729" s="235"/>
      <c r="U729" s="235">
        <f t="shared" si="18"/>
        <v>0</v>
      </c>
      <c r="V729" s="235"/>
      <c r="W729" s="235"/>
      <c r="Y729" s="228" t="str">
        <f t="shared" si="19"/>
        <v>TinSmelter not listed</v>
      </c>
    </row>
    <row r="730" spans="1:25" s="228" customFormat="1" ht="20.25">
      <c r="A730" s="408"/>
      <c r="B730" s="408" t="s">
        <v>2324</v>
      </c>
      <c r="C730" s="297" t="s">
        <v>3604</v>
      </c>
      <c r="D730" s="408" t="s">
        <v>5716</v>
      </c>
      <c r="E730" s="408" t="s">
        <v>2181</v>
      </c>
      <c r="F730" s="161"/>
      <c r="G730" s="228" t="s">
        <v>5584</v>
      </c>
      <c r="H730" s="409" t="s">
        <v>5717</v>
      </c>
      <c r="I730" s="409" t="s">
        <v>5718</v>
      </c>
      <c r="J730" s="409" t="s">
        <v>5719</v>
      </c>
      <c r="K730" s="409" t="s">
        <v>5720</v>
      </c>
      <c r="L730" s="409" t="s">
        <v>5721</v>
      </c>
      <c r="M730" s="409" t="s">
        <v>5602</v>
      </c>
      <c r="N730" s="409" t="s">
        <v>5722</v>
      </c>
      <c r="O730" s="409" t="s">
        <v>5648</v>
      </c>
      <c r="P730" s="409"/>
      <c r="Q730" s="411"/>
      <c r="R730" s="233"/>
      <c r="S730" s="234">
        <f>IF(C730="",NA(),MATCH($B730&amp;$C730,'Smelter Reference List'!$J:$J,0))</f>
        <v>467</v>
      </c>
      <c r="T730" s="235"/>
      <c r="U730" s="235">
        <f t="shared" si="18"/>
        <v>0</v>
      </c>
      <c r="V730" s="235"/>
      <c r="W730" s="235"/>
      <c r="Y730" s="228" t="str">
        <f t="shared" si="19"/>
        <v>TinSmelter not listed</v>
      </c>
    </row>
    <row r="731" spans="1:25" s="228" customFormat="1" ht="20.25">
      <c r="A731" s="161"/>
      <c r="B731" s="408" t="s">
        <v>2324</v>
      </c>
      <c r="C731" s="297" t="s">
        <v>3604</v>
      </c>
      <c r="D731" s="161" t="s">
        <v>69</v>
      </c>
      <c r="E731" s="161" t="s">
        <v>2181</v>
      </c>
      <c r="F731" s="161"/>
      <c r="G731" s="228" t="s">
        <v>5584</v>
      </c>
      <c r="H731" s="247" t="s">
        <v>5723</v>
      </c>
      <c r="I731" s="248" t="s">
        <v>5023</v>
      </c>
      <c r="J731" s="248" t="s">
        <v>3161</v>
      </c>
      <c r="K731" s="245" t="s">
        <v>5724</v>
      </c>
      <c r="L731" s="245" t="s">
        <v>5725</v>
      </c>
      <c r="M731" s="245" t="s">
        <v>5602</v>
      </c>
      <c r="N731" s="245" t="s">
        <v>4749</v>
      </c>
      <c r="O731" s="245" t="s">
        <v>5648</v>
      </c>
      <c r="P731" s="245"/>
      <c r="Q731" s="246"/>
      <c r="R731" s="233"/>
      <c r="S731" s="234">
        <f>IF(C731="",NA(),MATCH($B731&amp;$C731,'Smelter Reference List'!$J:$J,0))</f>
        <v>467</v>
      </c>
      <c r="T731" s="235"/>
      <c r="U731" s="235">
        <f t="shared" si="18"/>
        <v>0</v>
      </c>
      <c r="V731" s="235"/>
      <c r="W731" s="235"/>
      <c r="Y731" s="228" t="str">
        <f t="shared" si="19"/>
        <v>TinSmelter not listed</v>
      </c>
    </row>
    <row r="732" spans="1:25" s="228" customFormat="1" ht="20.25">
      <c r="A732" s="161"/>
      <c r="B732" s="408" t="s">
        <v>2323</v>
      </c>
      <c r="C732" s="297" t="s">
        <v>3604</v>
      </c>
      <c r="D732" s="161" t="s">
        <v>70</v>
      </c>
      <c r="E732" s="161" t="s">
        <v>2195</v>
      </c>
      <c r="F732" s="161"/>
      <c r="G732" s="228" t="s">
        <v>5584</v>
      </c>
      <c r="H732" s="247" t="s">
        <v>3130</v>
      </c>
      <c r="I732" s="412" t="s">
        <v>3131</v>
      </c>
      <c r="J732" s="412" t="s">
        <v>5726</v>
      </c>
      <c r="K732" s="245"/>
      <c r="L732" s="245"/>
      <c r="M732" s="245" t="s">
        <v>5602</v>
      </c>
      <c r="N732" s="245"/>
      <c r="O732" s="245">
        <v>0</v>
      </c>
      <c r="P732" s="245"/>
      <c r="Q732" s="246"/>
      <c r="R732" s="233"/>
      <c r="S732" s="234">
        <f>IF(C732="",NA(),MATCH($B732&amp;$C732,'Smelter Reference List'!$J:$J,0))</f>
        <v>238</v>
      </c>
      <c r="T732" s="235"/>
      <c r="U732" s="235">
        <f t="shared" si="18"/>
        <v>0</v>
      </c>
      <c r="V732" s="235"/>
      <c r="W732" s="235"/>
      <c r="Y732" s="228" t="str">
        <f t="shared" si="19"/>
        <v>GoldSmelter not listed</v>
      </c>
    </row>
    <row r="733" spans="1:25" s="228" customFormat="1" ht="20.25">
      <c r="A733" s="408"/>
      <c r="B733" s="408" t="s">
        <v>2323</v>
      </c>
      <c r="C733" s="297" t="s">
        <v>3604</v>
      </c>
      <c r="D733" s="408" t="s">
        <v>5727</v>
      </c>
      <c r="E733" s="408" t="s">
        <v>2170</v>
      </c>
      <c r="F733" s="161"/>
      <c r="G733" s="228" t="s">
        <v>5584</v>
      </c>
      <c r="H733" s="409" t="s">
        <v>3135</v>
      </c>
      <c r="I733" s="409" t="s">
        <v>3136</v>
      </c>
      <c r="J733" s="409" t="s">
        <v>5394</v>
      </c>
      <c r="K733" s="409"/>
      <c r="L733" s="409"/>
      <c r="M733" s="409" t="s">
        <v>5602</v>
      </c>
      <c r="N733" s="409"/>
      <c r="O733" s="409"/>
      <c r="P733" s="409"/>
      <c r="Q733" s="411"/>
      <c r="R733" s="233"/>
      <c r="S733" s="234">
        <f>IF(C733="",NA(),MATCH($B733&amp;$C733,'Smelter Reference List'!$J:$J,0))</f>
        <v>238</v>
      </c>
      <c r="T733" s="235"/>
      <c r="U733" s="235">
        <f t="shared" si="18"/>
        <v>0</v>
      </c>
      <c r="V733" s="235"/>
      <c r="W733" s="235"/>
      <c r="Y733" s="228" t="str">
        <f t="shared" si="19"/>
        <v>GoldSmelter not listed</v>
      </c>
    </row>
    <row r="734" spans="1:25" s="228" customFormat="1" ht="20.25">
      <c r="A734" s="408"/>
      <c r="B734" s="408" t="s">
        <v>2323</v>
      </c>
      <c r="C734" s="297" t="s">
        <v>3604</v>
      </c>
      <c r="D734" s="408" t="s">
        <v>5728</v>
      </c>
      <c r="E734" s="408" t="s">
        <v>2249</v>
      </c>
      <c r="F734" s="161"/>
      <c r="G734" s="228" t="s">
        <v>5584</v>
      </c>
      <c r="H734" s="409" t="s">
        <v>5729</v>
      </c>
      <c r="I734" s="409" t="s">
        <v>3258</v>
      </c>
      <c r="J734" s="409" t="s">
        <v>3258</v>
      </c>
      <c r="K734" s="409" t="s">
        <v>5730</v>
      </c>
      <c r="L734" s="409" t="s">
        <v>5731</v>
      </c>
      <c r="M734" s="409" t="s">
        <v>5602</v>
      </c>
      <c r="N734" s="409"/>
      <c r="O734" s="409"/>
      <c r="P734" s="409"/>
      <c r="Q734" s="411"/>
      <c r="R734" s="233"/>
      <c r="S734" s="234">
        <f>IF(C734="",NA(),MATCH($B734&amp;$C734,'Smelter Reference List'!$J:$J,0))</f>
        <v>238</v>
      </c>
      <c r="T734" s="235"/>
      <c r="U734" s="235">
        <f t="shared" si="18"/>
        <v>0</v>
      </c>
      <c r="V734" s="235"/>
      <c r="W734" s="235"/>
      <c r="Y734" s="228" t="str">
        <f t="shared" si="19"/>
        <v>GoldSmelter not listed</v>
      </c>
    </row>
    <row r="735" spans="1:25" s="228" customFormat="1" ht="20.25">
      <c r="A735" s="161"/>
      <c r="B735" s="408" t="s">
        <v>2323</v>
      </c>
      <c r="C735" s="297" t="s">
        <v>3604</v>
      </c>
      <c r="D735" s="161" t="s">
        <v>71</v>
      </c>
      <c r="E735" s="161" t="s">
        <v>2246</v>
      </c>
      <c r="F735" s="161"/>
      <c r="G735" s="228" t="s">
        <v>5584</v>
      </c>
      <c r="H735" s="247" t="s">
        <v>3163</v>
      </c>
      <c r="I735" s="248" t="s">
        <v>3164</v>
      </c>
      <c r="J735" s="248" t="s">
        <v>5732</v>
      </c>
      <c r="K735" s="245"/>
      <c r="L735" s="245"/>
      <c r="M735" s="245" t="s">
        <v>5602</v>
      </c>
      <c r="N735" s="245"/>
      <c r="O735" s="245"/>
      <c r="P735" s="245"/>
      <c r="Q735" s="246"/>
      <c r="R735" s="233"/>
      <c r="S735" s="234">
        <f>IF(C735="",NA(),MATCH($B735&amp;$C735,'Smelter Reference List'!$J:$J,0))</f>
        <v>238</v>
      </c>
      <c r="T735" s="235"/>
      <c r="U735" s="235">
        <f t="shared" si="18"/>
        <v>0</v>
      </c>
      <c r="V735" s="235"/>
      <c r="W735" s="235"/>
      <c r="Y735" s="228" t="str">
        <f t="shared" si="19"/>
        <v>GoldSmelter not listed</v>
      </c>
    </row>
    <row r="736" spans="1:25" s="228" customFormat="1" ht="20.25">
      <c r="A736" s="161"/>
      <c r="B736" s="408" t="s">
        <v>2323</v>
      </c>
      <c r="C736" s="297" t="s">
        <v>3604</v>
      </c>
      <c r="D736" s="161" t="s">
        <v>1959</v>
      </c>
      <c r="E736" s="161" t="s">
        <v>2195</v>
      </c>
      <c r="F736" s="161"/>
      <c r="G736" s="228" t="s">
        <v>5584</v>
      </c>
      <c r="H736" s="247" t="s">
        <v>3130</v>
      </c>
      <c r="I736" s="248" t="s">
        <v>3131</v>
      </c>
      <c r="J736" s="248" t="s">
        <v>5726</v>
      </c>
      <c r="K736" s="245"/>
      <c r="L736" s="245"/>
      <c r="M736" s="245" t="s">
        <v>5602</v>
      </c>
      <c r="N736" s="245"/>
      <c r="O736" s="245"/>
      <c r="P736" s="245"/>
      <c r="Q736" s="246"/>
      <c r="R736" s="233"/>
      <c r="S736" s="234">
        <f>IF(C736="",NA(),MATCH($B736&amp;$C736,'Smelter Reference List'!$J:$J,0))</f>
        <v>238</v>
      </c>
      <c r="T736" s="235"/>
      <c r="U736" s="235">
        <f t="shared" si="18"/>
        <v>0</v>
      </c>
      <c r="V736" s="235"/>
      <c r="W736" s="235"/>
      <c r="Y736" s="228" t="str">
        <f t="shared" si="19"/>
        <v>GoldSmelter not listed</v>
      </c>
    </row>
    <row r="737" spans="1:25" s="228" customFormat="1" ht="20.25">
      <c r="A737" s="161"/>
      <c r="B737" s="408" t="s">
        <v>2323</v>
      </c>
      <c r="C737" s="297" t="s">
        <v>3604</v>
      </c>
      <c r="D737" s="161" t="s">
        <v>2452</v>
      </c>
      <c r="E737" s="161" t="s">
        <v>2249</v>
      </c>
      <c r="F737" s="161"/>
      <c r="G737" s="228" t="s">
        <v>5584</v>
      </c>
      <c r="H737" s="247" t="s">
        <v>3199</v>
      </c>
      <c r="I737" s="248" t="s">
        <v>3179</v>
      </c>
      <c r="J737" s="248" t="s">
        <v>5733</v>
      </c>
      <c r="K737" s="245"/>
      <c r="L737" s="245"/>
      <c r="M737" s="245" t="s">
        <v>5602</v>
      </c>
      <c r="N737" s="245"/>
      <c r="O737" s="245"/>
      <c r="P737" s="245"/>
      <c r="Q737" s="246"/>
      <c r="R737" s="233"/>
      <c r="S737" s="234">
        <f>IF(C737="",NA(),MATCH($B737&amp;$C737,'Smelter Reference List'!$J:$J,0))</f>
        <v>238</v>
      </c>
      <c r="T737" s="235"/>
      <c r="U737" s="235">
        <f t="shared" si="18"/>
        <v>0</v>
      </c>
      <c r="V737" s="235"/>
      <c r="W737" s="235"/>
      <c r="Y737" s="228" t="str">
        <f t="shared" si="19"/>
        <v>GoldSmelter not listed</v>
      </c>
    </row>
    <row r="738" spans="1:25" s="228" customFormat="1" ht="20.25">
      <c r="A738" s="161"/>
      <c r="B738" s="408" t="s">
        <v>2323</v>
      </c>
      <c r="C738" s="297" t="s">
        <v>3604</v>
      </c>
      <c r="D738" s="161" t="s">
        <v>2448</v>
      </c>
      <c r="E738" s="161" t="s">
        <v>2195</v>
      </c>
      <c r="F738" s="161"/>
      <c r="G738" s="228" t="s">
        <v>5584</v>
      </c>
      <c r="H738" s="247" t="s">
        <v>3146</v>
      </c>
      <c r="I738" s="248" t="s">
        <v>3146</v>
      </c>
      <c r="J738" s="248" t="s">
        <v>5726</v>
      </c>
      <c r="K738" s="245"/>
      <c r="L738" s="245"/>
      <c r="M738" s="245" t="s">
        <v>5602</v>
      </c>
      <c r="N738" s="245"/>
      <c r="O738" s="245"/>
      <c r="P738" s="245"/>
      <c r="Q738" s="246"/>
      <c r="R738" s="233"/>
      <c r="S738" s="234">
        <f>IF(C738="",NA(),MATCH($B738&amp;$C738,'Smelter Reference List'!$J:$J,0))</f>
        <v>238</v>
      </c>
      <c r="T738" s="235"/>
      <c r="U738" s="235">
        <f t="shared" si="18"/>
        <v>0</v>
      </c>
      <c r="V738" s="235"/>
      <c r="W738" s="235"/>
      <c r="Y738" s="228" t="str">
        <f t="shared" si="19"/>
        <v>GoldSmelter not listed</v>
      </c>
    </row>
    <row r="739" spans="1:25" s="228" customFormat="1" ht="20.25">
      <c r="A739" s="408"/>
      <c r="B739" s="408" t="s">
        <v>2323</v>
      </c>
      <c r="C739" s="297" t="s">
        <v>3604</v>
      </c>
      <c r="D739" s="408" t="s">
        <v>5734</v>
      </c>
      <c r="E739" s="408" t="s">
        <v>2249</v>
      </c>
      <c r="F739" s="161"/>
      <c r="G739" s="228" t="s">
        <v>5584</v>
      </c>
      <c r="H739" s="409" t="s">
        <v>5735</v>
      </c>
      <c r="I739" s="409" t="s">
        <v>3129</v>
      </c>
      <c r="J739" s="409" t="s">
        <v>5733</v>
      </c>
      <c r="K739" s="409"/>
      <c r="L739" s="409"/>
      <c r="M739" s="409" t="s">
        <v>5602</v>
      </c>
      <c r="N739" s="409"/>
      <c r="O739" s="409"/>
      <c r="P739" s="409"/>
      <c r="Q739" s="411"/>
      <c r="R739" s="233"/>
      <c r="S739" s="234">
        <f>IF(C739="",NA(),MATCH($B739&amp;$C739,'Smelter Reference List'!$J:$J,0))</f>
        <v>238</v>
      </c>
      <c r="T739" s="235"/>
      <c r="U739" s="235">
        <f t="shared" si="18"/>
        <v>0</v>
      </c>
      <c r="V739" s="235"/>
      <c r="W739" s="235"/>
      <c r="Y739" s="228" t="str">
        <f t="shared" si="19"/>
        <v>GoldSmelter not listed</v>
      </c>
    </row>
    <row r="740" spans="1:25" s="228" customFormat="1" ht="20.25">
      <c r="A740" s="161"/>
      <c r="B740" s="408" t="s">
        <v>2324</v>
      </c>
      <c r="C740" s="297" t="s">
        <v>3604</v>
      </c>
      <c r="D740" s="161" t="s">
        <v>1174</v>
      </c>
      <c r="E740" s="161" t="s">
        <v>2238</v>
      </c>
      <c r="F740" s="161"/>
      <c r="G740" s="228" t="s">
        <v>5584</v>
      </c>
      <c r="H740" s="247" t="s">
        <v>5427</v>
      </c>
      <c r="I740" s="248" t="s">
        <v>5736</v>
      </c>
      <c r="J740" s="248" t="s">
        <v>3454</v>
      </c>
      <c r="K740" s="245" t="s">
        <v>5428</v>
      </c>
      <c r="L740" s="245" t="s">
        <v>5429</v>
      </c>
      <c r="M740" s="245" t="s">
        <v>5602</v>
      </c>
      <c r="N740" s="245" t="s">
        <v>5367</v>
      </c>
      <c r="O740" s="245" t="s">
        <v>5367</v>
      </c>
      <c r="P740" s="245" t="s">
        <v>925</v>
      </c>
      <c r="Q740" s="246"/>
      <c r="R740" s="233"/>
      <c r="S740" s="234">
        <f>IF(C740="",NA(),MATCH($B740&amp;$C740,'Smelter Reference List'!$J:$J,0))</f>
        <v>467</v>
      </c>
      <c r="T740" s="235"/>
      <c r="U740" s="235">
        <f t="shared" si="18"/>
        <v>0</v>
      </c>
      <c r="V740" s="235"/>
      <c r="W740" s="235"/>
      <c r="Y740" s="228" t="str">
        <f t="shared" si="19"/>
        <v>TinSmelter not listed</v>
      </c>
    </row>
    <row r="741" spans="1:25" s="228" customFormat="1" ht="20.25">
      <c r="A741" s="161"/>
      <c r="B741" s="408" t="s">
        <v>2323</v>
      </c>
      <c r="C741" s="297" t="s">
        <v>3604</v>
      </c>
      <c r="D741" s="161" t="s">
        <v>74</v>
      </c>
      <c r="E741" s="161" t="s">
        <v>2256</v>
      </c>
      <c r="F741" s="161"/>
      <c r="G741" s="228" t="s">
        <v>5584</v>
      </c>
      <c r="H741" s="247" t="s">
        <v>5737</v>
      </c>
      <c r="I741" s="248" t="s">
        <v>3218</v>
      </c>
      <c r="J741" s="248" t="s">
        <v>3226</v>
      </c>
      <c r="K741" s="245" t="s">
        <v>5141</v>
      </c>
      <c r="L741" s="245" t="s">
        <v>5142</v>
      </c>
      <c r="M741" s="245" t="s">
        <v>5602</v>
      </c>
      <c r="N741" s="245" t="s">
        <v>5738</v>
      </c>
      <c r="O741" s="245" t="s">
        <v>5394</v>
      </c>
      <c r="P741" s="245"/>
      <c r="Q741" s="246"/>
      <c r="R741" s="233"/>
      <c r="S741" s="234">
        <f>IF(C741="",NA(),MATCH($B741&amp;$C741,'Smelter Reference List'!$J:$J,0))</f>
        <v>238</v>
      </c>
      <c r="T741" s="235"/>
      <c r="U741" s="235">
        <f t="shared" si="18"/>
        <v>0</v>
      </c>
      <c r="V741" s="235"/>
      <c r="W741" s="235"/>
      <c r="Y741" s="228" t="str">
        <f t="shared" si="19"/>
        <v>GoldSmelter not listed</v>
      </c>
    </row>
    <row r="742" spans="1:25" s="228" customFormat="1" ht="20.25">
      <c r="A742" s="408"/>
      <c r="B742" s="408" t="s">
        <v>2323</v>
      </c>
      <c r="C742" s="297" t="s">
        <v>3604</v>
      </c>
      <c r="D742" s="408" t="s">
        <v>5739</v>
      </c>
      <c r="E742" s="408" t="s">
        <v>2232</v>
      </c>
      <c r="F742" s="161"/>
      <c r="G742" s="228" t="s">
        <v>5584</v>
      </c>
      <c r="H742" s="409" t="s">
        <v>5740</v>
      </c>
      <c r="I742" s="409" t="s">
        <v>3191</v>
      </c>
      <c r="J742" s="409" t="s">
        <v>5648</v>
      </c>
      <c r="K742" s="409" t="s">
        <v>5741</v>
      </c>
      <c r="L742" s="409" t="s">
        <v>5742</v>
      </c>
      <c r="M742" s="409" t="s">
        <v>5602</v>
      </c>
      <c r="N742" s="409" t="s">
        <v>5743</v>
      </c>
      <c r="O742" s="409" t="s">
        <v>5743</v>
      </c>
      <c r="P742" s="409"/>
      <c r="Q742" s="411"/>
      <c r="R742" s="233"/>
      <c r="S742" s="234">
        <f>IF(C742="",NA(),MATCH($B742&amp;$C742,'Smelter Reference List'!$J:$J,0))</f>
        <v>238</v>
      </c>
      <c r="T742" s="235"/>
      <c r="U742" s="235">
        <f t="shared" si="18"/>
        <v>0</v>
      </c>
      <c r="V742" s="235"/>
      <c r="W742" s="235"/>
      <c r="Y742" s="228" t="str">
        <f t="shared" si="19"/>
        <v>GoldSmelter not listed</v>
      </c>
    </row>
    <row r="743" spans="1:25" s="228" customFormat="1" ht="20.25">
      <c r="A743" s="161"/>
      <c r="B743" s="408" t="s">
        <v>2323</v>
      </c>
      <c r="C743" s="297" t="s">
        <v>3604</v>
      </c>
      <c r="D743" s="161" t="s">
        <v>5744</v>
      </c>
      <c r="E743" s="161" t="s">
        <v>2179</v>
      </c>
      <c r="F743" s="161"/>
      <c r="G743" s="228" t="s">
        <v>5584</v>
      </c>
      <c r="H743" s="247" t="s">
        <v>5745</v>
      </c>
      <c r="I743" s="248" t="s">
        <v>3240</v>
      </c>
      <c r="J743" s="248" t="s">
        <v>5603</v>
      </c>
      <c r="K743" s="245" t="s">
        <v>926</v>
      </c>
      <c r="L743" s="245"/>
      <c r="M743" s="245" t="s">
        <v>5602</v>
      </c>
      <c r="N743" s="245" t="s">
        <v>4775</v>
      </c>
      <c r="O743" s="245" t="s">
        <v>4775</v>
      </c>
      <c r="P743" s="245"/>
      <c r="Q743" s="246"/>
      <c r="R743" s="233"/>
      <c r="S743" s="234">
        <f>IF(C743="",NA(),MATCH($B743&amp;$C743,'Smelter Reference List'!$J:$J,0))</f>
        <v>238</v>
      </c>
      <c r="T743" s="235"/>
      <c r="U743" s="235">
        <f t="shared" si="18"/>
        <v>0</v>
      </c>
      <c r="V743" s="235"/>
      <c r="W743" s="235"/>
      <c r="Y743" s="228" t="str">
        <f t="shared" si="19"/>
        <v>GoldSmelter not listed</v>
      </c>
    </row>
    <row r="744" spans="1:25" s="228" customFormat="1" ht="20.25">
      <c r="A744" s="161"/>
      <c r="B744" s="408" t="s">
        <v>2323</v>
      </c>
      <c r="C744" s="297" t="s">
        <v>3604</v>
      </c>
      <c r="D744" s="161" t="s">
        <v>76</v>
      </c>
      <c r="E744" s="161" t="s">
        <v>1759</v>
      </c>
      <c r="F744" s="161"/>
      <c r="G744" s="228" t="s">
        <v>5584</v>
      </c>
      <c r="H744" s="247" t="s">
        <v>5186</v>
      </c>
      <c r="I744" s="248" t="s">
        <v>5746</v>
      </c>
      <c r="J744" s="248" t="s">
        <v>3256</v>
      </c>
      <c r="K744" s="245" t="s">
        <v>5187</v>
      </c>
      <c r="L744" s="245" t="s">
        <v>5188</v>
      </c>
      <c r="M744" s="245" t="s">
        <v>5602</v>
      </c>
      <c r="N744" s="245" t="s">
        <v>5681</v>
      </c>
      <c r="O744" s="245" t="s">
        <v>5681</v>
      </c>
      <c r="P744" s="245"/>
      <c r="Q744" s="246"/>
      <c r="R744" s="233"/>
      <c r="S744" s="234">
        <f>IF(C744="",NA(),MATCH($B744&amp;$C744,'Smelter Reference List'!$J:$J,0))</f>
        <v>238</v>
      </c>
      <c r="T744" s="235"/>
      <c r="U744" s="235">
        <f t="shared" si="18"/>
        <v>0</v>
      </c>
      <c r="V744" s="235"/>
      <c r="W744" s="235"/>
      <c r="Y744" s="228" t="str">
        <f t="shared" si="19"/>
        <v>GoldSmelter not listed</v>
      </c>
    </row>
    <row r="745" spans="1:25" s="228" customFormat="1" ht="20.25">
      <c r="A745" s="408"/>
      <c r="B745" s="408" t="s">
        <v>2323</v>
      </c>
      <c r="C745" s="297" t="s">
        <v>3604</v>
      </c>
      <c r="D745" s="408" t="s">
        <v>5747</v>
      </c>
      <c r="E745" s="408" t="s">
        <v>1772</v>
      </c>
      <c r="F745" s="161"/>
      <c r="G745" s="228" t="s">
        <v>5584</v>
      </c>
      <c r="H745" s="409" t="s">
        <v>5748</v>
      </c>
      <c r="I745" s="409" t="s">
        <v>3270</v>
      </c>
      <c r="J745" s="409" t="s">
        <v>5749</v>
      </c>
      <c r="K745" s="409"/>
      <c r="L745" s="409"/>
      <c r="M745" s="409" t="s">
        <v>5602</v>
      </c>
      <c r="N745" s="409" t="s">
        <v>5747</v>
      </c>
      <c r="O745" s="409" t="s">
        <v>1772</v>
      </c>
      <c r="P745" s="409"/>
      <c r="Q745" s="411"/>
      <c r="R745" s="233"/>
      <c r="S745" s="234">
        <f>IF(C745="",NA(),MATCH($B745&amp;$C745,'Smelter Reference List'!$J:$J,0))</f>
        <v>238</v>
      </c>
      <c r="T745" s="235"/>
      <c r="U745" s="235">
        <f t="shared" si="18"/>
        <v>0</v>
      </c>
      <c r="V745" s="235"/>
      <c r="W745" s="235"/>
      <c r="Y745" s="228" t="str">
        <f t="shared" si="19"/>
        <v>GoldSmelter not listed</v>
      </c>
    </row>
    <row r="746" spans="1:25" s="228" customFormat="1" ht="20.25">
      <c r="A746" s="408"/>
      <c r="B746" s="408" t="s">
        <v>2323</v>
      </c>
      <c r="C746" s="297" t="s">
        <v>3604</v>
      </c>
      <c r="D746" s="408" t="s">
        <v>5750</v>
      </c>
      <c r="E746" s="408" t="s">
        <v>2181</v>
      </c>
      <c r="F746" s="161"/>
      <c r="G746" s="228" t="s">
        <v>5584</v>
      </c>
      <c r="H746" s="409" t="s">
        <v>5751</v>
      </c>
      <c r="I746" s="409" t="s">
        <v>3286</v>
      </c>
      <c r="J746" s="409" t="s">
        <v>3264</v>
      </c>
      <c r="K746" s="409" t="s">
        <v>5233</v>
      </c>
      <c r="L746" s="409" t="s">
        <v>5234</v>
      </c>
      <c r="M746" s="409" t="s">
        <v>5602</v>
      </c>
      <c r="N746" s="409" t="s">
        <v>5752</v>
      </c>
      <c r="O746" s="409" t="s">
        <v>5648</v>
      </c>
      <c r="P746" s="409"/>
      <c r="Q746" s="411"/>
      <c r="R746" s="233"/>
      <c r="S746" s="234">
        <f>IF(C746="",NA(),MATCH($B746&amp;$C746,'Smelter Reference List'!$J:$J,0))</f>
        <v>238</v>
      </c>
      <c r="T746" s="235"/>
      <c r="U746" s="235">
        <f t="shared" si="18"/>
        <v>0</v>
      </c>
      <c r="V746" s="235"/>
      <c r="W746" s="235"/>
      <c r="Y746" s="228" t="str">
        <f t="shared" si="19"/>
        <v>GoldSmelter not listed</v>
      </c>
    </row>
    <row r="747" spans="1:25" s="228" customFormat="1" ht="20.25">
      <c r="A747" s="161"/>
      <c r="B747" s="408" t="s">
        <v>2323</v>
      </c>
      <c r="C747" s="297" t="s">
        <v>3604</v>
      </c>
      <c r="D747" s="161" t="s">
        <v>1797</v>
      </c>
      <c r="E747" s="161" t="s">
        <v>1753</v>
      </c>
      <c r="F747" s="161"/>
      <c r="G747" s="228" t="s">
        <v>5584</v>
      </c>
      <c r="H747" s="247" t="s">
        <v>5753</v>
      </c>
      <c r="I747" s="248" t="s">
        <v>5754</v>
      </c>
      <c r="J747" s="248" t="s">
        <v>5754</v>
      </c>
      <c r="K747" s="245" t="s">
        <v>5755</v>
      </c>
      <c r="L747" s="245" t="s">
        <v>5756</v>
      </c>
      <c r="M747" s="245" t="s">
        <v>5602</v>
      </c>
      <c r="N747" s="245" t="s">
        <v>5757</v>
      </c>
      <c r="O747" s="245" t="s">
        <v>5758</v>
      </c>
      <c r="P747" s="245"/>
      <c r="Q747" s="246"/>
      <c r="R747" s="233"/>
      <c r="S747" s="234">
        <f>IF(C747="",NA(),MATCH($B747&amp;$C747,'Smelter Reference List'!$J:$J,0))</f>
        <v>238</v>
      </c>
      <c r="T747" s="235"/>
      <c r="U747" s="235">
        <f t="shared" si="18"/>
        <v>0</v>
      </c>
      <c r="V747" s="235"/>
      <c r="W747" s="235"/>
      <c r="Y747" s="228" t="str">
        <f t="shared" si="19"/>
        <v>GoldSmelter not listed</v>
      </c>
    </row>
    <row r="748" spans="1:25" s="228" customFormat="1" ht="20.25">
      <c r="A748" s="161"/>
      <c r="B748" s="408" t="s">
        <v>2323</v>
      </c>
      <c r="C748" s="297" t="s">
        <v>3604</v>
      </c>
      <c r="D748" s="161" t="s">
        <v>5759</v>
      </c>
      <c r="E748" s="161" t="s">
        <v>2158</v>
      </c>
      <c r="F748" s="161"/>
      <c r="G748" s="228" t="s">
        <v>5584</v>
      </c>
      <c r="H748" s="247" t="s">
        <v>5760</v>
      </c>
      <c r="I748" s="248" t="s">
        <v>3314</v>
      </c>
      <c r="J748" s="248" t="s">
        <v>5761</v>
      </c>
      <c r="K748" s="245" t="s">
        <v>5762</v>
      </c>
      <c r="L748" s="245"/>
      <c r="M748" s="245" t="s">
        <v>5602</v>
      </c>
      <c r="N748" s="245">
        <v>0</v>
      </c>
      <c r="O748" s="245">
        <v>0</v>
      </c>
      <c r="P748" s="245"/>
      <c r="Q748" s="246"/>
      <c r="R748" s="233"/>
      <c r="S748" s="234">
        <f>IF(C748="",NA(),MATCH($B748&amp;$C748,'Smelter Reference List'!$J:$J,0))</f>
        <v>238</v>
      </c>
      <c r="T748" s="235"/>
      <c r="U748" s="235">
        <f t="shared" si="18"/>
        <v>0</v>
      </c>
      <c r="V748" s="235"/>
      <c r="W748" s="235"/>
      <c r="Y748" s="228" t="str">
        <f t="shared" si="19"/>
        <v>GoldSmelter not listed</v>
      </c>
    </row>
    <row r="749" spans="1:25" s="228" customFormat="1" ht="20.25">
      <c r="A749" s="161"/>
      <c r="B749" s="408" t="s">
        <v>2323</v>
      </c>
      <c r="C749" s="297" t="s">
        <v>3604</v>
      </c>
      <c r="D749" s="161" t="s">
        <v>1470</v>
      </c>
      <c r="E749" s="161" t="s">
        <v>1759</v>
      </c>
      <c r="F749" s="161"/>
      <c r="G749" s="228" t="s">
        <v>5584</v>
      </c>
      <c r="H749" s="247" t="s">
        <v>5763</v>
      </c>
      <c r="I749" s="248" t="s">
        <v>5764</v>
      </c>
      <c r="J749" s="248" t="s">
        <v>3230</v>
      </c>
      <c r="K749" s="245" t="s">
        <v>5242</v>
      </c>
      <c r="L749" s="245" t="s">
        <v>5243</v>
      </c>
      <c r="M749" s="245" t="s">
        <v>5602</v>
      </c>
      <c r="N749" s="245" t="s">
        <v>5765</v>
      </c>
      <c r="O749" s="245" t="s">
        <v>5681</v>
      </c>
      <c r="P749" s="245"/>
      <c r="Q749" s="246"/>
      <c r="R749" s="233"/>
      <c r="S749" s="234">
        <f>IF(C749="",NA(),MATCH($B749&amp;$C749,'Smelter Reference List'!$J:$J,0))</f>
        <v>238</v>
      </c>
      <c r="T749" s="235"/>
      <c r="U749" s="235">
        <f t="shared" si="18"/>
        <v>0</v>
      </c>
      <c r="V749" s="235"/>
      <c r="W749" s="235"/>
      <c r="Y749" s="228" t="str">
        <f t="shared" si="19"/>
        <v>GoldSmelter not listed</v>
      </c>
    </row>
    <row r="750" spans="1:25" s="228" customFormat="1" ht="20.25">
      <c r="A750" s="161"/>
      <c r="B750" s="408" t="s">
        <v>2323</v>
      </c>
      <c r="C750" s="297" t="s">
        <v>3604</v>
      </c>
      <c r="D750" s="161" t="s">
        <v>5766</v>
      </c>
      <c r="E750" s="161" t="s">
        <v>2179</v>
      </c>
      <c r="F750" s="161"/>
      <c r="G750" s="228" t="s">
        <v>5584</v>
      </c>
      <c r="H750" s="247" t="s">
        <v>3317</v>
      </c>
      <c r="I750" s="248" t="s">
        <v>3138</v>
      </c>
      <c r="J750" s="248" t="s">
        <v>5603</v>
      </c>
      <c r="K750" s="245">
        <v>0</v>
      </c>
      <c r="L750" s="245"/>
      <c r="M750" s="245" t="s">
        <v>5602</v>
      </c>
      <c r="N750" s="245" t="s">
        <v>5767</v>
      </c>
      <c r="O750" s="245">
        <v>0</v>
      </c>
      <c r="P750" s="245"/>
      <c r="Q750" s="246"/>
      <c r="R750" s="233"/>
      <c r="S750" s="234">
        <f>IF(C750="",NA(),MATCH($B750&amp;$C750,'Smelter Reference List'!$J:$J,0))</f>
        <v>238</v>
      </c>
      <c r="T750" s="235"/>
      <c r="U750" s="235">
        <f t="shared" si="18"/>
        <v>0</v>
      </c>
      <c r="V750" s="235"/>
      <c r="W750" s="235"/>
      <c r="Y750" s="228" t="str">
        <f t="shared" si="19"/>
        <v>GoldSmelter not listed</v>
      </c>
    </row>
    <row r="751" spans="1:25" s="228" customFormat="1" ht="20.25">
      <c r="A751" s="161"/>
      <c r="B751" s="408" t="s">
        <v>2323</v>
      </c>
      <c r="C751" s="297" t="s">
        <v>3604</v>
      </c>
      <c r="D751" s="161" t="s">
        <v>2322</v>
      </c>
      <c r="E751" s="161" t="s">
        <v>2154</v>
      </c>
      <c r="F751" s="161"/>
      <c r="G751" s="228" t="s">
        <v>5584</v>
      </c>
      <c r="H751" s="247" t="s">
        <v>5768</v>
      </c>
      <c r="I751" s="248" t="s">
        <v>5769</v>
      </c>
      <c r="J751" s="248" t="s">
        <v>5770</v>
      </c>
      <c r="K751" s="245" t="s">
        <v>5771</v>
      </c>
      <c r="L751" s="245" t="s">
        <v>5772</v>
      </c>
      <c r="M751" s="245" t="s">
        <v>5602</v>
      </c>
      <c r="N751" s="245" t="s">
        <v>5773</v>
      </c>
      <c r="O751" s="245">
        <v>0</v>
      </c>
      <c r="P751" s="245"/>
      <c r="Q751" s="246"/>
      <c r="R751" s="233"/>
      <c r="S751" s="234">
        <f>IF(C751="",NA(),MATCH($B751&amp;$C751,'Smelter Reference List'!$J:$J,0))</f>
        <v>238</v>
      </c>
      <c r="T751" s="235"/>
      <c r="U751" s="235">
        <f t="shared" si="18"/>
        <v>0</v>
      </c>
      <c r="V751" s="235"/>
      <c r="W751" s="235"/>
      <c r="Y751" s="228" t="str">
        <f t="shared" si="19"/>
        <v>GoldSmelter not listed</v>
      </c>
    </row>
    <row r="752" spans="1:25" s="228" customFormat="1" ht="20.25">
      <c r="A752" s="161"/>
      <c r="B752" s="408" t="s">
        <v>2324</v>
      </c>
      <c r="C752" s="297" t="s">
        <v>3604</v>
      </c>
      <c r="D752" s="161" t="s">
        <v>67</v>
      </c>
      <c r="E752" s="161" t="s">
        <v>1759</v>
      </c>
      <c r="F752" s="161"/>
      <c r="G752" s="228" t="s">
        <v>5584</v>
      </c>
      <c r="H752" s="247"/>
      <c r="I752" s="248" t="s">
        <v>3444</v>
      </c>
      <c r="J752" s="248" t="s">
        <v>3401</v>
      </c>
      <c r="K752" s="245"/>
      <c r="L752" s="245"/>
      <c r="M752" s="245" t="s">
        <v>5602</v>
      </c>
      <c r="N752" s="245"/>
      <c r="O752" s="245"/>
      <c r="P752" s="245"/>
      <c r="Q752" s="246"/>
      <c r="R752" s="233"/>
      <c r="S752" s="234">
        <f>IF(C752="",NA(),MATCH($B752&amp;$C752,'Smelter Reference List'!$J:$J,0))</f>
        <v>467</v>
      </c>
      <c r="T752" s="235"/>
      <c r="U752" s="235">
        <f t="shared" si="18"/>
        <v>0</v>
      </c>
      <c r="V752" s="235"/>
      <c r="W752" s="235"/>
      <c r="Y752" s="228" t="str">
        <f t="shared" si="19"/>
        <v>TinSmelter not listed</v>
      </c>
    </row>
    <row r="753" spans="1:25" s="228" customFormat="1" ht="20.25">
      <c r="A753" s="161"/>
      <c r="B753" s="408" t="s">
        <v>2324</v>
      </c>
      <c r="C753" s="297" t="s">
        <v>3604</v>
      </c>
      <c r="D753" s="161" t="s">
        <v>1462</v>
      </c>
      <c r="E753" s="161" t="s">
        <v>1708</v>
      </c>
      <c r="F753" s="161"/>
      <c r="G753" s="228" t="s">
        <v>5584</v>
      </c>
      <c r="H753" s="247" t="s">
        <v>3466</v>
      </c>
      <c r="I753" s="248" t="s">
        <v>5774</v>
      </c>
      <c r="J753" s="248" t="s">
        <v>5775</v>
      </c>
      <c r="K753" s="245"/>
      <c r="L753" s="245"/>
      <c r="M753" s="245" t="s">
        <v>5602</v>
      </c>
      <c r="N753" s="245"/>
      <c r="O753" s="245"/>
      <c r="P753" s="245"/>
      <c r="Q753" s="246"/>
      <c r="R753" s="233"/>
      <c r="S753" s="234">
        <f>IF(C753="",NA(),MATCH($B753&amp;$C753,'Smelter Reference List'!$J:$J,0))</f>
        <v>467</v>
      </c>
      <c r="T753" s="235"/>
      <c r="U753" s="235">
        <f t="shared" si="18"/>
        <v>0</v>
      </c>
      <c r="V753" s="235"/>
      <c r="W753" s="235"/>
      <c r="Y753" s="228" t="str">
        <f t="shared" si="19"/>
        <v>TinSmelter not listed</v>
      </c>
    </row>
    <row r="754" spans="1:25" s="228" customFormat="1" ht="20.25">
      <c r="A754" s="408"/>
      <c r="B754" s="408" t="s">
        <v>2324</v>
      </c>
      <c r="C754" s="297" t="s">
        <v>3604</v>
      </c>
      <c r="D754" s="408" t="s">
        <v>5776</v>
      </c>
      <c r="E754" s="408" t="s">
        <v>2181</v>
      </c>
      <c r="F754" s="161"/>
      <c r="G754" s="228" t="s">
        <v>5584</v>
      </c>
      <c r="H754" s="409" t="s">
        <v>5717</v>
      </c>
      <c r="I754" s="409" t="s">
        <v>3160</v>
      </c>
      <c r="J754" s="409" t="s">
        <v>5719</v>
      </c>
      <c r="K754" s="409" t="s">
        <v>5777</v>
      </c>
      <c r="L754" s="409"/>
      <c r="M754" s="409" t="s">
        <v>5602</v>
      </c>
      <c r="N754" s="409" t="s">
        <v>5778</v>
      </c>
      <c r="O754" s="409" t="s">
        <v>5648</v>
      </c>
      <c r="P754" s="409"/>
      <c r="Q754" s="411"/>
      <c r="R754" s="233"/>
      <c r="S754" s="234">
        <f>IF(C754="",NA(),MATCH($B754&amp;$C754,'Smelter Reference List'!$J:$J,0))</f>
        <v>467</v>
      </c>
      <c r="T754" s="235"/>
      <c r="U754" s="235">
        <f t="shared" si="18"/>
        <v>0</v>
      </c>
      <c r="V754" s="235"/>
      <c r="W754" s="235"/>
      <c r="Y754" s="228" t="str">
        <f t="shared" si="19"/>
        <v>TinSmelter not listed</v>
      </c>
    </row>
    <row r="755" spans="1:25" s="228" customFormat="1" ht="20.25">
      <c r="A755" s="161"/>
      <c r="B755" s="408" t="s">
        <v>2324</v>
      </c>
      <c r="C755" s="297" t="s">
        <v>3604</v>
      </c>
      <c r="D755" s="161" t="s">
        <v>5779</v>
      </c>
      <c r="E755" s="161" t="s">
        <v>2238</v>
      </c>
      <c r="F755" s="161"/>
      <c r="G755" s="228" t="s">
        <v>5584</v>
      </c>
      <c r="H755" s="247" t="s">
        <v>5780</v>
      </c>
      <c r="I755" s="248" t="s">
        <v>5781</v>
      </c>
      <c r="J755" s="248" t="s">
        <v>2238</v>
      </c>
      <c r="K755" s="245" t="s">
        <v>5782</v>
      </c>
      <c r="L755" s="245" t="s">
        <v>5783</v>
      </c>
      <c r="M755" s="245" t="s">
        <v>5602</v>
      </c>
      <c r="N755" s="245" t="s">
        <v>5784</v>
      </c>
      <c r="O755" s="245" t="s">
        <v>5367</v>
      </c>
      <c r="P755" s="245"/>
      <c r="Q755" s="246"/>
      <c r="R755" s="233"/>
      <c r="S755" s="234">
        <f>IF(C755="",NA(),MATCH($B755&amp;$C755,'Smelter Reference List'!$J:$J,0))</f>
        <v>467</v>
      </c>
      <c r="T755" s="235"/>
      <c r="U755" s="235">
        <f t="shared" si="18"/>
        <v>0</v>
      </c>
      <c r="V755" s="235"/>
      <c r="W755" s="235"/>
      <c r="Y755" s="228" t="str">
        <f t="shared" si="19"/>
        <v>TinSmelter not listed</v>
      </c>
    </row>
    <row r="756" spans="1:25" s="228" customFormat="1" ht="20.25">
      <c r="A756" s="161"/>
      <c r="B756" s="408" t="s">
        <v>2324</v>
      </c>
      <c r="C756" s="297" t="s">
        <v>3604</v>
      </c>
      <c r="D756" s="161" t="s">
        <v>1952</v>
      </c>
      <c r="E756" s="161" t="s">
        <v>2238</v>
      </c>
      <c r="F756" s="161"/>
      <c r="G756" s="228" t="s">
        <v>5584</v>
      </c>
      <c r="H756" s="247" t="s">
        <v>5785</v>
      </c>
      <c r="I756" s="248" t="s">
        <v>5786</v>
      </c>
      <c r="J756" s="248" t="s">
        <v>5787</v>
      </c>
      <c r="K756" s="245" t="s">
        <v>5777</v>
      </c>
      <c r="L756" s="245" t="s">
        <v>5788</v>
      </c>
      <c r="M756" s="245" t="s">
        <v>5602</v>
      </c>
      <c r="N756" s="245" t="s">
        <v>5789</v>
      </c>
      <c r="O756" s="245" t="s">
        <v>5790</v>
      </c>
      <c r="P756" s="245"/>
      <c r="Q756" s="246"/>
      <c r="R756" s="233"/>
      <c r="S756" s="234">
        <f>IF(C756="",NA(),MATCH($B756&amp;$C756,'Smelter Reference List'!$J:$J,0))</f>
        <v>467</v>
      </c>
      <c r="T756" s="235"/>
      <c r="U756" s="235">
        <f t="shared" si="18"/>
        <v>0</v>
      </c>
      <c r="V756" s="235"/>
      <c r="W756" s="235"/>
      <c r="Y756" s="228" t="str">
        <f t="shared" si="19"/>
        <v>TinSmelter not listed</v>
      </c>
    </row>
    <row r="757" spans="1:25" s="228" customFormat="1" ht="20.25">
      <c r="A757" s="161"/>
      <c r="B757" s="408" t="s">
        <v>2324</v>
      </c>
      <c r="C757" s="297" t="s">
        <v>3604</v>
      </c>
      <c r="D757" s="161" t="s">
        <v>68</v>
      </c>
      <c r="E757" s="161" t="s">
        <v>2170</v>
      </c>
      <c r="F757" s="161"/>
      <c r="G757" s="228" t="s">
        <v>5584</v>
      </c>
      <c r="H757" s="247" t="s">
        <v>5791</v>
      </c>
      <c r="I757" s="248" t="s">
        <v>5792</v>
      </c>
      <c r="J757" s="248" t="s">
        <v>5793</v>
      </c>
      <c r="K757" s="245" t="s">
        <v>5794</v>
      </c>
      <c r="L757" s="245"/>
      <c r="M757" s="245" t="s">
        <v>5602</v>
      </c>
      <c r="N757" s="245" t="s">
        <v>5795</v>
      </c>
      <c r="O757" s="245" t="s">
        <v>5394</v>
      </c>
      <c r="P757" s="245"/>
      <c r="Q757" s="246"/>
      <c r="R757" s="233"/>
      <c r="S757" s="234">
        <f>IF(C757="",NA(),MATCH($B757&amp;$C757,'Smelter Reference List'!$J:$J,0))</f>
        <v>467</v>
      </c>
      <c r="T757" s="235"/>
      <c r="U757" s="235">
        <f t="shared" si="18"/>
        <v>0</v>
      </c>
      <c r="V757" s="235"/>
      <c r="W757" s="235"/>
      <c r="Y757" s="228" t="str">
        <f t="shared" si="19"/>
        <v>TinSmelter not listed</v>
      </c>
    </row>
    <row r="758" spans="1:25" s="228" customFormat="1" ht="20.25">
      <c r="A758" s="161"/>
      <c r="B758" s="408" t="s">
        <v>2324</v>
      </c>
      <c r="C758" s="297" t="s">
        <v>3604</v>
      </c>
      <c r="D758" s="161" t="s">
        <v>972</v>
      </c>
      <c r="E758" s="161" t="s">
        <v>2238</v>
      </c>
      <c r="F758" s="161"/>
      <c r="G758" s="228" t="s">
        <v>5584</v>
      </c>
      <c r="H758" s="247" t="s">
        <v>5796</v>
      </c>
      <c r="I758" s="248" t="s">
        <v>5797</v>
      </c>
      <c r="J758" s="248" t="s">
        <v>5798</v>
      </c>
      <c r="K758" s="245" t="s">
        <v>5799</v>
      </c>
      <c r="L758" s="245"/>
      <c r="M758" s="245" t="s">
        <v>5602</v>
      </c>
      <c r="N758" s="245" t="s">
        <v>5669</v>
      </c>
      <c r="O758" s="245" t="s">
        <v>5367</v>
      </c>
      <c r="P758" s="245"/>
      <c r="Q758" s="246"/>
      <c r="R758" s="233"/>
      <c r="S758" s="234">
        <f>IF(C758="",NA(),MATCH($B758&amp;$C758,'Smelter Reference List'!$J:$J,0))</f>
        <v>467</v>
      </c>
      <c r="T758" s="235"/>
      <c r="U758" s="235">
        <f t="shared" si="18"/>
        <v>0</v>
      </c>
      <c r="V758" s="235"/>
      <c r="W758" s="235"/>
      <c r="Y758" s="228" t="str">
        <f t="shared" si="19"/>
        <v>TinSmelter not listed</v>
      </c>
    </row>
    <row r="759" spans="1:25" s="228" customFormat="1" ht="20.25">
      <c r="A759" s="161"/>
      <c r="B759" s="408" t="s">
        <v>2324</v>
      </c>
      <c r="C759" s="297" t="s">
        <v>3604</v>
      </c>
      <c r="D759" s="161" t="s">
        <v>1195</v>
      </c>
      <c r="E759" s="161" t="s">
        <v>2238</v>
      </c>
      <c r="F759" s="161"/>
      <c r="G759" s="228" t="s">
        <v>5584</v>
      </c>
      <c r="H759" s="247" t="s">
        <v>5800</v>
      </c>
      <c r="I759" s="248" t="s">
        <v>5801</v>
      </c>
      <c r="J759" s="248" t="s">
        <v>2238</v>
      </c>
      <c r="K759" s="245" t="s">
        <v>5433</v>
      </c>
      <c r="L759" s="245" t="s">
        <v>5434</v>
      </c>
      <c r="M759" s="245" t="s">
        <v>5602</v>
      </c>
      <c r="N759" s="245" t="s">
        <v>5802</v>
      </c>
      <c r="O759" s="245" t="s">
        <v>5367</v>
      </c>
      <c r="P759" s="245"/>
      <c r="Q759" s="246"/>
      <c r="R759" s="233"/>
      <c r="S759" s="234">
        <f>IF(C759="",NA(),MATCH($B759&amp;$C759,'Smelter Reference List'!$J:$J,0))</f>
        <v>467</v>
      </c>
      <c r="T759" s="235"/>
      <c r="U759" s="235">
        <f t="shared" si="18"/>
        <v>0</v>
      </c>
      <c r="V759" s="235"/>
      <c r="W759" s="235"/>
      <c r="Y759" s="228" t="str">
        <f t="shared" si="19"/>
        <v>TinSmelter not listed</v>
      </c>
    </row>
    <row r="760" spans="1:25" s="228" customFormat="1" ht="20.25">
      <c r="A760" s="161"/>
      <c r="B760" s="408" t="s">
        <v>2326</v>
      </c>
      <c r="C760" s="297" t="s">
        <v>3604</v>
      </c>
      <c r="D760" s="161" t="s">
        <v>721</v>
      </c>
      <c r="E760" s="161" t="s">
        <v>2181</v>
      </c>
      <c r="F760" s="161"/>
      <c r="G760" s="228" t="s">
        <v>5584</v>
      </c>
      <c r="H760" s="247" t="s">
        <v>5803</v>
      </c>
      <c r="I760" s="248" t="s">
        <v>5804</v>
      </c>
      <c r="J760" s="248" t="s">
        <v>5648</v>
      </c>
      <c r="K760" s="245" t="s">
        <v>5805</v>
      </c>
      <c r="L760" s="245" t="s">
        <v>5806</v>
      </c>
      <c r="M760" s="245" t="s">
        <v>5602</v>
      </c>
      <c r="N760" s="245" t="s">
        <v>5807</v>
      </c>
      <c r="O760" s="245" t="s">
        <v>5808</v>
      </c>
      <c r="P760" s="245"/>
      <c r="Q760" s="246"/>
      <c r="R760" s="233"/>
      <c r="S760" s="234">
        <f>IF(C760="",NA(),MATCH($B760&amp;$C760,'Smelter Reference List'!$J:$J,0))</f>
        <v>536</v>
      </c>
      <c r="T760" s="235"/>
      <c r="U760" s="235">
        <f t="shared" si="18"/>
        <v>0</v>
      </c>
      <c r="V760" s="235"/>
      <c r="W760" s="235"/>
      <c r="Y760" s="228" t="str">
        <f t="shared" si="19"/>
        <v>TungstenSmelter not listed</v>
      </c>
    </row>
    <row r="761" spans="1:25" s="228" customFormat="1" ht="20.25">
      <c r="A761" s="161"/>
      <c r="B761" s="408" t="s">
        <v>2326</v>
      </c>
      <c r="C761" s="297" t="s">
        <v>3604</v>
      </c>
      <c r="D761" s="161" t="s">
        <v>1</v>
      </c>
      <c r="E761" s="161" t="s">
        <v>1759</v>
      </c>
      <c r="F761" s="161"/>
      <c r="G761" s="228" t="s">
        <v>5584</v>
      </c>
      <c r="H761" s="247" t="s">
        <v>5809</v>
      </c>
      <c r="I761" s="248" t="s">
        <v>3560</v>
      </c>
      <c r="J761" s="248" t="s">
        <v>5810</v>
      </c>
      <c r="K761" s="245" t="s">
        <v>5811</v>
      </c>
      <c r="L761" s="245" t="s">
        <v>5812</v>
      </c>
      <c r="M761" s="245" t="s">
        <v>5602</v>
      </c>
      <c r="N761" s="245" t="s">
        <v>3560</v>
      </c>
      <c r="O761" s="245" t="s">
        <v>5813</v>
      </c>
      <c r="P761" s="245"/>
      <c r="Q761" s="246"/>
      <c r="R761" s="233"/>
      <c r="S761" s="234">
        <f>IF(C761="",NA(),MATCH($B761&amp;$C761,'Smelter Reference List'!$J:$J,0))</f>
        <v>536</v>
      </c>
      <c r="T761" s="235"/>
      <c r="U761" s="235">
        <f t="shared" si="18"/>
        <v>0</v>
      </c>
      <c r="V761" s="235"/>
      <c r="W761" s="235"/>
      <c r="Y761" s="228" t="str">
        <f t="shared" si="19"/>
        <v>TungstenSmelter not listed</v>
      </c>
    </row>
    <row r="762" spans="1:25" s="228" customFormat="1" ht="20.25">
      <c r="A762" s="408"/>
      <c r="B762" s="408" t="s">
        <v>2326</v>
      </c>
      <c r="C762" s="297" t="s">
        <v>3604</v>
      </c>
      <c r="D762" s="408" t="s">
        <v>5814</v>
      </c>
      <c r="E762" s="408" t="s">
        <v>1717</v>
      </c>
      <c r="F762" s="161"/>
      <c r="G762" s="228" t="s">
        <v>5584</v>
      </c>
      <c r="H762" s="409" t="s">
        <v>5815</v>
      </c>
      <c r="I762" s="409"/>
      <c r="J762" s="409"/>
      <c r="K762" s="409"/>
      <c r="L762" s="409"/>
      <c r="M762" s="409" t="s">
        <v>5602</v>
      </c>
      <c r="N762" s="409"/>
      <c r="O762" s="409"/>
      <c r="P762" s="409"/>
      <c r="Q762" s="411"/>
      <c r="R762" s="233"/>
      <c r="S762" s="234">
        <f>IF(C762="",NA(),MATCH($B762&amp;$C762,'Smelter Reference List'!$J:$J,0))</f>
        <v>536</v>
      </c>
      <c r="T762" s="235"/>
      <c r="U762" s="235">
        <f t="shared" si="18"/>
        <v>0</v>
      </c>
      <c r="V762" s="235"/>
      <c r="W762" s="235"/>
      <c r="Y762" s="228" t="str">
        <f t="shared" si="19"/>
        <v>TungstenSmelter not listed</v>
      </c>
    </row>
    <row r="763" spans="1:25" s="228" customFormat="1" ht="20.25">
      <c r="A763" s="161"/>
      <c r="B763" s="408" t="s">
        <v>2326</v>
      </c>
      <c r="C763" s="297" t="s">
        <v>3604</v>
      </c>
      <c r="D763" s="161" t="s">
        <v>218</v>
      </c>
      <c r="E763" s="161" t="s">
        <v>2181</v>
      </c>
      <c r="F763" s="161"/>
      <c r="G763" s="228" t="s">
        <v>5584</v>
      </c>
      <c r="H763" s="247" t="s">
        <v>5816</v>
      </c>
      <c r="I763" s="248" t="s">
        <v>5817</v>
      </c>
      <c r="J763" s="248" t="s">
        <v>5818</v>
      </c>
      <c r="K763" s="245" t="s">
        <v>5565</v>
      </c>
      <c r="L763" s="245" t="s">
        <v>5566</v>
      </c>
      <c r="M763" s="245" t="s">
        <v>5602</v>
      </c>
      <c r="N763" s="245" t="s">
        <v>5819</v>
      </c>
      <c r="O763" s="245" t="s">
        <v>5572</v>
      </c>
      <c r="P763" s="245"/>
      <c r="Q763" s="246"/>
      <c r="R763" s="233"/>
      <c r="S763" s="234">
        <f>IF(C763="",NA(),MATCH($B763&amp;$C763,'Smelter Reference List'!$J:$J,0))</f>
        <v>536</v>
      </c>
      <c r="T763" s="235"/>
      <c r="U763" s="235">
        <f t="shared" si="18"/>
        <v>0</v>
      </c>
      <c r="V763" s="235"/>
      <c r="W763" s="235"/>
      <c r="Y763" s="228" t="str">
        <f t="shared" si="19"/>
        <v>TungstenSmelter not listed</v>
      </c>
    </row>
    <row r="764" spans="1:25" s="228" customFormat="1" ht="20.25">
      <c r="A764" s="408"/>
      <c r="B764" s="408" t="s">
        <v>2326</v>
      </c>
      <c r="C764" s="297" t="s">
        <v>3604</v>
      </c>
      <c r="D764" s="408" t="s">
        <v>2659</v>
      </c>
      <c r="E764" s="408" t="s">
        <v>2181</v>
      </c>
      <c r="F764" s="161"/>
      <c r="G764" s="228" t="s">
        <v>5584</v>
      </c>
      <c r="H764" s="409" t="s">
        <v>5530</v>
      </c>
      <c r="I764" s="409" t="s">
        <v>5530</v>
      </c>
      <c r="J764" s="409" t="s">
        <v>5820</v>
      </c>
      <c r="K764" s="409" t="s">
        <v>5531</v>
      </c>
      <c r="L764" s="409" t="s">
        <v>5532</v>
      </c>
      <c r="M764" s="409" t="s">
        <v>5602</v>
      </c>
      <c r="N764" s="409" t="s">
        <v>5821</v>
      </c>
      <c r="O764" s="409" t="s">
        <v>5648</v>
      </c>
      <c r="P764" s="409"/>
      <c r="Q764" s="411"/>
      <c r="R764" s="233"/>
      <c r="S764" s="234">
        <f>IF(C764="",NA(),MATCH($B764&amp;$C764,'Smelter Reference List'!$J:$J,0))</f>
        <v>536</v>
      </c>
      <c r="T764" s="235"/>
      <c r="U764" s="235">
        <f t="shared" si="18"/>
        <v>0</v>
      </c>
      <c r="V764" s="235"/>
      <c r="W764" s="235"/>
      <c r="Y764" s="228" t="str">
        <f t="shared" si="19"/>
        <v>TungstenSmelter not listed</v>
      </c>
    </row>
    <row r="765" spans="1:25" s="228" customFormat="1" ht="20.25">
      <c r="A765" s="161"/>
      <c r="B765" s="408" t="s">
        <v>2326</v>
      </c>
      <c r="C765" s="297" t="s">
        <v>3604</v>
      </c>
      <c r="D765" s="161" t="s">
        <v>2661</v>
      </c>
      <c r="E765" s="161" t="s">
        <v>2181</v>
      </c>
      <c r="F765" s="161"/>
      <c r="G765" s="228" t="s">
        <v>5584</v>
      </c>
      <c r="H765" s="247" t="s">
        <v>5540</v>
      </c>
      <c r="I765" s="248" t="s">
        <v>5822</v>
      </c>
      <c r="J765" s="248" t="s">
        <v>3186</v>
      </c>
      <c r="K765" s="245" t="s">
        <v>5541</v>
      </c>
      <c r="L765" s="245" t="s">
        <v>5542</v>
      </c>
      <c r="M765" s="245" t="s">
        <v>5602</v>
      </c>
      <c r="N765" s="245" t="s">
        <v>5823</v>
      </c>
      <c r="O765" s="245" t="s">
        <v>2181</v>
      </c>
      <c r="P765" s="245"/>
      <c r="Q765" s="246"/>
      <c r="R765" s="233"/>
      <c r="S765" s="234">
        <f>IF(C765="",NA(),MATCH($B765&amp;$C765,'Smelter Reference List'!$J:$J,0))</f>
        <v>536</v>
      </c>
      <c r="T765" s="235"/>
      <c r="U765" s="235">
        <f t="shared" si="18"/>
        <v>0</v>
      </c>
      <c r="V765" s="235"/>
      <c r="W765" s="235"/>
      <c r="Y765" s="228" t="str">
        <f t="shared" si="19"/>
        <v>TungstenSmelter not listed</v>
      </c>
    </row>
    <row r="766" spans="1:25" s="228" customFormat="1" ht="20.25">
      <c r="A766" s="161"/>
      <c r="B766" s="408" t="s">
        <v>2326</v>
      </c>
      <c r="C766" s="297" t="s">
        <v>3604</v>
      </c>
      <c r="D766" s="161" t="s">
        <v>211</v>
      </c>
      <c r="E766" s="161" t="s">
        <v>2181</v>
      </c>
      <c r="F766" s="161"/>
      <c r="G766" s="228" t="s">
        <v>5584</v>
      </c>
      <c r="H766" s="247" t="s">
        <v>5824</v>
      </c>
      <c r="I766" s="248" t="s">
        <v>3471</v>
      </c>
      <c r="J766" s="248" t="s">
        <v>5820</v>
      </c>
      <c r="K766" s="245" t="s">
        <v>5551</v>
      </c>
      <c r="L766" s="245" t="s">
        <v>5552</v>
      </c>
      <c r="M766" s="245" t="s">
        <v>5602</v>
      </c>
      <c r="N766" s="245" t="s">
        <v>5821</v>
      </c>
      <c r="O766" s="245" t="s">
        <v>5648</v>
      </c>
      <c r="P766" s="245"/>
      <c r="Q766" s="246"/>
      <c r="R766" s="233"/>
      <c r="S766" s="234">
        <f>IF(C766="",NA(),MATCH($B766&amp;$C766,'Smelter Reference List'!$J:$J,0))</f>
        <v>536</v>
      </c>
      <c r="T766" s="235"/>
      <c r="U766" s="235">
        <f t="shared" si="18"/>
        <v>0</v>
      </c>
      <c r="V766" s="235"/>
      <c r="W766" s="235"/>
      <c r="Y766" s="228" t="str">
        <f t="shared" si="19"/>
        <v>TungstenSmelter not listed</v>
      </c>
    </row>
    <row r="767" spans="1:25" s="228" customFormat="1" ht="20.25">
      <c r="A767" s="161"/>
      <c r="B767" s="408" t="s">
        <v>2326</v>
      </c>
      <c r="C767" s="297" t="s">
        <v>3604</v>
      </c>
      <c r="D767" s="161" t="s">
        <v>2663</v>
      </c>
      <c r="E767" s="161" t="s">
        <v>2181</v>
      </c>
      <c r="F767" s="161"/>
      <c r="G767" s="228" t="s">
        <v>5584</v>
      </c>
      <c r="H767" s="247" t="s">
        <v>5825</v>
      </c>
      <c r="I767" s="248" t="s">
        <v>5826</v>
      </c>
      <c r="J767" s="248" t="s">
        <v>3332</v>
      </c>
      <c r="K767" s="245" t="s">
        <v>5827</v>
      </c>
      <c r="L767" s="245" t="s">
        <v>5828</v>
      </c>
      <c r="M767" s="245" t="s">
        <v>5602</v>
      </c>
      <c r="N767" s="245" t="s">
        <v>5829</v>
      </c>
      <c r="O767" s="245" t="s">
        <v>2181</v>
      </c>
      <c r="P767" s="245"/>
      <c r="Q767" s="246"/>
      <c r="R767" s="233"/>
      <c r="S767" s="234">
        <f>IF(C767="",NA(),MATCH($B767&amp;$C767,'Smelter Reference List'!$J:$J,0))</f>
        <v>536</v>
      </c>
      <c r="T767" s="235"/>
      <c r="U767" s="235">
        <f t="shared" si="18"/>
        <v>0</v>
      </c>
      <c r="V767" s="235"/>
      <c r="W767" s="235"/>
      <c r="Y767" s="228" t="str">
        <f t="shared" si="19"/>
        <v>TungstenSmelter not listed</v>
      </c>
    </row>
    <row r="768" spans="1:25" s="228" customFormat="1" ht="20.25">
      <c r="A768" s="161"/>
      <c r="B768" s="408" t="s">
        <v>2326</v>
      </c>
      <c r="C768" s="297" t="s">
        <v>3604</v>
      </c>
      <c r="D768" s="161" t="s">
        <v>209</v>
      </c>
      <c r="E768" s="161" t="s">
        <v>1759</v>
      </c>
      <c r="F768" s="161"/>
      <c r="G768" s="228" t="s">
        <v>5584</v>
      </c>
      <c r="H768" s="247" t="s">
        <v>5522</v>
      </c>
      <c r="I768" s="248" t="s">
        <v>3555</v>
      </c>
      <c r="J768" s="248" t="s">
        <v>3556</v>
      </c>
      <c r="K768" s="245" t="s">
        <v>5830</v>
      </c>
      <c r="L768" s="245" t="s">
        <v>5831</v>
      </c>
      <c r="M768" s="245" t="s">
        <v>5602</v>
      </c>
      <c r="N768" s="245" t="s">
        <v>5832</v>
      </c>
      <c r="O768" s="245" t="s">
        <v>5832</v>
      </c>
      <c r="P768" s="245"/>
      <c r="Q768" s="246"/>
      <c r="R768" s="233"/>
      <c r="S768" s="234">
        <f>IF(C768="",NA(),MATCH($B768&amp;$C768,'Smelter Reference List'!$J:$J,0))</f>
        <v>536</v>
      </c>
      <c r="T768" s="235"/>
      <c r="U768" s="235">
        <f t="shared" si="18"/>
        <v>0</v>
      </c>
      <c r="V768" s="235"/>
      <c r="W768" s="235"/>
      <c r="Y768" s="228" t="str">
        <f t="shared" si="19"/>
        <v>TungstenSmelter not listed</v>
      </c>
    </row>
    <row r="769" spans="1:25" s="228" customFormat="1" ht="20.25">
      <c r="A769" s="161"/>
      <c r="B769" s="408" t="s">
        <v>2324</v>
      </c>
      <c r="C769" s="297" t="s">
        <v>3604</v>
      </c>
      <c r="D769" s="161" t="s">
        <v>1173</v>
      </c>
      <c r="E769" s="161" t="s">
        <v>2238</v>
      </c>
      <c r="F769" s="161"/>
      <c r="G769" s="228" t="s">
        <v>5584</v>
      </c>
      <c r="H769" s="247"/>
      <c r="I769" s="248" t="s">
        <v>3453</v>
      </c>
      <c r="J769" s="248" t="s">
        <v>3454</v>
      </c>
      <c r="K769" s="245"/>
      <c r="L769" s="245"/>
      <c r="M769" s="245" t="s">
        <v>5602</v>
      </c>
      <c r="N769" s="245" t="s">
        <v>5833</v>
      </c>
      <c r="O769" s="245" t="s">
        <v>5648</v>
      </c>
      <c r="P769" s="245"/>
      <c r="Q769" s="246"/>
      <c r="R769" s="233"/>
      <c r="S769" s="234">
        <f>IF(C769="",NA(),MATCH($B769&amp;$C769,'Smelter Reference List'!$J:$J,0))</f>
        <v>467</v>
      </c>
      <c r="T769" s="235"/>
      <c r="U769" s="235">
        <f t="shared" si="18"/>
        <v>0</v>
      </c>
      <c r="V769" s="235"/>
      <c r="W769" s="235"/>
      <c r="Y769" s="228" t="str">
        <f t="shared" si="19"/>
        <v>TinSmelter not listed</v>
      </c>
    </row>
    <row r="770" spans="1:25" s="228" customFormat="1" ht="20.25">
      <c r="A770" s="161"/>
      <c r="B770" s="408" t="s">
        <v>2324</v>
      </c>
      <c r="C770" s="297" t="s">
        <v>3604</v>
      </c>
      <c r="D770" s="161" t="s">
        <v>1471</v>
      </c>
      <c r="E770" s="161" t="s">
        <v>2289</v>
      </c>
      <c r="F770" s="161"/>
      <c r="G770" s="228" t="s">
        <v>5584</v>
      </c>
      <c r="H770" s="247" t="s">
        <v>5834</v>
      </c>
      <c r="I770" s="248" t="s">
        <v>5835</v>
      </c>
      <c r="J770" s="248" t="s">
        <v>3482</v>
      </c>
      <c r="K770" s="245" t="s">
        <v>5836</v>
      </c>
      <c r="L770" s="245" t="s">
        <v>5837</v>
      </c>
      <c r="M770" s="245" t="s">
        <v>5602</v>
      </c>
      <c r="N770" s="245" t="s">
        <v>5838</v>
      </c>
      <c r="O770" s="245" t="s">
        <v>5839</v>
      </c>
      <c r="P770" s="245"/>
      <c r="Q770" s="246"/>
      <c r="R770" s="233"/>
      <c r="S770" s="234">
        <f>IF(C770="",NA(),MATCH($B770&amp;$C770,'Smelter Reference List'!$J:$J,0))</f>
        <v>467</v>
      </c>
      <c r="T770" s="235"/>
      <c r="U770" s="235">
        <f t="shared" si="18"/>
        <v>0</v>
      </c>
      <c r="V770" s="235"/>
      <c r="W770" s="235"/>
      <c r="Y770" s="228" t="str">
        <f t="shared" si="19"/>
        <v>TinSmelter not listed</v>
      </c>
    </row>
    <row r="771" spans="1:25" s="228" customFormat="1" ht="47.25">
      <c r="A771" s="408"/>
      <c r="B771" s="408" t="s">
        <v>2323</v>
      </c>
      <c r="C771" s="297" t="s">
        <v>3604</v>
      </c>
      <c r="D771" s="408" t="s">
        <v>2457</v>
      </c>
      <c r="E771" s="408" t="s">
        <v>2249</v>
      </c>
      <c r="F771" s="161"/>
      <c r="G771" s="228" t="s">
        <v>5584</v>
      </c>
      <c r="H771" s="413" t="s">
        <v>5840</v>
      </c>
      <c r="I771" s="413" t="s">
        <v>3129</v>
      </c>
      <c r="J771" s="414"/>
      <c r="K771" s="414"/>
      <c r="L771" s="414"/>
      <c r="M771" s="414"/>
      <c r="N771" s="414" t="s">
        <v>5841</v>
      </c>
      <c r="O771" s="414" t="s">
        <v>5841</v>
      </c>
      <c r="P771" s="414" t="s">
        <v>925</v>
      </c>
      <c r="Q771" s="411"/>
      <c r="R771" s="233"/>
      <c r="S771" s="234">
        <f>IF(C771="",NA(),MATCH($B771&amp;$C771,'Smelter Reference List'!$J:$J,0))</f>
        <v>238</v>
      </c>
      <c r="T771" s="235"/>
      <c r="U771" s="235">
        <f t="shared" si="18"/>
        <v>0</v>
      </c>
      <c r="V771" s="235"/>
      <c r="W771" s="235"/>
      <c r="Y771" s="228" t="str">
        <f t="shared" si="19"/>
        <v>GoldSmelter not listed</v>
      </c>
    </row>
    <row r="772" spans="1:25" s="228" customFormat="1" ht="20.25">
      <c r="A772" s="408"/>
      <c r="B772" s="408" t="s">
        <v>2324</v>
      </c>
      <c r="C772" s="297" t="s">
        <v>3604</v>
      </c>
      <c r="D772" s="408" t="s">
        <v>69</v>
      </c>
      <c r="E772" s="408" t="s">
        <v>2181</v>
      </c>
      <c r="F772" s="161"/>
      <c r="G772" s="228" t="s">
        <v>5584</v>
      </c>
      <c r="H772" s="415" t="s">
        <v>5842</v>
      </c>
      <c r="I772" s="414" t="s">
        <v>5843</v>
      </c>
      <c r="J772" s="414" t="s">
        <v>5719</v>
      </c>
      <c r="K772" s="414" t="s">
        <v>5844</v>
      </c>
      <c r="L772" s="414" t="s">
        <v>5845</v>
      </c>
      <c r="M772" s="414" t="s">
        <v>5841</v>
      </c>
      <c r="N772" s="414" t="s">
        <v>5846</v>
      </c>
      <c r="O772" s="414" t="s">
        <v>5846</v>
      </c>
      <c r="P772" s="414" t="s">
        <v>925</v>
      </c>
      <c r="Q772" s="416" t="s">
        <v>5847</v>
      </c>
      <c r="R772" s="233"/>
      <c r="S772" s="234">
        <f>IF(C772="",NA(),MATCH($B772&amp;$C772,'Smelter Reference List'!$J:$J,0))</f>
        <v>467</v>
      </c>
      <c r="T772" s="235"/>
      <c r="U772" s="235">
        <f t="shared" si="18"/>
        <v>0</v>
      </c>
      <c r="V772" s="235"/>
      <c r="W772" s="235"/>
      <c r="Y772" s="228" t="str">
        <f t="shared" si="19"/>
        <v>TinSmelter not listed</v>
      </c>
    </row>
    <row r="773" spans="1:25" s="228" customFormat="1" ht="20.25">
      <c r="A773" s="161"/>
      <c r="B773" s="408" t="s">
        <v>2323</v>
      </c>
      <c r="C773" s="297" t="s">
        <v>3604</v>
      </c>
      <c r="D773" s="161" t="s">
        <v>5744</v>
      </c>
      <c r="E773" s="161" t="s">
        <v>2179</v>
      </c>
      <c r="F773" s="161"/>
      <c r="G773" s="228" t="s">
        <v>5584</v>
      </c>
      <c r="H773" s="247" t="s">
        <v>5848</v>
      </c>
      <c r="I773" s="248" t="s">
        <v>3473</v>
      </c>
      <c r="J773" s="248" t="s">
        <v>3473</v>
      </c>
      <c r="K773" s="245" t="s">
        <v>5849</v>
      </c>
      <c r="L773" s="245" t="s">
        <v>5850</v>
      </c>
      <c r="M773" s="245" t="s">
        <v>5841</v>
      </c>
      <c r="N773" s="245" t="s">
        <v>5846</v>
      </c>
      <c r="O773" s="245" t="s">
        <v>5846</v>
      </c>
      <c r="P773" s="245" t="s">
        <v>925</v>
      </c>
      <c r="Q773" s="246" t="s">
        <v>5851</v>
      </c>
      <c r="R773" s="233"/>
      <c r="S773" s="234">
        <f>IF(C773="",NA(),MATCH($B773&amp;$C773,'Smelter Reference List'!$J:$J,0))</f>
        <v>238</v>
      </c>
      <c r="T773" s="235"/>
      <c r="U773" s="235">
        <f t="shared" si="18"/>
        <v>0</v>
      </c>
      <c r="V773" s="235"/>
      <c r="W773" s="235"/>
      <c r="Y773" s="228" t="str">
        <f t="shared" si="19"/>
        <v>GoldSmelter not listed</v>
      </c>
    </row>
    <row r="774" spans="1:25" s="228" customFormat="1" ht="20.25">
      <c r="A774" s="161"/>
      <c r="B774" s="408" t="s">
        <v>2323</v>
      </c>
      <c r="C774" s="297" t="s">
        <v>3604</v>
      </c>
      <c r="D774" s="161" t="s">
        <v>2457</v>
      </c>
      <c r="E774" s="161" t="s">
        <v>2249</v>
      </c>
      <c r="F774" s="161"/>
      <c r="G774" s="228" t="s">
        <v>5584</v>
      </c>
      <c r="H774" s="247"/>
      <c r="I774" s="248"/>
      <c r="J774" s="248"/>
      <c r="K774" s="245"/>
      <c r="L774" s="245"/>
      <c r="M774" s="245"/>
      <c r="N774" s="245"/>
      <c r="O774" s="245"/>
      <c r="P774" s="245"/>
      <c r="Q774" s="246"/>
      <c r="R774" s="233"/>
      <c r="S774" s="234">
        <f>IF(C774="",NA(),MATCH($B774&amp;$C774,'Smelter Reference List'!$J:$J,0))</f>
        <v>238</v>
      </c>
      <c r="T774" s="235"/>
      <c r="U774" s="235">
        <f t="shared" ref="U774:U837" si="20">IF(AND(C774="Smelter not listed",OR(LEN(D774)=0,LEN(E774)=0)),1,0)</f>
        <v>0</v>
      </c>
      <c r="V774" s="235"/>
      <c r="W774" s="235"/>
      <c r="Y774" s="228" t="str">
        <f t="shared" ref="Y774:Y837" si="21">B774&amp;C774</f>
        <v>GoldSmelter not listed</v>
      </c>
    </row>
    <row r="775" spans="1:25" s="228" customFormat="1" ht="20.25">
      <c r="A775" s="161"/>
      <c r="B775" s="408" t="s">
        <v>2323</v>
      </c>
      <c r="C775" s="297" t="s">
        <v>3604</v>
      </c>
      <c r="D775" s="161" t="s">
        <v>1797</v>
      </c>
      <c r="E775" s="161" t="s">
        <v>1753</v>
      </c>
      <c r="F775" s="161"/>
      <c r="G775" s="228" t="s">
        <v>5584</v>
      </c>
      <c r="H775" s="247"/>
      <c r="I775" s="248"/>
      <c r="J775" s="248"/>
      <c r="K775" s="245"/>
      <c r="L775" s="245"/>
      <c r="M775" s="245"/>
      <c r="N775" s="245"/>
      <c r="O775" s="245"/>
      <c r="P775" s="245"/>
      <c r="Q775" s="246"/>
      <c r="R775" s="233"/>
      <c r="S775" s="234">
        <f>IF(C775="",NA(),MATCH($B775&amp;$C775,'Smelter Reference List'!$J:$J,0))</f>
        <v>238</v>
      </c>
      <c r="T775" s="235"/>
      <c r="U775" s="235">
        <f t="shared" si="20"/>
        <v>0</v>
      </c>
      <c r="V775" s="235"/>
      <c r="W775" s="235"/>
      <c r="Y775" s="228" t="str">
        <f t="shared" si="21"/>
        <v>GoldSmelter not listed</v>
      </c>
    </row>
    <row r="776" spans="1:25" s="228" customFormat="1" ht="20.25">
      <c r="A776" s="161"/>
      <c r="B776" s="408" t="s">
        <v>2323</v>
      </c>
      <c r="C776" s="297" t="s">
        <v>3604</v>
      </c>
      <c r="D776" s="161" t="s">
        <v>1792</v>
      </c>
      <c r="E776" s="161" t="s">
        <v>1759</v>
      </c>
      <c r="F776" s="161"/>
      <c r="G776" s="228" t="s">
        <v>5584</v>
      </c>
      <c r="H776" s="247"/>
      <c r="I776" s="248"/>
      <c r="J776" s="248"/>
      <c r="K776" s="245"/>
      <c r="L776" s="245"/>
      <c r="M776" s="245"/>
      <c r="N776" s="245"/>
      <c r="O776" s="245"/>
      <c r="P776" s="245"/>
      <c r="Q776" s="246"/>
      <c r="R776" s="233"/>
      <c r="S776" s="234">
        <f>IF(C776="",NA(),MATCH($B776&amp;$C776,'Smelter Reference List'!$J:$J,0))</f>
        <v>238</v>
      </c>
      <c r="T776" s="235"/>
      <c r="U776" s="235">
        <f t="shared" si="20"/>
        <v>0</v>
      </c>
      <c r="V776" s="235"/>
      <c r="W776" s="235"/>
      <c r="Y776" s="228" t="str">
        <f t="shared" si="21"/>
        <v>GoldSmelter not listed</v>
      </c>
    </row>
    <row r="777" spans="1:25" s="228" customFormat="1" ht="20.25">
      <c r="A777" s="161"/>
      <c r="B777" s="408" t="s">
        <v>2323</v>
      </c>
      <c r="C777" s="297" t="s">
        <v>3604</v>
      </c>
      <c r="D777" s="161" t="s">
        <v>72</v>
      </c>
      <c r="E777" s="161" t="s">
        <v>2232</v>
      </c>
      <c r="F777" s="161"/>
      <c r="G777" s="228" t="s">
        <v>5584</v>
      </c>
      <c r="H777" s="247"/>
      <c r="I777" s="248"/>
      <c r="J777" s="248"/>
      <c r="K777" s="245"/>
      <c r="L777" s="245"/>
      <c r="M777" s="245"/>
      <c r="N777" s="245"/>
      <c r="O777" s="245"/>
      <c r="P777" s="245"/>
      <c r="Q777" s="246"/>
      <c r="R777" s="233"/>
      <c r="S777" s="234">
        <f>IF(C777="",NA(),MATCH($B777&amp;$C777,'Smelter Reference List'!$J:$J,0))</f>
        <v>238</v>
      </c>
      <c r="T777" s="235"/>
      <c r="U777" s="235">
        <f t="shared" si="20"/>
        <v>0</v>
      </c>
      <c r="V777" s="235"/>
      <c r="W777" s="235"/>
      <c r="Y777" s="228" t="str">
        <f t="shared" si="21"/>
        <v>GoldSmelter not listed</v>
      </c>
    </row>
    <row r="778" spans="1:25" s="228" customFormat="1" ht="20.25">
      <c r="A778" s="161"/>
      <c r="B778" s="408" t="s">
        <v>2323</v>
      </c>
      <c r="C778" s="297" t="s">
        <v>3604</v>
      </c>
      <c r="D778" s="161" t="s">
        <v>2451</v>
      </c>
      <c r="E778" s="161" t="s">
        <v>2195</v>
      </c>
      <c r="F778" s="161"/>
      <c r="G778" s="228" t="s">
        <v>5584</v>
      </c>
      <c r="H778" s="247"/>
      <c r="I778" s="248"/>
      <c r="J778" s="248"/>
      <c r="K778" s="245"/>
      <c r="L778" s="245"/>
      <c r="M778" s="245"/>
      <c r="N778" s="245"/>
      <c r="O778" s="245"/>
      <c r="P778" s="245"/>
      <c r="Q778" s="246"/>
      <c r="R778" s="233"/>
      <c r="S778" s="234">
        <f>IF(C778="",NA(),MATCH($B778&amp;$C778,'Smelter Reference List'!$J:$J,0))</f>
        <v>238</v>
      </c>
      <c r="T778" s="235"/>
      <c r="U778" s="235">
        <f t="shared" si="20"/>
        <v>0</v>
      </c>
      <c r="V778" s="235"/>
      <c r="W778" s="235"/>
      <c r="Y778" s="228" t="str">
        <f t="shared" si="21"/>
        <v>GoldSmelter not listed</v>
      </c>
    </row>
    <row r="779" spans="1:25" s="228" customFormat="1" ht="20.25">
      <c r="A779" s="161"/>
      <c r="B779" s="408" t="s">
        <v>2323</v>
      </c>
      <c r="C779" s="297" t="s">
        <v>3604</v>
      </c>
      <c r="D779" s="161" t="s">
        <v>74</v>
      </c>
      <c r="E779" s="161" t="s">
        <v>2256</v>
      </c>
      <c r="F779" s="161"/>
      <c r="G779" s="228" t="s">
        <v>5584</v>
      </c>
      <c r="H779" s="247"/>
      <c r="I779" s="248"/>
      <c r="J779" s="248"/>
      <c r="K779" s="245"/>
      <c r="L779" s="245"/>
      <c r="M779" s="245"/>
      <c r="N779" s="245"/>
      <c r="O779" s="245"/>
      <c r="P779" s="245"/>
      <c r="Q779" s="246"/>
      <c r="R779" s="233"/>
      <c r="S779" s="234">
        <f>IF(C779="",NA(),MATCH($B779&amp;$C779,'Smelter Reference List'!$J:$J,0))</f>
        <v>238</v>
      </c>
      <c r="T779" s="235"/>
      <c r="U779" s="235">
        <f t="shared" si="20"/>
        <v>0</v>
      </c>
      <c r="V779" s="235"/>
      <c r="W779" s="235"/>
      <c r="Y779" s="228" t="str">
        <f t="shared" si="21"/>
        <v>GoldSmelter not listed</v>
      </c>
    </row>
    <row r="780" spans="1:25" s="228" customFormat="1" ht="20.25">
      <c r="A780" s="161"/>
      <c r="B780" s="408" t="s">
        <v>2323</v>
      </c>
      <c r="C780" s="297" t="s">
        <v>3604</v>
      </c>
      <c r="D780" s="161" t="s">
        <v>75</v>
      </c>
      <c r="E780" s="161" t="s">
        <v>2249</v>
      </c>
      <c r="F780" s="161"/>
      <c r="G780" s="228" t="s">
        <v>5584</v>
      </c>
      <c r="H780" s="247"/>
      <c r="I780" s="248"/>
      <c r="J780" s="248"/>
      <c r="K780" s="245"/>
      <c r="L780" s="245"/>
      <c r="M780" s="245"/>
      <c r="N780" s="245"/>
      <c r="O780" s="245"/>
      <c r="P780" s="245"/>
      <c r="Q780" s="246"/>
      <c r="R780" s="233"/>
      <c r="S780" s="234">
        <f>IF(C780="",NA(),MATCH($B780&amp;$C780,'Smelter Reference List'!$J:$J,0))</f>
        <v>238</v>
      </c>
      <c r="T780" s="235"/>
      <c r="U780" s="235">
        <f t="shared" si="20"/>
        <v>0</v>
      </c>
      <c r="V780" s="235"/>
      <c r="W780" s="235"/>
      <c r="Y780" s="228" t="str">
        <f t="shared" si="21"/>
        <v>GoldSmelter not listed</v>
      </c>
    </row>
    <row r="781" spans="1:25" s="228" customFormat="1" ht="20.25">
      <c r="A781" s="161"/>
      <c r="B781" s="408" t="s">
        <v>2323</v>
      </c>
      <c r="C781" s="297" t="s">
        <v>3604</v>
      </c>
      <c r="D781" s="161" t="s">
        <v>2371</v>
      </c>
      <c r="E781" s="161" t="s">
        <v>2249</v>
      </c>
      <c r="F781" s="161"/>
      <c r="G781" s="228" t="s">
        <v>5584</v>
      </c>
      <c r="H781" s="247"/>
      <c r="I781" s="248"/>
      <c r="J781" s="248"/>
      <c r="K781" s="245"/>
      <c r="L781" s="245"/>
      <c r="M781" s="245"/>
      <c r="N781" s="245"/>
      <c r="O781" s="245"/>
      <c r="P781" s="245"/>
      <c r="Q781" s="246"/>
      <c r="R781" s="233"/>
      <c r="S781" s="234">
        <f>IF(C781="",NA(),MATCH($B781&amp;$C781,'Smelter Reference List'!$J:$J,0))</f>
        <v>238</v>
      </c>
      <c r="T781" s="235"/>
      <c r="U781" s="235">
        <f t="shared" si="20"/>
        <v>0</v>
      </c>
      <c r="V781" s="235"/>
      <c r="W781" s="235"/>
      <c r="Y781" s="228" t="str">
        <f t="shared" si="21"/>
        <v>GoldSmelter not listed</v>
      </c>
    </row>
    <row r="782" spans="1:25" s="228" customFormat="1" ht="20.25">
      <c r="A782" s="161"/>
      <c r="B782" s="408" t="s">
        <v>2323</v>
      </c>
      <c r="C782" s="297" t="s">
        <v>3604</v>
      </c>
      <c r="D782" s="161" t="s">
        <v>2322</v>
      </c>
      <c r="E782" s="161" t="s">
        <v>2154</v>
      </c>
      <c r="F782" s="161"/>
      <c r="G782" s="228" t="s">
        <v>5584</v>
      </c>
      <c r="H782" s="247"/>
      <c r="I782" s="248"/>
      <c r="J782" s="248"/>
      <c r="K782" s="245"/>
      <c r="L782" s="245"/>
      <c r="M782" s="245"/>
      <c r="N782" s="245"/>
      <c r="O782" s="245"/>
      <c r="P782" s="245"/>
      <c r="Q782" s="246"/>
      <c r="R782" s="233"/>
      <c r="S782" s="234">
        <f>IF(C782="",NA(),MATCH($B782&amp;$C782,'Smelter Reference List'!$J:$J,0))</f>
        <v>238</v>
      </c>
      <c r="T782" s="235"/>
      <c r="U782" s="235">
        <f t="shared" si="20"/>
        <v>0</v>
      </c>
      <c r="V782" s="235"/>
      <c r="W782" s="235"/>
      <c r="Y782" s="228" t="str">
        <f t="shared" si="21"/>
        <v>GoldSmelter not listed</v>
      </c>
    </row>
    <row r="783" spans="1:25" s="228" customFormat="1" ht="20.25">
      <c r="A783" s="408"/>
      <c r="B783" s="408" t="s">
        <v>2323</v>
      </c>
      <c r="C783" s="297" t="s">
        <v>3604</v>
      </c>
      <c r="D783" s="408" t="s">
        <v>5655</v>
      </c>
      <c r="E783" s="408" t="s">
        <v>2177</v>
      </c>
      <c r="F783" s="161"/>
      <c r="G783" s="228" t="s">
        <v>5584</v>
      </c>
      <c r="H783" s="409"/>
      <c r="I783" s="409"/>
      <c r="J783" s="409"/>
      <c r="K783" s="409"/>
      <c r="L783" s="409"/>
      <c r="M783" s="409"/>
      <c r="N783" s="409"/>
      <c r="O783" s="409"/>
      <c r="P783" s="409"/>
      <c r="Q783" s="411"/>
      <c r="R783" s="233"/>
      <c r="S783" s="234">
        <f>IF(C783="",NA(),MATCH($B783&amp;$C783,'Smelter Reference List'!$J:$J,0))</f>
        <v>238</v>
      </c>
      <c r="T783" s="235"/>
      <c r="U783" s="235">
        <f t="shared" si="20"/>
        <v>0</v>
      </c>
      <c r="V783" s="235"/>
      <c r="W783" s="235"/>
      <c r="Y783" s="228" t="str">
        <f t="shared" si="21"/>
        <v>GoldSmelter not listed</v>
      </c>
    </row>
    <row r="784" spans="1:25" s="228" customFormat="1" ht="20.25">
      <c r="A784" s="408"/>
      <c r="B784" s="408" t="s">
        <v>2323</v>
      </c>
      <c r="C784" s="297" t="s">
        <v>3604</v>
      </c>
      <c r="D784" s="408" t="s">
        <v>5617</v>
      </c>
      <c r="E784" s="408" t="s">
        <v>1759</v>
      </c>
      <c r="F784" s="161"/>
      <c r="G784" s="228" t="s">
        <v>5584</v>
      </c>
      <c r="H784" s="409"/>
      <c r="I784" s="409"/>
      <c r="J784" s="409"/>
      <c r="K784" s="409"/>
      <c r="L784" s="409"/>
      <c r="M784" s="409"/>
      <c r="N784" s="409"/>
      <c r="O784" s="409"/>
      <c r="P784" s="409"/>
      <c r="Q784" s="411"/>
      <c r="R784" s="233"/>
      <c r="S784" s="234">
        <f>IF(C784="",NA(),MATCH($B784&amp;$C784,'Smelter Reference List'!$J:$J,0))</f>
        <v>238</v>
      </c>
      <c r="T784" s="235"/>
      <c r="U784" s="235">
        <f t="shared" si="20"/>
        <v>0</v>
      </c>
      <c r="V784" s="235"/>
      <c r="W784" s="235"/>
      <c r="Y784" s="228" t="str">
        <f t="shared" si="21"/>
        <v>GoldSmelter not listed</v>
      </c>
    </row>
    <row r="785" spans="1:25" s="228" customFormat="1" ht="20.25">
      <c r="A785" s="408"/>
      <c r="B785" s="408" t="s">
        <v>2323</v>
      </c>
      <c r="C785" s="297" t="s">
        <v>3604</v>
      </c>
      <c r="D785" s="408" t="s">
        <v>5619</v>
      </c>
      <c r="E785" s="408" t="s">
        <v>2177</v>
      </c>
      <c r="F785" s="161"/>
      <c r="G785" s="228" t="s">
        <v>5584</v>
      </c>
      <c r="H785" s="409"/>
      <c r="I785" s="409"/>
      <c r="J785" s="409"/>
      <c r="K785" s="409"/>
      <c r="L785" s="409"/>
      <c r="M785" s="409"/>
      <c r="N785" s="409"/>
      <c r="O785" s="409"/>
      <c r="P785" s="409"/>
      <c r="Q785" s="411"/>
      <c r="R785" s="233"/>
      <c r="S785" s="234">
        <f>IF(C785="",NA(),MATCH($B785&amp;$C785,'Smelter Reference List'!$J:$J,0))</f>
        <v>238</v>
      </c>
      <c r="T785" s="235"/>
      <c r="U785" s="235">
        <f t="shared" si="20"/>
        <v>0</v>
      </c>
      <c r="V785" s="235"/>
      <c r="W785" s="235"/>
      <c r="Y785" s="228" t="str">
        <f t="shared" si="21"/>
        <v>GoldSmelter not listed</v>
      </c>
    </row>
    <row r="786" spans="1:25" s="228" customFormat="1" ht="20.25">
      <c r="A786" s="161"/>
      <c r="B786" s="408" t="s">
        <v>2323</v>
      </c>
      <c r="C786" s="297" t="s">
        <v>3604</v>
      </c>
      <c r="D786" s="161" t="s">
        <v>2453</v>
      </c>
      <c r="E786" s="161" t="s">
        <v>1759</v>
      </c>
      <c r="F786" s="161"/>
      <c r="G786" s="228" t="s">
        <v>5584</v>
      </c>
      <c r="H786" s="247"/>
      <c r="I786" s="248"/>
      <c r="J786" s="248"/>
      <c r="K786" s="245"/>
      <c r="L786" s="245"/>
      <c r="M786" s="245"/>
      <c r="N786" s="245"/>
      <c r="O786" s="245"/>
      <c r="P786" s="245"/>
      <c r="Q786" s="246"/>
      <c r="R786" s="233"/>
      <c r="S786" s="234">
        <f>IF(C786="",NA(),MATCH($B786&amp;$C786,'Smelter Reference List'!$J:$J,0))</f>
        <v>238</v>
      </c>
      <c r="T786" s="235"/>
      <c r="U786" s="235">
        <f t="shared" si="20"/>
        <v>0</v>
      </c>
      <c r="V786" s="235"/>
      <c r="W786" s="235"/>
      <c r="Y786" s="228" t="str">
        <f t="shared" si="21"/>
        <v>GoldSmelter not listed</v>
      </c>
    </row>
    <row r="787" spans="1:25" s="228" customFormat="1" ht="20.25">
      <c r="A787" s="161"/>
      <c r="B787" s="408" t="s">
        <v>2323</v>
      </c>
      <c r="C787" s="297" t="s">
        <v>3604</v>
      </c>
      <c r="D787" s="161" t="s">
        <v>1795</v>
      </c>
      <c r="E787" s="161" t="s">
        <v>2177</v>
      </c>
      <c r="F787" s="161"/>
      <c r="G787" s="228" t="s">
        <v>5584</v>
      </c>
      <c r="H787" s="247"/>
      <c r="I787" s="248"/>
      <c r="J787" s="248"/>
      <c r="K787" s="245"/>
      <c r="L787" s="245"/>
      <c r="M787" s="245"/>
      <c r="N787" s="245"/>
      <c r="O787" s="245"/>
      <c r="P787" s="245"/>
      <c r="Q787" s="246"/>
      <c r="R787" s="233"/>
      <c r="S787" s="234">
        <f>IF(C787="",NA(),MATCH($B787&amp;$C787,'Smelter Reference List'!$J:$J,0))</f>
        <v>238</v>
      </c>
      <c r="T787" s="235"/>
      <c r="U787" s="235">
        <f t="shared" si="20"/>
        <v>0</v>
      </c>
      <c r="V787" s="235"/>
      <c r="W787" s="235"/>
      <c r="Y787" s="228" t="str">
        <f t="shared" si="21"/>
        <v>GoldSmelter not listed</v>
      </c>
    </row>
    <row r="788" spans="1:25" s="228" customFormat="1" ht="20.25">
      <c r="A788" s="161"/>
      <c r="B788" s="408" t="s">
        <v>2323</v>
      </c>
      <c r="C788" s="297" t="s">
        <v>3604</v>
      </c>
      <c r="D788" s="161" t="s">
        <v>77</v>
      </c>
      <c r="E788" s="161" t="s">
        <v>2249</v>
      </c>
      <c r="F788" s="161"/>
      <c r="G788" s="228" t="s">
        <v>5584</v>
      </c>
      <c r="H788" s="247"/>
      <c r="I788" s="248"/>
      <c r="J788" s="248"/>
      <c r="K788" s="245"/>
      <c r="L788" s="245"/>
      <c r="M788" s="245"/>
      <c r="N788" s="245"/>
      <c r="O788" s="245"/>
      <c r="P788" s="245"/>
      <c r="Q788" s="246"/>
      <c r="R788" s="233"/>
      <c r="S788" s="234">
        <f>IF(C788="",NA(),MATCH($B788&amp;$C788,'Smelter Reference List'!$J:$J,0))</f>
        <v>238</v>
      </c>
      <c r="T788" s="235"/>
      <c r="U788" s="235">
        <f t="shared" si="20"/>
        <v>0</v>
      </c>
      <c r="V788" s="235"/>
      <c r="W788" s="235"/>
      <c r="Y788" s="228" t="str">
        <f t="shared" si="21"/>
        <v>GoldSmelter not listed</v>
      </c>
    </row>
    <row r="789" spans="1:25" s="228" customFormat="1" ht="20.25">
      <c r="A789" s="408"/>
      <c r="B789" s="408" t="s">
        <v>2323</v>
      </c>
      <c r="C789" s="297" t="s">
        <v>3604</v>
      </c>
      <c r="D789" s="408" t="s">
        <v>5644</v>
      </c>
      <c r="E789" s="408" t="s">
        <v>2181</v>
      </c>
      <c r="F789" s="161"/>
      <c r="G789" s="228" t="s">
        <v>5584</v>
      </c>
      <c r="H789" s="409"/>
      <c r="I789" s="409"/>
      <c r="J789" s="409"/>
      <c r="K789" s="409"/>
      <c r="L789" s="409"/>
      <c r="M789" s="409"/>
      <c r="N789" s="409"/>
      <c r="O789" s="409"/>
      <c r="P789" s="409"/>
      <c r="Q789" s="411"/>
      <c r="R789" s="233"/>
      <c r="S789" s="234">
        <f>IF(C789="",NA(),MATCH($B789&amp;$C789,'Smelter Reference List'!$J:$J,0))</f>
        <v>238</v>
      </c>
      <c r="T789" s="235"/>
      <c r="U789" s="235">
        <f t="shared" si="20"/>
        <v>0</v>
      </c>
      <c r="V789" s="235"/>
      <c r="W789" s="235"/>
      <c r="Y789" s="228" t="str">
        <f t="shared" si="21"/>
        <v>GoldSmelter not listed</v>
      </c>
    </row>
    <row r="790" spans="1:25" s="228" customFormat="1" ht="20.25">
      <c r="A790" s="161"/>
      <c r="B790" s="408" t="s">
        <v>2323</v>
      </c>
      <c r="C790" s="297" t="s">
        <v>3604</v>
      </c>
      <c r="D790" s="161" t="s">
        <v>5766</v>
      </c>
      <c r="E790" s="161" t="s">
        <v>2179</v>
      </c>
      <c r="F790" s="161"/>
      <c r="G790" s="228" t="s">
        <v>5584</v>
      </c>
      <c r="H790" s="247"/>
      <c r="I790" s="248"/>
      <c r="J790" s="248"/>
      <c r="K790" s="245"/>
      <c r="L790" s="245"/>
      <c r="M790" s="245"/>
      <c r="N790" s="245"/>
      <c r="O790" s="245"/>
      <c r="P790" s="245"/>
      <c r="Q790" s="246"/>
      <c r="R790" s="233"/>
      <c r="S790" s="234">
        <f>IF(C790="",NA(),MATCH($B790&amp;$C790,'Smelter Reference List'!$J:$J,0))</f>
        <v>238</v>
      </c>
      <c r="T790" s="235"/>
      <c r="U790" s="235">
        <f t="shared" si="20"/>
        <v>0</v>
      </c>
      <c r="V790" s="235"/>
      <c r="W790" s="235"/>
      <c r="Y790" s="228" t="str">
        <f t="shared" si="21"/>
        <v>GoldSmelter not listed</v>
      </c>
    </row>
    <row r="791" spans="1:25" s="228" customFormat="1" ht="20.25">
      <c r="A791" s="161"/>
      <c r="B791" s="408" t="s">
        <v>2323</v>
      </c>
      <c r="C791" s="297" t="s">
        <v>3604</v>
      </c>
      <c r="D791" s="161" t="s">
        <v>70</v>
      </c>
      <c r="E791" s="161" t="s">
        <v>2195</v>
      </c>
      <c r="F791" s="161"/>
      <c r="G791" s="228" t="s">
        <v>5584</v>
      </c>
      <c r="H791" s="247"/>
      <c r="I791" s="248"/>
      <c r="J791" s="248"/>
      <c r="K791" s="245"/>
      <c r="L791" s="245"/>
      <c r="M791" s="245"/>
      <c r="N791" s="245"/>
      <c r="O791" s="245"/>
      <c r="P791" s="245"/>
      <c r="Q791" s="246"/>
      <c r="R791" s="233"/>
      <c r="S791" s="234">
        <f>IF(C791="",NA(),MATCH($B791&amp;$C791,'Smelter Reference List'!$J:$J,0))</f>
        <v>238</v>
      </c>
      <c r="T791" s="235"/>
      <c r="U791" s="235">
        <f t="shared" si="20"/>
        <v>0</v>
      </c>
      <c r="V791" s="235"/>
      <c r="W791" s="235"/>
      <c r="Y791" s="228" t="str">
        <f t="shared" si="21"/>
        <v>GoldSmelter not listed</v>
      </c>
    </row>
    <row r="792" spans="1:25" s="228" customFormat="1" ht="20.25">
      <c r="A792" s="161"/>
      <c r="B792" s="408" t="s">
        <v>2323</v>
      </c>
      <c r="C792" s="297" t="s">
        <v>3604</v>
      </c>
      <c r="D792" s="161" t="s">
        <v>5598</v>
      </c>
      <c r="E792" s="161" t="s">
        <v>2179</v>
      </c>
      <c r="F792" s="161"/>
      <c r="G792" s="228" t="s">
        <v>5584</v>
      </c>
      <c r="H792" s="247"/>
      <c r="I792" s="248"/>
      <c r="J792" s="248"/>
      <c r="K792" s="245"/>
      <c r="L792" s="245"/>
      <c r="M792" s="245"/>
      <c r="N792" s="245"/>
      <c r="O792" s="245"/>
      <c r="P792" s="245"/>
      <c r="Q792" s="246"/>
      <c r="R792" s="233"/>
      <c r="S792" s="234">
        <f>IF(C792="",NA(),MATCH($B792&amp;$C792,'Smelter Reference List'!$J:$J,0))</f>
        <v>238</v>
      </c>
      <c r="T792" s="235"/>
      <c r="U792" s="235">
        <f t="shared" si="20"/>
        <v>0</v>
      </c>
      <c r="V792" s="235"/>
      <c r="W792" s="235"/>
      <c r="Y792" s="228" t="str">
        <f t="shared" si="21"/>
        <v>GoldSmelter not listed</v>
      </c>
    </row>
    <row r="793" spans="1:25" s="228" customFormat="1" ht="20.25">
      <c r="A793" s="161"/>
      <c r="B793" s="408" t="s">
        <v>2323</v>
      </c>
      <c r="C793" s="297" t="s">
        <v>3604</v>
      </c>
      <c r="D793" s="161" t="s">
        <v>76</v>
      </c>
      <c r="E793" s="161" t="s">
        <v>1759</v>
      </c>
      <c r="F793" s="161"/>
      <c r="G793" s="228" t="s">
        <v>5584</v>
      </c>
      <c r="H793" s="247"/>
      <c r="I793" s="248"/>
      <c r="J793" s="248"/>
      <c r="K793" s="245"/>
      <c r="L793" s="245"/>
      <c r="M793" s="245"/>
      <c r="N793" s="245"/>
      <c r="O793" s="245"/>
      <c r="P793" s="245"/>
      <c r="Q793" s="246"/>
      <c r="R793" s="233"/>
      <c r="S793" s="234">
        <f>IF(C793="",NA(),MATCH($B793&amp;$C793,'Smelter Reference List'!$J:$J,0))</f>
        <v>238</v>
      </c>
      <c r="T793" s="235"/>
      <c r="U793" s="235">
        <f t="shared" si="20"/>
        <v>0</v>
      </c>
      <c r="V793" s="235"/>
      <c r="W793" s="235"/>
      <c r="Y793" s="228" t="str">
        <f t="shared" si="21"/>
        <v>GoldSmelter not listed</v>
      </c>
    </row>
    <row r="794" spans="1:25" s="228" customFormat="1" ht="20.25">
      <c r="A794" s="161"/>
      <c r="B794" s="408" t="s">
        <v>2324</v>
      </c>
      <c r="C794" s="297" t="s">
        <v>3604</v>
      </c>
      <c r="D794" s="161" t="s">
        <v>1506</v>
      </c>
      <c r="E794" s="161" t="s">
        <v>2169</v>
      </c>
      <c r="F794" s="161"/>
      <c r="G794" s="228" t="s">
        <v>5584</v>
      </c>
      <c r="H794" s="247"/>
      <c r="I794" s="248"/>
      <c r="J794" s="248"/>
      <c r="K794" s="245"/>
      <c r="L794" s="245"/>
      <c r="M794" s="245"/>
      <c r="N794" s="245"/>
      <c r="O794" s="245"/>
      <c r="P794" s="245"/>
      <c r="Q794" s="246"/>
      <c r="R794" s="233"/>
      <c r="S794" s="234">
        <f>IF(C794="",NA(),MATCH($B794&amp;$C794,'Smelter Reference List'!$J:$J,0))</f>
        <v>467</v>
      </c>
      <c r="T794" s="235"/>
      <c r="U794" s="235">
        <f t="shared" si="20"/>
        <v>0</v>
      </c>
      <c r="V794" s="235"/>
      <c r="W794" s="235"/>
      <c r="Y794" s="228" t="str">
        <f t="shared" si="21"/>
        <v>TinSmelter not listed</v>
      </c>
    </row>
    <row r="795" spans="1:25" s="228" customFormat="1" ht="20.25">
      <c r="A795" s="161"/>
      <c r="B795" s="408" t="s">
        <v>2324</v>
      </c>
      <c r="C795" s="297" t="s">
        <v>3604</v>
      </c>
      <c r="D795" s="161" t="s">
        <v>1954</v>
      </c>
      <c r="E795" s="161" t="s">
        <v>1704</v>
      </c>
      <c r="F795" s="161"/>
      <c r="G795" s="228" t="s">
        <v>5584</v>
      </c>
      <c r="H795" s="247"/>
      <c r="I795" s="248"/>
      <c r="J795" s="248"/>
      <c r="K795" s="245"/>
      <c r="L795" s="245"/>
      <c r="M795" s="245"/>
      <c r="N795" s="245"/>
      <c r="O795" s="245"/>
      <c r="P795" s="245"/>
      <c r="Q795" s="246"/>
      <c r="R795" s="233"/>
      <c r="S795" s="234">
        <f>IF(C795="",NA(),MATCH($B795&amp;$C795,'Smelter Reference List'!$J:$J,0))</f>
        <v>467</v>
      </c>
      <c r="T795" s="235"/>
      <c r="U795" s="235">
        <f t="shared" si="20"/>
        <v>0</v>
      </c>
      <c r="V795" s="235"/>
      <c r="W795" s="235"/>
      <c r="Y795" s="228" t="str">
        <f t="shared" si="21"/>
        <v>TinSmelter not listed</v>
      </c>
    </row>
    <row r="796" spans="1:25" s="228" customFormat="1" ht="20.25">
      <c r="A796" s="161" t="s">
        <v>1379</v>
      </c>
      <c r="B796" s="408" t="s">
        <v>2324</v>
      </c>
      <c r="C796" s="297" t="str">
        <f>IF(LEN(A796)=0,"",INDEX('[2]Smelter Reference List'!$C$1:$C$65536,MATCH($A796,'[2]Smelter Reference List'!$E$1:$E$65536,0)))</f>
        <v>Mineração Taboca S.A.</v>
      </c>
      <c r="D796" s="161" t="s">
        <v>1953</v>
      </c>
      <c r="E796" s="161" t="s">
        <v>2170</v>
      </c>
      <c r="F796" s="161" t="s">
        <v>1379</v>
      </c>
      <c r="G796" s="161" t="s">
        <v>3125</v>
      </c>
      <c r="H796" s="247">
        <v>0</v>
      </c>
      <c r="I796" s="248" t="s">
        <v>3485</v>
      </c>
      <c r="J796" s="248" t="s">
        <v>3313</v>
      </c>
      <c r="K796" s="245"/>
      <c r="L796" s="245"/>
      <c r="M796" s="245"/>
      <c r="N796" s="245"/>
      <c r="O796" s="245"/>
      <c r="P796" s="245"/>
      <c r="Q796" s="246"/>
      <c r="R796" s="233"/>
      <c r="S796" s="234">
        <f>IF(C796="",NA(),MATCH($B796&amp;$C796,'Smelter Reference List'!$J:$J,0))</f>
        <v>383</v>
      </c>
      <c r="T796" s="235"/>
      <c r="U796" s="235">
        <f t="shared" si="20"/>
        <v>0</v>
      </c>
      <c r="V796" s="235"/>
      <c r="W796" s="235"/>
      <c r="Y796" s="228" t="str">
        <f t="shared" si="21"/>
        <v>TinMineração Taboca S.A.</v>
      </c>
    </row>
    <row r="797" spans="1:25" s="228" customFormat="1" ht="20.25">
      <c r="A797" s="161" t="s">
        <v>1378</v>
      </c>
      <c r="B797" s="408" t="s">
        <v>2324</v>
      </c>
      <c r="C797" s="297" t="str">
        <f>IF(LEN(A797)=0,"",INDEX('[2]Smelter Reference List'!$C$1:$C$65536,MATCH($A797,'[2]Smelter Reference List'!$E$1:$E$65536,0)))</f>
        <v>Malaysia Smelting Corporation (MSC)</v>
      </c>
      <c r="D797" s="161" t="s">
        <v>1471</v>
      </c>
      <c r="E797" s="161" t="s">
        <v>2289</v>
      </c>
      <c r="F797" s="161" t="s">
        <v>1378</v>
      </c>
      <c r="G797" s="161" t="s">
        <v>3125</v>
      </c>
      <c r="H797" s="247">
        <v>0</v>
      </c>
      <c r="I797" s="248" t="s">
        <v>3481</v>
      </c>
      <c r="J797" s="248" t="s">
        <v>3482</v>
      </c>
      <c r="K797" s="245"/>
      <c r="L797" s="245"/>
      <c r="M797" s="245"/>
      <c r="N797" s="245"/>
      <c r="O797" s="245"/>
      <c r="P797" s="245"/>
      <c r="Q797" s="246"/>
      <c r="R797" s="233"/>
      <c r="S797" s="234">
        <f>IF(C797="",NA(),MATCH($B797&amp;$C797,'Smelter Reference List'!$J:$J,0))</f>
        <v>377</v>
      </c>
      <c r="T797" s="235"/>
      <c r="U797" s="235">
        <f t="shared" si="20"/>
        <v>0</v>
      </c>
      <c r="V797" s="235"/>
      <c r="W797" s="235"/>
      <c r="Y797" s="228" t="str">
        <f t="shared" si="21"/>
        <v>TinMalaysia Smelting Corporation (MSC)</v>
      </c>
    </row>
    <row r="798" spans="1:25" s="228" customFormat="1" ht="20.25">
      <c r="A798" s="161" t="s">
        <v>1407</v>
      </c>
      <c r="B798" s="408" t="s">
        <v>2324</v>
      </c>
      <c r="C798" s="297" t="str">
        <f>IF(LEN(A798)=0,"",INDEX('[2]Smelter Reference List'!$C$1:$C$65536,MATCH($A798,'[2]Smelter Reference List'!$E$1:$E$65536,0)))</f>
        <v>Yunnan Tin Company Limited</v>
      </c>
      <c r="D798" s="161" t="s">
        <v>4749</v>
      </c>
      <c r="E798" s="161" t="s">
        <v>2181</v>
      </c>
      <c r="F798" s="161" t="s">
        <v>1407</v>
      </c>
      <c r="G798" s="161" t="s">
        <v>3125</v>
      </c>
      <c r="H798" s="247">
        <v>0</v>
      </c>
      <c r="I798" s="248" t="s">
        <v>3468</v>
      </c>
      <c r="J798" s="248" t="s">
        <v>3161</v>
      </c>
      <c r="K798" s="245"/>
      <c r="L798" s="245"/>
      <c r="M798" s="245"/>
      <c r="N798" s="245"/>
      <c r="O798" s="245"/>
      <c r="P798" s="245"/>
      <c r="Q798" s="246"/>
      <c r="R798" s="233"/>
      <c r="S798" s="234">
        <f>IF(C798="",NA(),MATCH($B798&amp;$C798,'Smelter Reference List'!$J:$J,0))</f>
        <v>462</v>
      </c>
      <c r="T798" s="235"/>
      <c r="U798" s="235">
        <f t="shared" si="20"/>
        <v>0</v>
      </c>
      <c r="V798" s="235"/>
      <c r="W798" s="235"/>
      <c r="Y798" s="228" t="str">
        <f t="shared" si="21"/>
        <v>TinYunnan Tin Company Limited</v>
      </c>
    </row>
    <row r="799" spans="1:25" s="228" customFormat="1" ht="20.25">
      <c r="A799" s="408" t="s">
        <v>1406</v>
      </c>
      <c r="B799" s="408" t="s">
        <v>2324</v>
      </c>
      <c r="C799" s="297" t="str">
        <f>IF(LEN(A799)=0,"",INDEX('[2]Smelter Reference List'!$C$1:$C$65536,MATCH($A799,'[2]Smelter Reference List'!$E$1:$E$65536,0)))</f>
        <v>Yunnan Chengfeng Non-ferrous Metals Co., Ltd.</v>
      </c>
      <c r="D799" s="161" t="s">
        <v>4183</v>
      </c>
      <c r="E799" s="161" t="s">
        <v>2181</v>
      </c>
      <c r="F799" s="161" t="s">
        <v>1406</v>
      </c>
      <c r="G799" s="161" t="s">
        <v>3125</v>
      </c>
      <c r="H799" s="247">
        <v>0</v>
      </c>
      <c r="I799" s="248" t="s">
        <v>3468</v>
      </c>
      <c r="J799" s="248" t="s">
        <v>3161</v>
      </c>
      <c r="K799" s="245"/>
      <c r="L799" s="245"/>
      <c r="M799" s="245"/>
      <c r="N799" s="245"/>
      <c r="O799" s="245"/>
      <c r="P799" s="245"/>
      <c r="Q799" s="246"/>
      <c r="R799" s="233"/>
      <c r="S799" s="234">
        <f>IF(C799="",NA(),MATCH($B799&amp;$C799,'Smelter Reference List'!$J:$J,0))</f>
        <v>459</v>
      </c>
      <c r="T799" s="235"/>
      <c r="U799" s="235">
        <f t="shared" si="20"/>
        <v>0</v>
      </c>
      <c r="V799" s="235"/>
      <c r="W799" s="235"/>
      <c r="Y799" s="228" t="str">
        <f t="shared" si="21"/>
        <v>TinYunnan Chengfeng Non-ferrous Metals Co., Ltd.</v>
      </c>
    </row>
    <row r="800" spans="1:25" s="228" customFormat="1" ht="20.25">
      <c r="A800" s="161" t="s">
        <v>1404</v>
      </c>
      <c r="B800" s="408" t="s">
        <v>2324</v>
      </c>
      <c r="C800" s="297" t="str">
        <f>IF(LEN(A800)=0,"",INDEX('[2]Smelter Reference List'!$C$1:$C$65536,MATCH($A800,'[2]Smelter Reference List'!$E$1:$E$65536,0)))</f>
        <v>Thaisarco</v>
      </c>
      <c r="D800" s="161" t="s">
        <v>1951</v>
      </c>
      <c r="E800" s="161" t="s">
        <v>1743</v>
      </c>
      <c r="F800" s="161" t="s">
        <v>1404</v>
      </c>
      <c r="G800" s="161" t="s">
        <v>3125</v>
      </c>
      <c r="H800" s="247">
        <v>0</v>
      </c>
      <c r="I800" s="248" t="s">
        <v>3510</v>
      </c>
      <c r="J800" s="248" t="s">
        <v>3511</v>
      </c>
      <c r="K800" s="245"/>
      <c r="L800" s="245"/>
      <c r="M800" s="245"/>
      <c r="N800" s="245"/>
      <c r="O800" s="245"/>
      <c r="P800" s="245"/>
      <c r="Q800" s="246"/>
      <c r="R800" s="233"/>
      <c r="S800" s="234">
        <f>IF(C800="",NA(),MATCH($B800&amp;$C800,'Smelter Reference List'!$J:$J,0))</f>
        <v>445</v>
      </c>
      <c r="T800" s="235"/>
      <c r="U800" s="235">
        <f t="shared" si="20"/>
        <v>0</v>
      </c>
      <c r="V800" s="235"/>
      <c r="W800" s="235"/>
      <c r="Y800" s="228" t="str">
        <f t="shared" si="21"/>
        <v>TinThaisarco</v>
      </c>
    </row>
    <row r="801" spans="1:25" s="228" customFormat="1" ht="20.25">
      <c r="A801" s="161" t="s">
        <v>1399</v>
      </c>
      <c r="B801" s="408" t="s">
        <v>2324</v>
      </c>
      <c r="C801" s="297" t="str">
        <f>IF(LEN(A801)=0,"",INDEX('[2]Smelter Reference List'!$C$1:$C$65536,MATCH($A801,'[2]Smelter Reference List'!$E$1:$E$65536,0)))</f>
        <v>PT Timah (Persero) Tbk Mentok</v>
      </c>
      <c r="D801" s="161" t="s">
        <v>4266</v>
      </c>
      <c r="E801" s="161" t="s">
        <v>2238</v>
      </c>
      <c r="F801" s="161" t="s">
        <v>1399</v>
      </c>
      <c r="G801" s="161" t="s">
        <v>3125</v>
      </c>
      <c r="H801" s="247">
        <v>0</v>
      </c>
      <c r="I801" s="248" t="s">
        <v>3507</v>
      </c>
      <c r="J801" s="248" t="s">
        <v>3454</v>
      </c>
      <c r="K801" s="245"/>
      <c r="L801" s="245"/>
      <c r="M801" s="245"/>
      <c r="N801" s="245"/>
      <c r="O801" s="245"/>
      <c r="P801" s="245"/>
      <c r="Q801" s="246"/>
      <c r="R801" s="233"/>
      <c r="S801" s="234">
        <f>IF(C801="",NA(),MATCH($B801&amp;$C801,'Smelter Reference List'!$J:$J,0))</f>
        <v>432</v>
      </c>
      <c r="T801" s="235"/>
      <c r="U801" s="235">
        <f t="shared" si="20"/>
        <v>0</v>
      </c>
      <c r="V801" s="235"/>
      <c r="W801" s="235"/>
      <c r="Y801" s="228" t="str">
        <f t="shared" si="21"/>
        <v>TinPT Timah (Persero) Tbk Mentok</v>
      </c>
    </row>
    <row r="802" spans="1:25" s="228" customFormat="1" ht="20.25">
      <c r="A802" s="161" t="s">
        <v>1424</v>
      </c>
      <c r="B802" s="408" t="s">
        <v>2324</v>
      </c>
      <c r="C802" s="297" t="str">
        <f>IF(LEN(A802)=0,"",INDEX('[2]Smelter Reference List'!$C$1:$C$65536,MATCH($A802,'[2]Smelter Reference List'!$E$1:$E$65536,0)))</f>
        <v>PT Timah (Persero) Tbk Kundur</v>
      </c>
      <c r="D802" s="161" t="s">
        <v>3503</v>
      </c>
      <c r="E802" s="161" t="s">
        <v>2238</v>
      </c>
      <c r="F802" s="161" t="s">
        <v>1424</v>
      </c>
      <c r="G802" s="161" t="s">
        <v>3125</v>
      </c>
      <c r="H802" s="247">
        <v>0</v>
      </c>
      <c r="I802" s="248" t="s">
        <v>3504</v>
      </c>
      <c r="J802" s="248" t="s">
        <v>3505</v>
      </c>
      <c r="K802" s="245"/>
      <c r="L802" s="245"/>
      <c r="M802" s="245"/>
      <c r="N802" s="245"/>
      <c r="O802" s="245"/>
      <c r="P802" s="245"/>
      <c r="Q802" s="246"/>
      <c r="R802" s="233"/>
      <c r="S802" s="234">
        <f>IF(C802="",NA(),MATCH($B802&amp;$C802,'Smelter Reference List'!$J:$J,0))</f>
        <v>431</v>
      </c>
      <c r="T802" s="235"/>
      <c r="U802" s="235">
        <f t="shared" si="20"/>
        <v>0</v>
      </c>
      <c r="V802" s="235"/>
      <c r="W802" s="235"/>
      <c r="Y802" s="228" t="str">
        <f t="shared" si="21"/>
        <v>TinPT Timah (Persero) Tbk Kundur</v>
      </c>
    </row>
    <row r="803" spans="1:25" s="228" customFormat="1" ht="20.25">
      <c r="A803" s="408"/>
      <c r="B803" s="408" t="s">
        <v>2324</v>
      </c>
      <c r="C803" s="297" t="s">
        <v>3604</v>
      </c>
      <c r="D803" s="408" t="s">
        <v>5676</v>
      </c>
      <c r="E803" s="408" t="s">
        <v>2158</v>
      </c>
      <c r="F803" s="161">
        <v>0</v>
      </c>
      <c r="G803" s="228" t="s">
        <v>5584</v>
      </c>
      <c r="H803" s="247">
        <v>0</v>
      </c>
      <c r="I803" s="248">
        <v>0</v>
      </c>
      <c r="J803" s="248">
        <v>0</v>
      </c>
      <c r="K803" s="245"/>
      <c r="L803" s="245"/>
      <c r="M803" s="245"/>
      <c r="N803" s="245"/>
      <c r="O803" s="245"/>
      <c r="P803" s="245"/>
      <c r="Q803" s="246"/>
      <c r="R803" s="233"/>
      <c r="S803" s="234">
        <f>IF(C803="",NA(),MATCH($B803&amp;$C803,'Smelter Reference List'!$J:$J,0))</f>
        <v>467</v>
      </c>
      <c r="T803" s="235"/>
      <c r="U803" s="235">
        <f t="shared" si="20"/>
        <v>0</v>
      </c>
      <c r="V803" s="235"/>
      <c r="W803" s="235"/>
      <c r="Y803" s="228" t="str">
        <f t="shared" si="21"/>
        <v>TinSmelter not listed</v>
      </c>
    </row>
    <row r="804" spans="1:25" s="228" customFormat="1" ht="20.25">
      <c r="A804" s="161" t="s">
        <v>1402</v>
      </c>
      <c r="B804" s="408" t="s">
        <v>2324</v>
      </c>
      <c r="C804" s="297" t="str">
        <f>IF(LEN(A804)=0,"",INDEX('[2]Smelter Reference List'!$C$1:$C$65536,MATCH($A804,'[2]Smelter Reference List'!$E$1:$E$65536,0)))</f>
        <v>Rui Da Hung</v>
      </c>
      <c r="D804" s="161" t="s">
        <v>1401</v>
      </c>
      <c r="E804" s="161" t="s">
        <v>1753</v>
      </c>
      <c r="F804" s="161" t="s">
        <v>1402</v>
      </c>
      <c r="G804" s="161" t="s">
        <v>3125</v>
      </c>
      <c r="H804" s="247">
        <v>0</v>
      </c>
      <c r="I804" s="248" t="s">
        <v>3508</v>
      </c>
      <c r="J804" s="248" t="s">
        <v>3296</v>
      </c>
      <c r="K804" s="245"/>
      <c r="L804" s="245"/>
      <c r="M804" s="245"/>
      <c r="N804" s="245"/>
      <c r="O804" s="245"/>
      <c r="P804" s="245"/>
      <c r="Q804" s="246"/>
      <c r="R804" s="233"/>
      <c r="S804" s="234">
        <f>IF(C804="",NA(),MATCH($B804&amp;$C804,'Smelter Reference List'!$J:$J,0))</f>
        <v>439</v>
      </c>
      <c r="T804" s="235"/>
      <c r="U804" s="235">
        <f t="shared" si="20"/>
        <v>0</v>
      </c>
      <c r="V804" s="235"/>
      <c r="W804" s="235"/>
      <c r="Y804" s="228" t="str">
        <f t="shared" si="21"/>
        <v>TinRui Da Hung</v>
      </c>
    </row>
    <row r="805" spans="1:25" s="228" customFormat="1" ht="20.25">
      <c r="A805" s="408" t="s">
        <v>1403</v>
      </c>
      <c r="B805" s="408" t="s">
        <v>2324</v>
      </c>
      <c r="C805" s="297" t="str">
        <f>IF(LEN(A805)=0,"",INDEX('[2]Smelter Reference List'!$C$1:$C$65536,MATCH($A805,'[2]Smelter Reference List'!$E$1:$E$65536,0)))</f>
        <v>Soft Metais Ltda.</v>
      </c>
      <c r="D805" s="161" t="s">
        <v>4176</v>
      </c>
      <c r="E805" s="161" t="s">
        <v>2170</v>
      </c>
      <c r="F805" s="161" t="s">
        <v>1403</v>
      </c>
      <c r="G805" s="161" t="s">
        <v>3125</v>
      </c>
      <c r="H805" s="247">
        <v>0</v>
      </c>
      <c r="I805" s="248" t="s">
        <v>3509</v>
      </c>
      <c r="J805" s="248" t="s">
        <v>3313</v>
      </c>
      <c r="K805" s="245"/>
      <c r="L805" s="245"/>
      <c r="M805" s="245"/>
      <c r="N805" s="245"/>
      <c r="O805" s="245"/>
      <c r="P805" s="245"/>
      <c r="Q805" s="246"/>
      <c r="R805" s="233"/>
      <c r="S805" s="234">
        <f>IF(C805="",NA(),MATCH($B805&amp;$C805,'Smelter Reference List'!$J:$J,0))</f>
        <v>442</v>
      </c>
      <c r="T805" s="235"/>
      <c r="U805" s="235">
        <f t="shared" si="20"/>
        <v>0</v>
      </c>
      <c r="V805" s="235"/>
      <c r="W805" s="235"/>
      <c r="Y805" s="228" t="str">
        <f t="shared" si="21"/>
        <v>TinSoft Metais Ltda.</v>
      </c>
    </row>
    <row r="806" spans="1:25" s="228" customFormat="1" ht="20.25">
      <c r="A806" s="408" t="s">
        <v>1377</v>
      </c>
      <c r="B806" s="408" t="s">
        <v>2324</v>
      </c>
      <c r="C806" s="297" t="str">
        <f>IF(LEN(A806)=0,"",INDEX('[2]Smelter Reference List'!$C$1:$C$65536,MATCH($A806,'[2]Smelter Reference List'!$E$1:$E$65536,0)))</f>
        <v>China Tin Group Co., Ltd.</v>
      </c>
      <c r="D806" s="161" t="s">
        <v>2578</v>
      </c>
      <c r="E806" s="161" t="s">
        <v>2181</v>
      </c>
      <c r="F806" s="161" t="s">
        <v>1377</v>
      </c>
      <c r="G806" s="161" t="s">
        <v>3125</v>
      </c>
      <c r="H806" s="247">
        <v>0</v>
      </c>
      <c r="I806" s="248" t="s">
        <v>3476</v>
      </c>
      <c r="J806" s="248" t="s">
        <v>3442</v>
      </c>
      <c r="K806" s="245"/>
      <c r="L806" s="245"/>
      <c r="M806" s="245"/>
      <c r="N806" s="245"/>
      <c r="O806" s="245"/>
      <c r="P806" s="245"/>
      <c r="Q806" s="246"/>
      <c r="R806" s="233"/>
      <c r="S806" s="234">
        <f>IF(C806="",NA(),MATCH($B806&amp;$C806,'Smelter Reference List'!$J:$J,0))</f>
        <v>318</v>
      </c>
      <c r="T806" s="235"/>
      <c r="U806" s="235">
        <f t="shared" si="20"/>
        <v>0</v>
      </c>
      <c r="V806" s="235"/>
      <c r="W806" s="235"/>
      <c r="Y806" s="228" t="str">
        <f t="shared" si="21"/>
        <v>TinChina Tin Group Co., Ltd.</v>
      </c>
    </row>
    <row r="807" spans="1:25" s="228" customFormat="1" ht="20.25">
      <c r="A807" s="408" t="s">
        <v>1416</v>
      </c>
      <c r="B807" s="408" t="s">
        <v>2326</v>
      </c>
      <c r="C807" s="297" t="str">
        <f>IF(LEN(A807)=0,"",INDEX('[2]Smelter Reference List'!$C$1:$C$65536,MATCH($A807,'[2]Smelter Reference List'!$E$1:$E$65536,0)))</f>
        <v>Hunan Chunchang Nonferrous Metals Co., Ltd.</v>
      </c>
      <c r="D807" s="161" t="s">
        <v>2661</v>
      </c>
      <c r="E807" s="161" t="s">
        <v>2181</v>
      </c>
      <c r="F807" s="161" t="s">
        <v>1416</v>
      </c>
      <c r="G807" s="161" t="s">
        <v>3125</v>
      </c>
      <c r="H807" s="247">
        <v>0</v>
      </c>
      <c r="I807" s="248" t="s">
        <v>3407</v>
      </c>
      <c r="J807" s="248" t="s">
        <v>3186</v>
      </c>
      <c r="K807" s="245"/>
      <c r="L807" s="245"/>
      <c r="M807" s="245"/>
      <c r="N807" s="245"/>
      <c r="O807" s="245"/>
      <c r="P807" s="245"/>
      <c r="Q807" s="246"/>
      <c r="R807" s="233"/>
      <c r="S807" s="234">
        <f>IF(C807="",NA(),MATCH($B807&amp;$C807,'Smelter Reference List'!$J:$J,0))</f>
        <v>500</v>
      </c>
      <c r="T807" s="235"/>
      <c r="U807" s="235">
        <f t="shared" si="20"/>
        <v>0</v>
      </c>
      <c r="V807" s="235"/>
      <c r="W807" s="235"/>
      <c r="Y807" s="228" t="str">
        <f t="shared" si="21"/>
        <v>TungstenHunan Chunchang Nonferrous Metals Co., Ltd.</v>
      </c>
    </row>
    <row r="808" spans="1:25" s="228" customFormat="1" ht="20.25">
      <c r="A808" s="161" t="s">
        <v>1423</v>
      </c>
      <c r="B808" s="408" t="s">
        <v>2326</v>
      </c>
      <c r="C808" s="297" t="str">
        <f>IF(LEN(A808)=0,"",INDEX('[2]Smelter Reference List'!$C$1:$C$65536,MATCH($A808,'[2]Smelter Reference List'!$E$1:$E$65536,0)))</f>
        <v>Xiamen Tungsten Co., Ltd.</v>
      </c>
      <c r="D808" s="161" t="s">
        <v>2663</v>
      </c>
      <c r="E808" s="161" t="s">
        <v>2181</v>
      </c>
      <c r="F808" s="161" t="s">
        <v>1423</v>
      </c>
      <c r="G808" s="161" t="s">
        <v>3125</v>
      </c>
      <c r="H808" s="247">
        <v>0</v>
      </c>
      <c r="I808" s="248" t="s">
        <v>3569</v>
      </c>
      <c r="J808" s="248" t="s">
        <v>3332</v>
      </c>
      <c r="K808" s="245"/>
      <c r="L808" s="245"/>
      <c r="M808" s="245"/>
      <c r="N808" s="245"/>
      <c r="O808" s="245"/>
      <c r="P808" s="245"/>
      <c r="Q808" s="246"/>
      <c r="R808" s="233"/>
      <c r="S808" s="234">
        <f>IF(C808="",NA(),MATCH($B808&amp;$C808,'Smelter Reference List'!$J:$J,0))</f>
        <v>532</v>
      </c>
      <c r="T808" s="235"/>
      <c r="U808" s="235">
        <f t="shared" si="20"/>
        <v>0</v>
      </c>
      <c r="V808" s="235"/>
      <c r="W808" s="235"/>
      <c r="Y808" s="228" t="str">
        <f t="shared" si="21"/>
        <v>TungstenXiamen Tungsten Co., Ltd.</v>
      </c>
    </row>
    <row r="809" spans="1:25" s="228" customFormat="1" ht="20.25">
      <c r="A809" s="408" t="s">
        <v>1410</v>
      </c>
      <c r="B809" s="408" t="s">
        <v>2326</v>
      </c>
      <c r="C809" s="297" t="str">
        <f>IF(LEN(A809)=0,"",INDEX('[2]Smelter Reference List'!$C$1:$C$65536,MATCH($A809,'[2]Smelter Reference List'!$E$1:$E$65536,0)))</f>
        <v>Guangdong Xianglu Tungsten Co., Ltd.</v>
      </c>
      <c r="D809" s="161" t="s">
        <v>2660</v>
      </c>
      <c r="E809" s="161" t="s">
        <v>2181</v>
      </c>
      <c r="F809" s="161" t="s">
        <v>1410</v>
      </c>
      <c r="G809" s="161" t="s">
        <v>3125</v>
      </c>
      <c r="H809" s="247">
        <v>0</v>
      </c>
      <c r="I809" s="248" t="s">
        <v>3557</v>
      </c>
      <c r="J809" s="248" t="s">
        <v>3335</v>
      </c>
      <c r="K809" s="245"/>
      <c r="L809" s="245"/>
      <c r="M809" s="245"/>
      <c r="N809" s="245"/>
      <c r="O809" s="245"/>
      <c r="P809" s="245"/>
      <c r="Q809" s="246"/>
      <c r="R809" s="233"/>
      <c r="S809" s="234">
        <f>IF(C809="",NA(),MATCH($B809&amp;$C809,'Smelter Reference List'!$J:$J,0))</f>
        <v>492</v>
      </c>
      <c r="T809" s="235"/>
      <c r="U809" s="235">
        <f t="shared" si="20"/>
        <v>0</v>
      </c>
      <c r="V809" s="235"/>
      <c r="W809" s="235"/>
      <c r="Y809" s="228" t="str">
        <f t="shared" si="21"/>
        <v>TungstenGuangdong Xianglu Tungsten Co., Ltd.</v>
      </c>
    </row>
    <row r="810" spans="1:25" s="228" customFormat="1" ht="20.25">
      <c r="A810" s="408" t="s">
        <v>1419</v>
      </c>
      <c r="B810" s="408" t="s">
        <v>2326</v>
      </c>
      <c r="C810" s="297" t="str">
        <f>IF(LEN(A810)=0,"",INDEX('[2]Smelter Reference List'!$C$1:$C$65536,MATCH($A810,'[2]Smelter Reference List'!$E$1:$E$65536,0)))</f>
        <v>Ganzhou Huaxing Tungsten Products Co., Ltd.</v>
      </c>
      <c r="D810" s="161" t="s">
        <v>211</v>
      </c>
      <c r="E810" s="161" t="s">
        <v>2181</v>
      </c>
      <c r="F810" s="161" t="s">
        <v>1419</v>
      </c>
      <c r="G810" s="161" t="s">
        <v>3125</v>
      </c>
      <c r="H810" s="247">
        <v>0</v>
      </c>
      <c r="I810" s="248" t="s">
        <v>3471</v>
      </c>
      <c r="J810" s="248" t="s">
        <v>3204</v>
      </c>
      <c r="K810" s="245"/>
      <c r="L810" s="245"/>
      <c r="M810" s="245"/>
      <c r="N810" s="245"/>
      <c r="O810" s="245"/>
      <c r="P810" s="245"/>
      <c r="Q810" s="246"/>
      <c r="R810" s="233"/>
      <c r="S810" s="234">
        <f>IF(C810="",NA(),MATCH($B810&amp;$C810,'Smelter Reference List'!$J:$J,0))</f>
        <v>485</v>
      </c>
      <c r="T810" s="235"/>
      <c r="U810" s="235">
        <f t="shared" si="20"/>
        <v>0</v>
      </c>
      <c r="V810" s="235"/>
      <c r="W810" s="235"/>
      <c r="Y810" s="228" t="str">
        <f t="shared" si="21"/>
        <v>TungstenGanzhou Huaxing Tungsten Products Co., Ltd.</v>
      </c>
    </row>
    <row r="811" spans="1:25" s="228" customFormat="1" ht="20.25">
      <c r="A811" s="408" t="s">
        <v>1408</v>
      </c>
      <c r="B811" s="408" t="s">
        <v>2326</v>
      </c>
      <c r="C811" s="297" t="str">
        <f>IF(LEN(A811)=0,"",INDEX('[2]Smelter Reference List'!$C$1:$C$65536,MATCH($A811,'[2]Smelter Reference List'!$E$1:$E$65536,0)))</f>
        <v>A.L.M.T. TUNGSTEN Corp.</v>
      </c>
      <c r="D811" s="161" t="s">
        <v>3552</v>
      </c>
      <c r="E811" s="161" t="s">
        <v>2249</v>
      </c>
      <c r="F811" s="161" t="s">
        <v>1408</v>
      </c>
      <c r="G811" s="161" t="s">
        <v>3125</v>
      </c>
      <c r="H811" s="247">
        <v>0</v>
      </c>
      <c r="I811" s="248" t="s">
        <v>4135</v>
      </c>
      <c r="J811" s="248" t="s">
        <v>4136</v>
      </c>
      <c r="K811" s="245"/>
      <c r="L811" s="245"/>
      <c r="M811" s="245"/>
      <c r="N811" s="245"/>
      <c r="O811" s="245"/>
      <c r="P811" s="245"/>
      <c r="Q811" s="246"/>
      <c r="R811" s="233"/>
      <c r="S811" s="234">
        <f>IF(C811="",NA(),MATCH($B811&amp;$C811,'Smelter Reference List'!$J:$J,0))</f>
        <v>469</v>
      </c>
      <c r="T811" s="235"/>
      <c r="U811" s="235">
        <f t="shared" si="20"/>
        <v>0</v>
      </c>
      <c r="V811" s="235"/>
      <c r="W811" s="235"/>
      <c r="Y811" s="228" t="str">
        <f t="shared" si="21"/>
        <v>TungstenA.L.M.T. TUNGSTEN Corp.</v>
      </c>
    </row>
    <row r="812" spans="1:25" s="228" customFormat="1" ht="20.25">
      <c r="A812" s="408"/>
      <c r="B812" s="408" t="s">
        <v>2326</v>
      </c>
      <c r="C812" s="297" t="s">
        <v>3604</v>
      </c>
      <c r="D812" s="408" t="s">
        <v>5814</v>
      </c>
      <c r="E812" s="408" t="s">
        <v>1717</v>
      </c>
      <c r="F812" s="161">
        <v>0</v>
      </c>
      <c r="G812" s="228" t="s">
        <v>5584</v>
      </c>
      <c r="H812" s="409"/>
      <c r="I812" s="409"/>
      <c r="J812" s="409"/>
      <c r="K812" s="409"/>
      <c r="L812" s="409"/>
      <c r="M812" s="409"/>
      <c r="N812" s="245"/>
      <c r="O812" s="245"/>
      <c r="P812" s="245"/>
      <c r="Q812" s="246"/>
      <c r="R812" s="233"/>
      <c r="S812" s="234">
        <f>IF(C812="",NA(),MATCH($B812&amp;$C812,'Smelter Reference List'!$J:$J,0))</f>
        <v>536</v>
      </c>
      <c r="T812" s="235"/>
      <c r="U812" s="235">
        <f t="shared" si="20"/>
        <v>0</v>
      </c>
      <c r="V812" s="235"/>
      <c r="W812" s="235"/>
      <c r="Y812" s="228" t="str">
        <f t="shared" si="21"/>
        <v>TungstenSmelter not listed</v>
      </c>
    </row>
    <row r="813" spans="1:25" s="228" customFormat="1" ht="20.25">
      <c r="A813" s="161" t="s">
        <v>722</v>
      </c>
      <c r="B813" s="408" t="s">
        <v>2326</v>
      </c>
      <c r="C813" s="297" t="str">
        <f>IF(LEN(A813)=0,"",INDEX('[2]Smelter Reference List'!$C$1:$C$65536,MATCH($A813,'[2]Smelter Reference List'!$E$1:$E$65536,0)))</f>
        <v>Ganzhou Seadragon W &amp; Mo Co., Ltd.</v>
      </c>
      <c r="D813" s="161" t="s">
        <v>721</v>
      </c>
      <c r="E813" s="161" t="s">
        <v>2181</v>
      </c>
      <c r="F813" s="161" t="s">
        <v>722</v>
      </c>
      <c r="G813" s="161" t="s">
        <v>3125</v>
      </c>
      <c r="H813" s="247">
        <v>0</v>
      </c>
      <c r="I813" s="248" t="s">
        <v>3471</v>
      </c>
      <c r="J813" s="248" t="s">
        <v>3204</v>
      </c>
      <c r="K813" s="245"/>
      <c r="L813" s="245"/>
      <c r="M813" s="245"/>
      <c r="N813" s="245"/>
      <c r="O813" s="245"/>
      <c r="P813" s="245"/>
      <c r="Q813" s="246"/>
      <c r="R813" s="233"/>
      <c r="S813" s="234">
        <f>IF(C813="",NA(),MATCH($B813&amp;$C813,'Smelter Reference List'!$J:$J,0))</f>
        <v>488</v>
      </c>
      <c r="T813" s="235"/>
      <c r="U813" s="235">
        <f t="shared" si="20"/>
        <v>0</v>
      </c>
      <c r="V813" s="235"/>
      <c r="W813" s="235"/>
      <c r="Y813" s="228" t="str">
        <f t="shared" si="21"/>
        <v>TungstenGanzhou Seadragon W &amp; Mo Co., Ltd.</v>
      </c>
    </row>
    <row r="814" spans="1:25" s="228" customFormat="1" ht="20.25">
      <c r="A814" s="161" t="s">
        <v>1414</v>
      </c>
      <c r="B814" s="408" t="s">
        <v>2326</v>
      </c>
      <c r="C814" s="297" t="str">
        <f>IF(LEN(A814)=0,"",INDEX('[2]Smelter Reference List'!$C$1:$C$65536,MATCH($A814,'[2]Smelter Reference List'!$E$1:$E$65536,0)))</f>
        <v>Global Tungsten &amp; Powders Corp.</v>
      </c>
      <c r="D814" s="161" t="s">
        <v>1</v>
      </c>
      <c r="E814" s="161" t="s">
        <v>1759</v>
      </c>
      <c r="F814" s="161" t="s">
        <v>1414</v>
      </c>
      <c r="G814" s="161" t="s">
        <v>3125</v>
      </c>
      <c r="H814" s="247">
        <v>0</v>
      </c>
      <c r="I814" s="248" t="s">
        <v>3560</v>
      </c>
      <c r="J814" s="248" t="s">
        <v>3401</v>
      </c>
      <c r="K814" s="245"/>
      <c r="L814" s="245"/>
      <c r="M814" s="245"/>
      <c r="N814" s="245"/>
      <c r="O814" s="245"/>
      <c r="P814" s="245"/>
      <c r="Q814" s="246"/>
      <c r="R814" s="233"/>
      <c r="S814" s="234">
        <f>IF(C814="",NA(),MATCH($B814&amp;$C814,'Smelter Reference List'!$J:$J,0))</f>
        <v>490</v>
      </c>
      <c r="T814" s="235"/>
      <c r="U814" s="235">
        <f t="shared" si="20"/>
        <v>0</v>
      </c>
      <c r="V814" s="235"/>
      <c r="W814" s="235"/>
      <c r="Y814" s="228" t="str">
        <f t="shared" si="21"/>
        <v>TungstenGlobal Tungsten &amp; Powders Corp.</v>
      </c>
    </row>
    <row r="815" spans="1:25" s="228" customFormat="1" ht="20.25">
      <c r="A815" s="161" t="s">
        <v>203</v>
      </c>
      <c r="B815" s="408" t="s">
        <v>2326</v>
      </c>
      <c r="C815" s="297" t="str">
        <f>IF(LEN(A815)=0,"",INDEX('[2]Smelter Reference List'!$C$1:$C$65536,MATCH($A815,'[2]Smelter Reference List'!$E$1:$E$65536,0)))</f>
        <v>Jiangxi Xinsheng Tungsten Industry Co., Ltd.</v>
      </c>
      <c r="D815" s="161" t="s">
        <v>215</v>
      </c>
      <c r="E815" s="161" t="s">
        <v>2181</v>
      </c>
      <c r="F815" s="161" t="s">
        <v>203</v>
      </c>
      <c r="G815" s="161" t="s">
        <v>3125</v>
      </c>
      <c r="H815" s="247">
        <v>0</v>
      </c>
      <c r="I815" s="248" t="s">
        <v>3471</v>
      </c>
      <c r="J815" s="248" t="s">
        <v>3204</v>
      </c>
      <c r="K815" s="245"/>
      <c r="L815" s="245"/>
      <c r="M815" s="245"/>
      <c r="N815" s="245"/>
      <c r="O815" s="245"/>
      <c r="P815" s="245"/>
      <c r="Q815" s="246"/>
      <c r="R815" s="233"/>
      <c r="S815" s="234">
        <f>IF(C815="",NA(),MATCH($B815&amp;$C815,'Smelter Reference List'!$J:$J,0))</f>
        <v>510</v>
      </c>
      <c r="T815" s="235"/>
      <c r="U815" s="235">
        <f t="shared" si="20"/>
        <v>0</v>
      </c>
      <c r="V815" s="235"/>
      <c r="W815" s="235"/>
      <c r="Y815" s="228" t="str">
        <f t="shared" si="21"/>
        <v>TungstenJiangxi Xinsheng Tungsten Industry Co., Ltd.</v>
      </c>
    </row>
    <row r="816" spans="1:25" s="228" customFormat="1" ht="20.25">
      <c r="A816" s="408"/>
      <c r="B816" s="408" t="s">
        <v>2323</v>
      </c>
      <c r="C816" s="297" t="s">
        <v>3604</v>
      </c>
      <c r="D816" s="408" t="s">
        <v>5852</v>
      </c>
      <c r="E816" s="408" t="s">
        <v>2181</v>
      </c>
      <c r="F816" s="161">
        <v>0</v>
      </c>
      <c r="G816" s="161" t="s">
        <v>5584</v>
      </c>
      <c r="H816" s="409" t="s">
        <v>5853</v>
      </c>
      <c r="I816" s="409" t="s">
        <v>5854</v>
      </c>
      <c r="J816" s="409" t="s">
        <v>5854</v>
      </c>
      <c r="K816" s="409" t="s">
        <v>5855</v>
      </c>
      <c r="L816" s="409" t="s">
        <v>5856</v>
      </c>
      <c r="M816" s="409" t="s">
        <v>5841</v>
      </c>
      <c r="N816" s="409" t="s">
        <v>5841</v>
      </c>
      <c r="O816" s="409" t="s">
        <v>5841</v>
      </c>
      <c r="P816" s="409" t="s">
        <v>925</v>
      </c>
      <c r="Q816" s="411"/>
      <c r="R816" s="233"/>
      <c r="S816" s="234">
        <f>IF(C816="",NA(),MATCH($B816&amp;$C816,'Smelter Reference List'!$J:$J,0))</f>
        <v>238</v>
      </c>
      <c r="T816" s="235"/>
      <c r="U816" s="235">
        <f t="shared" si="20"/>
        <v>0</v>
      </c>
      <c r="V816" s="235"/>
      <c r="W816" s="235"/>
      <c r="Y816" s="228" t="str">
        <f t="shared" si="21"/>
        <v>GoldSmelter not listed</v>
      </c>
    </row>
    <row r="817" spans="1:25" s="228" customFormat="1" ht="20.25">
      <c r="A817" s="161" t="s">
        <v>727</v>
      </c>
      <c r="B817" s="408" t="s">
        <v>2323</v>
      </c>
      <c r="C817" s="297" t="str">
        <f>IF(LEN(A817)=0,"",INDEX('[2]Smelter Reference List'!$C$1:$C$65536,MATCH($A817,'[2]Smelter Reference List'!$E$1:$E$65536,0)))</f>
        <v>Eco-System Recycling Co., Ltd.</v>
      </c>
      <c r="D817" s="161" t="s">
        <v>726</v>
      </c>
      <c r="E817" s="161" t="s">
        <v>2249</v>
      </c>
      <c r="F817" s="161" t="s">
        <v>727</v>
      </c>
      <c r="G817" s="161" t="s">
        <v>3125</v>
      </c>
      <c r="H817" s="247">
        <v>0</v>
      </c>
      <c r="I817" s="248" t="s">
        <v>3178</v>
      </c>
      <c r="J817" s="248" t="s">
        <v>3179</v>
      </c>
      <c r="K817" s="245"/>
      <c r="L817" s="245"/>
      <c r="M817" s="245"/>
      <c r="N817" s="245"/>
      <c r="O817" s="245"/>
      <c r="P817" s="245"/>
      <c r="Q817" s="246"/>
      <c r="R817" s="233"/>
      <c r="S817" s="234">
        <f>IF(C817="",NA(),MATCH($B817&amp;$C817,'Smelter Reference List'!$J:$J,0))</f>
        <v>54</v>
      </c>
      <c r="T817" s="235"/>
      <c r="U817" s="235">
        <f t="shared" si="20"/>
        <v>0</v>
      </c>
      <c r="V817" s="235"/>
      <c r="W817" s="235"/>
      <c r="Y817" s="228" t="str">
        <f t="shared" si="21"/>
        <v>GoldEco-System Recycling Co., Ltd.</v>
      </c>
    </row>
    <row r="818" spans="1:25" s="228" customFormat="1" ht="20.25">
      <c r="A818" s="161" t="s">
        <v>1269</v>
      </c>
      <c r="B818" s="408" t="s">
        <v>2323</v>
      </c>
      <c r="C818" s="297" t="str">
        <f>IF(LEN(A818)=0,"",INDEX('[2]Smelter Reference List'!$C$1:$C$65536,MATCH($A818,'[2]Smelter Reference List'!$E$1:$E$65536,0)))</f>
        <v>Ishifuku Metal Industry Co., Ltd.</v>
      </c>
      <c r="D818" s="161" t="s">
        <v>2452</v>
      </c>
      <c r="E818" s="161" t="s">
        <v>2249</v>
      </c>
      <c r="F818" s="161" t="s">
        <v>1269</v>
      </c>
      <c r="G818" s="161" t="s">
        <v>3125</v>
      </c>
      <c r="H818" s="247">
        <v>0</v>
      </c>
      <c r="I818" s="248" t="s">
        <v>3199</v>
      </c>
      <c r="J818" s="248" t="s">
        <v>3179</v>
      </c>
      <c r="K818" s="245"/>
      <c r="L818" s="245"/>
      <c r="M818" s="245"/>
      <c r="N818" s="245"/>
      <c r="O818" s="245"/>
      <c r="P818" s="245"/>
      <c r="Q818" s="246"/>
      <c r="R818" s="233"/>
      <c r="S818" s="234">
        <f>IF(C818="",NA(),MATCH($B818&amp;$C818,'Smelter Reference List'!$J:$J,0))</f>
        <v>82</v>
      </c>
      <c r="T818" s="235"/>
      <c r="U818" s="235">
        <f t="shared" si="20"/>
        <v>0</v>
      </c>
      <c r="V818" s="235"/>
      <c r="W818" s="235"/>
      <c r="Y818" s="228" t="str">
        <f t="shared" si="21"/>
        <v>GoldIshifuku Metal Industry Co., Ltd.</v>
      </c>
    </row>
    <row r="819" spans="1:25" s="228" customFormat="1" ht="20.25">
      <c r="A819" s="161" t="s">
        <v>1277</v>
      </c>
      <c r="B819" s="408" t="s">
        <v>2323</v>
      </c>
      <c r="C819" s="297" t="str">
        <f>IF(LEN(A819)=0,"",INDEX('[2]Smelter Reference List'!$C$1:$C$65536,MATCH($A819,'[2]Smelter Reference List'!$E$1:$E$65536,0)))</f>
        <v>JX Nippon Mining &amp; Metals Co., Ltd.</v>
      </c>
      <c r="D819" s="161" t="s">
        <v>73</v>
      </c>
      <c r="E819" s="161" t="s">
        <v>2249</v>
      </c>
      <c r="F819" s="161" t="s">
        <v>1277</v>
      </c>
      <c r="G819" s="161" t="s">
        <v>3125</v>
      </c>
      <c r="H819" s="247">
        <v>0</v>
      </c>
      <c r="I819" s="248" t="s">
        <v>4844</v>
      </c>
      <c r="J819" s="248" t="s">
        <v>4844</v>
      </c>
      <c r="K819" s="245"/>
      <c r="L819" s="245"/>
      <c r="M819" s="245"/>
      <c r="N819" s="245"/>
      <c r="O819" s="245"/>
      <c r="P819" s="245"/>
      <c r="Q819" s="246"/>
      <c r="R819" s="233"/>
      <c r="S819" s="234">
        <f>IF(C819="",NA(),MATCH($B819&amp;$C819,'Smelter Reference List'!$J:$J,0))</f>
        <v>93</v>
      </c>
      <c r="T819" s="235"/>
      <c r="U819" s="235">
        <f t="shared" si="20"/>
        <v>0</v>
      </c>
      <c r="V819" s="235"/>
      <c r="W819" s="235"/>
      <c r="Y819" s="228" t="str">
        <f t="shared" si="21"/>
        <v>GoldJX Nippon Mining &amp; Metals Co., Ltd.</v>
      </c>
    </row>
    <row r="820" spans="1:25" s="228" customFormat="1" ht="20.25">
      <c r="A820" s="161" t="s">
        <v>1290</v>
      </c>
      <c r="B820" s="408" t="s">
        <v>2323</v>
      </c>
      <c r="C820" s="297" t="str">
        <f>IF(LEN(A820)=0,"",INDEX('[2]Smelter Reference List'!$C$1:$C$65536,MATCH($A820,'[2]Smelter Reference List'!$E$1:$E$65536,0)))</f>
        <v>Matsuda Sangyo Co., Ltd.</v>
      </c>
      <c r="D820" s="161" t="s">
        <v>75</v>
      </c>
      <c r="E820" s="161" t="s">
        <v>2249</v>
      </c>
      <c r="F820" s="161" t="s">
        <v>1290</v>
      </c>
      <c r="G820" s="161" t="s">
        <v>3125</v>
      </c>
      <c r="H820" s="247">
        <v>0</v>
      </c>
      <c r="I820" s="248" t="s">
        <v>3231</v>
      </c>
      <c r="J820" s="248" t="s">
        <v>3179</v>
      </c>
      <c r="K820" s="245"/>
      <c r="L820" s="245"/>
      <c r="M820" s="245"/>
      <c r="N820" s="245"/>
      <c r="O820" s="245"/>
      <c r="P820" s="245"/>
      <c r="Q820" s="246"/>
      <c r="R820" s="233"/>
      <c r="S820" s="234">
        <f>IF(C820="",NA(),MATCH($B820&amp;$C820,'Smelter Reference List'!$J:$J,0))</f>
        <v>116</v>
      </c>
      <c r="T820" s="235"/>
      <c r="U820" s="235">
        <f t="shared" si="20"/>
        <v>0</v>
      </c>
      <c r="V820" s="235"/>
      <c r="W820" s="235"/>
      <c r="Y820" s="228" t="str">
        <f t="shared" si="21"/>
        <v>GoldMatsuda Sangyo Co., Ltd.</v>
      </c>
    </row>
    <row r="821" spans="1:25" s="228" customFormat="1" ht="20.25">
      <c r="A821" s="161" t="s">
        <v>1296</v>
      </c>
      <c r="B821" s="408" t="s">
        <v>2323</v>
      </c>
      <c r="C821" s="297" t="str">
        <f>IF(LEN(A821)=0,"",INDEX('[2]Smelter Reference List'!$C$1:$C$65536,MATCH($A821,'[2]Smelter Reference List'!$E$1:$E$65536,0)))</f>
        <v>Mitsubishi Materials Corporation</v>
      </c>
      <c r="D821" s="161" t="s">
        <v>2371</v>
      </c>
      <c r="E821" s="161" t="s">
        <v>2249</v>
      </c>
      <c r="F821" s="161" t="s">
        <v>1296</v>
      </c>
      <c r="G821" s="161" t="s">
        <v>3125</v>
      </c>
      <c r="H821" s="247">
        <v>0</v>
      </c>
      <c r="I821" s="248" t="s">
        <v>3245</v>
      </c>
      <c r="J821" s="248" t="s">
        <v>4283</v>
      </c>
      <c r="K821" s="245"/>
      <c r="L821" s="245"/>
      <c r="M821" s="245"/>
      <c r="N821" s="245"/>
      <c r="O821" s="245"/>
      <c r="P821" s="245"/>
      <c r="Q821" s="246"/>
      <c r="R821" s="233"/>
      <c r="S821" s="234">
        <f>IF(C821="",NA(),MATCH($B821&amp;$C821,'Smelter Reference List'!$J:$J,0))</f>
        <v>128</v>
      </c>
      <c r="T821" s="235"/>
      <c r="U821" s="235">
        <f t="shared" si="20"/>
        <v>0</v>
      </c>
      <c r="V821" s="235"/>
      <c r="W821" s="235"/>
      <c r="Y821" s="228" t="str">
        <f t="shared" si="21"/>
        <v>GoldMitsubishi Materials Corporation</v>
      </c>
    </row>
    <row r="822" spans="1:25" s="228" customFormat="1" ht="20.25">
      <c r="A822" s="161" t="s">
        <v>1297</v>
      </c>
      <c r="B822" s="408" t="s">
        <v>2323</v>
      </c>
      <c r="C822" s="297" t="str">
        <f>IF(LEN(A822)=0,"",INDEX('[2]Smelter Reference List'!$C$1:$C$65536,MATCH($A822,'[2]Smelter Reference List'!$E$1:$E$65536,0)))</f>
        <v>Mitsui Mining and Smelting Co., Ltd.</v>
      </c>
      <c r="D822" s="161" t="s">
        <v>2454</v>
      </c>
      <c r="E822" s="161" t="s">
        <v>2249</v>
      </c>
      <c r="F822" s="161" t="s">
        <v>1297</v>
      </c>
      <c r="G822" s="161" t="s">
        <v>3125</v>
      </c>
      <c r="H822" s="247">
        <v>0</v>
      </c>
      <c r="I822" s="248" t="s">
        <v>3247</v>
      </c>
      <c r="J822" s="248" t="s">
        <v>3246</v>
      </c>
      <c r="K822" s="245"/>
      <c r="L822" s="245"/>
      <c r="M822" s="245"/>
      <c r="N822" s="245"/>
      <c r="O822" s="245"/>
      <c r="P822" s="245"/>
      <c r="Q822" s="246"/>
      <c r="R822" s="233"/>
      <c r="S822" s="234">
        <f>IF(C822="",NA(),MATCH($B822&amp;$C822,'Smelter Reference List'!$J:$J,0))</f>
        <v>130</v>
      </c>
      <c r="T822" s="235"/>
      <c r="U822" s="235">
        <f t="shared" si="20"/>
        <v>0</v>
      </c>
      <c r="V822" s="235"/>
      <c r="W822" s="235"/>
      <c r="Y822" s="228" t="str">
        <f t="shared" si="21"/>
        <v>GoldMitsui Mining and Smelting Co., Ltd.</v>
      </c>
    </row>
    <row r="823" spans="1:25" s="228" customFormat="1" ht="20.25">
      <c r="A823" s="408" t="s">
        <v>1301</v>
      </c>
      <c r="B823" s="408" t="s">
        <v>2323</v>
      </c>
      <c r="C823" s="297" t="str">
        <f>IF(LEN(A823)=0,"",INDEX('[2]Smelter Reference List'!$C$1:$C$65536,MATCH($A823,'[2]Smelter Reference List'!$E$1:$E$65536,0)))</f>
        <v>Nihon Material Co., Ltd.</v>
      </c>
      <c r="D823" s="161" t="s">
        <v>4166</v>
      </c>
      <c r="E823" s="161" t="s">
        <v>2249</v>
      </c>
      <c r="F823" s="161" t="s">
        <v>1301</v>
      </c>
      <c r="G823" s="161" t="s">
        <v>3125</v>
      </c>
      <c r="H823" s="247">
        <v>0</v>
      </c>
      <c r="I823" s="248" t="s">
        <v>3253</v>
      </c>
      <c r="J823" s="248" t="s">
        <v>3254</v>
      </c>
      <c r="K823" s="245"/>
      <c r="L823" s="245"/>
      <c r="M823" s="245"/>
      <c r="N823" s="245"/>
      <c r="O823" s="245"/>
      <c r="P823" s="245"/>
      <c r="Q823" s="246"/>
      <c r="R823" s="233"/>
      <c r="S823" s="234">
        <f>IF(C823="",NA(),MATCH($B823&amp;$C823,'Smelter Reference List'!$J:$J,0))</f>
        <v>137</v>
      </c>
      <c r="T823" s="235"/>
      <c r="U823" s="235">
        <f t="shared" si="20"/>
        <v>0</v>
      </c>
      <c r="V823" s="235"/>
      <c r="W823" s="235"/>
      <c r="Y823" s="228" t="str">
        <f t="shared" si="21"/>
        <v>GoldNihon Material Co., Ltd.</v>
      </c>
    </row>
    <row r="824" spans="1:25" s="228" customFormat="1" ht="20.25">
      <c r="A824" s="161" t="s">
        <v>1320</v>
      </c>
      <c r="B824" s="408" t="s">
        <v>2323</v>
      </c>
      <c r="C824" s="297" t="str">
        <f>IF(LEN(A824)=0,"",INDEX('[2]Smelter Reference List'!$C$1:$C$65536,MATCH($A824,'[2]Smelter Reference List'!$E$1:$E$65536,0)))</f>
        <v>Solar Applied Materials Technology Corp.</v>
      </c>
      <c r="D824" s="161" t="s">
        <v>1797</v>
      </c>
      <c r="E824" s="161" t="s">
        <v>1753</v>
      </c>
      <c r="F824" s="161" t="s">
        <v>1320</v>
      </c>
      <c r="G824" s="161" t="s">
        <v>3125</v>
      </c>
      <c r="H824" s="247">
        <v>0</v>
      </c>
      <c r="I824" s="248" t="s">
        <v>3295</v>
      </c>
      <c r="J824" s="248" t="s">
        <v>3296</v>
      </c>
      <c r="K824" s="245"/>
      <c r="L824" s="245"/>
      <c r="M824" s="245"/>
      <c r="N824" s="245"/>
      <c r="O824" s="245"/>
      <c r="P824" s="245"/>
      <c r="Q824" s="246"/>
      <c r="R824" s="233"/>
      <c r="S824" s="234">
        <f>IF(C824="",NA(),MATCH($B824&amp;$C824,'Smelter Reference List'!$J:$J,0))</f>
        <v>185</v>
      </c>
      <c r="T824" s="235"/>
      <c r="U824" s="235">
        <f t="shared" si="20"/>
        <v>0</v>
      </c>
      <c r="V824" s="235"/>
      <c r="W824" s="235"/>
      <c r="Y824" s="228" t="str">
        <f t="shared" si="21"/>
        <v>GoldSolar Applied Materials Technology Corp.</v>
      </c>
    </row>
    <row r="825" spans="1:25" s="228" customFormat="1" ht="20.25">
      <c r="A825" s="161" t="s">
        <v>1321</v>
      </c>
      <c r="B825" s="408" t="s">
        <v>2323</v>
      </c>
      <c r="C825" s="297" t="str">
        <f>IF(LEN(A825)=0,"",INDEX('[2]Smelter Reference List'!$C$1:$C$65536,MATCH($A825,'[2]Smelter Reference List'!$E$1:$E$65536,0)))</f>
        <v>Sumitomo Metal Mining Co., Ltd.</v>
      </c>
      <c r="D825" s="161" t="s">
        <v>77</v>
      </c>
      <c r="E825" s="161" t="s">
        <v>2249</v>
      </c>
      <c r="F825" s="161" t="s">
        <v>1321</v>
      </c>
      <c r="G825" s="161" t="s">
        <v>3125</v>
      </c>
      <c r="H825" s="247">
        <v>0</v>
      </c>
      <c r="I825" s="248" t="s">
        <v>3297</v>
      </c>
      <c r="J825" s="248" t="s">
        <v>4284</v>
      </c>
      <c r="K825" s="245"/>
      <c r="L825" s="245"/>
      <c r="M825" s="245"/>
      <c r="N825" s="245"/>
      <c r="O825" s="245"/>
      <c r="P825" s="245"/>
      <c r="Q825" s="246"/>
      <c r="R825" s="233"/>
      <c r="S825" s="234">
        <f>IF(C825="",NA(),MATCH($B825&amp;$C825,'Smelter Reference List'!$J:$J,0))</f>
        <v>190</v>
      </c>
      <c r="T825" s="235"/>
      <c r="U825" s="235">
        <f t="shared" si="20"/>
        <v>0</v>
      </c>
      <c r="V825" s="235"/>
      <c r="W825" s="235"/>
      <c r="Y825" s="228" t="str">
        <f t="shared" si="21"/>
        <v>GoldSumitomo Metal Mining Co., Ltd.</v>
      </c>
    </row>
    <row r="826" spans="1:25" s="228" customFormat="1" ht="20.25">
      <c r="A826" s="161" t="s">
        <v>1322</v>
      </c>
      <c r="B826" s="408" t="s">
        <v>2323</v>
      </c>
      <c r="C826" s="297" t="str">
        <f>IF(LEN(A826)=0,"",INDEX('[2]Smelter Reference List'!$C$1:$C$65536,MATCH($A826,'[2]Smelter Reference List'!$E$1:$E$65536,0)))</f>
        <v>Tanaka Kikinzoku Kogyo K.K.</v>
      </c>
      <c r="D826" s="161" t="s">
        <v>2457</v>
      </c>
      <c r="E826" s="161" t="s">
        <v>2249</v>
      </c>
      <c r="F826" s="161" t="s">
        <v>1322</v>
      </c>
      <c r="G826" s="161" t="s">
        <v>3125</v>
      </c>
      <c r="H826" s="247">
        <v>0</v>
      </c>
      <c r="I826" s="248" t="s">
        <v>3299</v>
      </c>
      <c r="J826" s="248" t="s">
        <v>3300</v>
      </c>
      <c r="K826" s="245"/>
      <c r="L826" s="245"/>
      <c r="M826" s="245"/>
      <c r="N826" s="245"/>
      <c r="O826" s="245"/>
      <c r="P826" s="245"/>
      <c r="Q826" s="246"/>
      <c r="R826" s="233"/>
      <c r="S826" s="234">
        <f>IF(C826="",NA(),MATCH($B826&amp;$C826,'Smelter Reference List'!$J:$J,0))</f>
        <v>200</v>
      </c>
      <c r="T826" s="235"/>
      <c r="U826" s="235">
        <f t="shared" si="20"/>
        <v>0</v>
      </c>
      <c r="V826" s="235"/>
      <c r="W826" s="235"/>
      <c r="Y826" s="228" t="str">
        <f t="shared" si="21"/>
        <v>GoldTanaka Kikinzoku Kogyo K.K.</v>
      </c>
    </row>
    <row r="827" spans="1:25" s="228" customFormat="1" ht="20.25">
      <c r="A827" s="408" t="s">
        <v>1240</v>
      </c>
      <c r="B827" s="408" t="s">
        <v>2323</v>
      </c>
      <c r="C827" s="297" t="str">
        <f>IF(LEN(A827)=0,"",INDEX('[2]Smelter Reference List'!$C$1:$C$65536,MATCH($A827,'[2]Smelter Reference List'!$E$1:$E$65536,0)))</f>
        <v>Asaka Riken Co., Ltd.</v>
      </c>
      <c r="D827" s="161" t="s">
        <v>4147</v>
      </c>
      <c r="E827" s="161" t="s">
        <v>2249</v>
      </c>
      <c r="F827" s="161" t="s">
        <v>1240</v>
      </c>
      <c r="G827" s="161" t="s">
        <v>3125</v>
      </c>
      <c r="H827" s="247">
        <v>0</v>
      </c>
      <c r="I827" s="248" t="s">
        <v>3142</v>
      </c>
      <c r="J827" s="248" t="s">
        <v>3143</v>
      </c>
      <c r="K827" s="245"/>
      <c r="L827" s="245"/>
      <c r="M827" s="245"/>
      <c r="N827" s="245"/>
      <c r="O827" s="245"/>
      <c r="P827" s="245"/>
      <c r="Q827" s="246"/>
      <c r="R827" s="233"/>
      <c r="S827" s="234">
        <f>IF(C827="",NA(),MATCH($B827&amp;$C827,'Smelter Reference List'!$J:$J,0))</f>
        <v>21</v>
      </c>
      <c r="T827" s="235"/>
      <c r="U827" s="235">
        <f t="shared" si="20"/>
        <v>0</v>
      </c>
      <c r="V827" s="235"/>
      <c r="W827" s="235"/>
      <c r="Y827" s="228" t="str">
        <f t="shared" si="21"/>
        <v>GoldAsaka Riken Co., Ltd.</v>
      </c>
    </row>
    <row r="828" spans="1:25" s="228" customFormat="1" ht="20.25">
      <c r="A828" s="161" t="s">
        <v>1321</v>
      </c>
      <c r="B828" s="408" t="s">
        <v>2323</v>
      </c>
      <c r="C828" s="297" t="str">
        <f>IF(LEN(A828)=0,"",INDEX('[2]Smelter Reference List'!$C$1:$C$65536,MATCH($A828,'[2]Smelter Reference List'!$E$1:$E$65536,0)))</f>
        <v>Sumitomo Metal Mining Co., Ltd.</v>
      </c>
      <c r="D828" s="161" t="s">
        <v>77</v>
      </c>
      <c r="E828" s="161" t="s">
        <v>2249</v>
      </c>
      <c r="F828" s="161" t="s">
        <v>1321</v>
      </c>
      <c r="G828" s="161" t="s">
        <v>3125</v>
      </c>
      <c r="H828" s="247">
        <v>0</v>
      </c>
      <c r="I828" s="248" t="s">
        <v>3297</v>
      </c>
      <c r="J828" s="248" t="s">
        <v>4284</v>
      </c>
      <c r="K828" s="245"/>
      <c r="L828" s="245"/>
      <c r="M828" s="245"/>
      <c r="N828" s="245"/>
      <c r="O828" s="245"/>
      <c r="P828" s="245"/>
      <c r="Q828" s="246"/>
      <c r="R828" s="233"/>
      <c r="S828" s="234">
        <f>IF(C828="",NA(),MATCH($B828&amp;$C828,'Smelter Reference List'!$J:$J,0))</f>
        <v>190</v>
      </c>
      <c r="T828" s="235"/>
      <c r="U828" s="235">
        <f t="shared" si="20"/>
        <v>0</v>
      </c>
      <c r="V828" s="235"/>
      <c r="W828" s="235"/>
      <c r="Y828" s="228" t="str">
        <f t="shared" si="21"/>
        <v>GoldSumitomo Metal Mining Co., Ltd.</v>
      </c>
    </row>
    <row r="829" spans="1:25" s="228" customFormat="1" ht="20.25">
      <c r="A829" s="408" t="s">
        <v>1325</v>
      </c>
      <c r="B829" s="408" t="s">
        <v>2323</v>
      </c>
      <c r="C829" s="297" t="str">
        <f>IF(LEN(A829)=0,"",INDEX('[2]Smelter Reference List'!$C$1:$C$65536,MATCH($A829,'[2]Smelter Reference List'!$E$1:$E$65536,0)))</f>
        <v>Tokuriki Honten Co., Ltd.</v>
      </c>
      <c r="D829" s="161" t="s">
        <v>4178</v>
      </c>
      <c r="E829" s="161" t="s">
        <v>2249</v>
      </c>
      <c r="F829" s="161" t="s">
        <v>1325</v>
      </c>
      <c r="G829" s="161" t="s">
        <v>3125</v>
      </c>
      <c r="H829" s="247">
        <v>0</v>
      </c>
      <c r="I829" s="248" t="s">
        <v>3305</v>
      </c>
      <c r="J829" s="248" t="s">
        <v>3179</v>
      </c>
      <c r="K829" s="245"/>
      <c r="L829" s="245"/>
      <c r="M829" s="245"/>
      <c r="N829" s="245"/>
      <c r="O829" s="245"/>
      <c r="P829" s="245"/>
      <c r="Q829" s="246"/>
      <c r="R829" s="233"/>
      <c r="S829" s="234">
        <f>IF(C829="",NA(),MATCH($B829&amp;$C829,'Smelter Reference List'!$J:$J,0))</f>
        <v>205</v>
      </c>
      <c r="T829" s="235"/>
      <c r="U829" s="235">
        <f t="shared" si="20"/>
        <v>0</v>
      </c>
      <c r="V829" s="235"/>
      <c r="W829" s="235"/>
      <c r="Y829" s="228" t="str">
        <f t="shared" si="21"/>
        <v>GoldTokuriki Honten Co., Ltd.</v>
      </c>
    </row>
    <row r="830" spans="1:25" s="228" customFormat="1" ht="20.25">
      <c r="A830" s="408"/>
      <c r="B830" s="408" t="s">
        <v>2324</v>
      </c>
      <c r="C830" s="297" t="s">
        <v>3604</v>
      </c>
      <c r="D830" s="408" t="s">
        <v>5676</v>
      </c>
      <c r="E830" s="408" t="s">
        <v>2158</v>
      </c>
      <c r="F830" s="161">
        <v>0</v>
      </c>
      <c r="G830" s="228" t="s">
        <v>5584</v>
      </c>
      <c r="H830" s="409" t="s">
        <v>5857</v>
      </c>
      <c r="I830" s="409"/>
      <c r="J830" s="409"/>
      <c r="K830" s="409" t="s">
        <v>5858</v>
      </c>
      <c r="L830" s="409" t="s">
        <v>5859</v>
      </c>
      <c r="M830" s="409"/>
      <c r="N830" s="409" t="s">
        <v>5061</v>
      </c>
      <c r="O830" s="409" t="s">
        <v>5061</v>
      </c>
      <c r="P830" s="409" t="s">
        <v>924</v>
      </c>
      <c r="Q830" s="411" t="s">
        <v>5860</v>
      </c>
      <c r="R830" s="233"/>
      <c r="S830" s="234">
        <f>IF(C830="",NA(),MATCH($B830&amp;$C830,'Smelter Reference List'!$J:$J,0))</f>
        <v>467</v>
      </c>
      <c r="T830" s="235"/>
      <c r="U830" s="235">
        <f t="shared" si="20"/>
        <v>0</v>
      </c>
      <c r="V830" s="235"/>
      <c r="W830" s="235"/>
      <c r="Y830" s="228" t="str">
        <f t="shared" si="21"/>
        <v>TinSmelter not listed</v>
      </c>
    </row>
    <row r="831" spans="1:25" s="228" customFormat="1" ht="20.25">
      <c r="A831" s="161" t="s">
        <v>1368</v>
      </c>
      <c r="B831" s="408" t="s">
        <v>2324</v>
      </c>
      <c r="C831" s="297" t="str">
        <f>IF(LEN(A831)=0,"",INDEX('[2]Smelter Reference List'!$C$1:$C$65536,MATCH($A831,'[2]Smelter Reference List'!$E$1:$E$65536,0)))</f>
        <v>EM Vinto</v>
      </c>
      <c r="D831" s="161" t="s">
        <v>1506</v>
      </c>
      <c r="E831" s="161" t="s">
        <v>2169</v>
      </c>
      <c r="F831" s="161" t="s">
        <v>1368</v>
      </c>
      <c r="G831" s="161" t="s">
        <v>3125</v>
      </c>
      <c r="H831" s="247">
        <v>0</v>
      </c>
      <c r="I831" s="248" t="s">
        <v>3459</v>
      </c>
      <c r="J831" s="248" t="s">
        <v>3460</v>
      </c>
      <c r="K831" s="245"/>
      <c r="L831" s="245"/>
      <c r="M831" s="245"/>
      <c r="N831" s="245"/>
      <c r="O831" s="245"/>
      <c r="P831" s="245"/>
      <c r="Q831" s="246"/>
      <c r="R831" s="233"/>
      <c r="S831" s="234">
        <f>IF(C831="",NA(),MATCH($B831&amp;$C831,'Smelter Reference List'!$J:$J,0))</f>
        <v>341</v>
      </c>
      <c r="T831" s="235"/>
      <c r="U831" s="235">
        <f t="shared" si="20"/>
        <v>0</v>
      </c>
      <c r="V831" s="235"/>
      <c r="W831" s="235"/>
      <c r="Y831" s="228" t="str">
        <f t="shared" si="21"/>
        <v>TinEM Vinto</v>
      </c>
    </row>
    <row r="832" spans="1:25" s="228" customFormat="1" ht="20.25">
      <c r="A832" s="161" t="s">
        <v>1384</v>
      </c>
      <c r="B832" s="408" t="s">
        <v>2324</v>
      </c>
      <c r="C832" s="297" t="str">
        <f>IF(LEN(A832)=0,"",INDEX('[2]Smelter Reference List'!$C$1:$C$65536,MATCH($A832,'[2]Smelter Reference List'!$E$1:$E$65536,0)))</f>
        <v>Operaciones Metalurgical S.A.</v>
      </c>
      <c r="D832" s="161" t="s">
        <v>3494</v>
      </c>
      <c r="E832" s="161" t="s">
        <v>2169</v>
      </c>
      <c r="F832" s="161" t="s">
        <v>1384</v>
      </c>
      <c r="G832" s="161" t="s">
        <v>3125</v>
      </c>
      <c r="H832" s="247">
        <v>0</v>
      </c>
      <c r="I832" s="248" t="s">
        <v>3459</v>
      </c>
      <c r="J832" s="248" t="s">
        <v>3460</v>
      </c>
      <c r="K832" s="245"/>
      <c r="L832" s="245"/>
      <c r="M832" s="245"/>
      <c r="N832" s="245"/>
      <c r="O832" s="245"/>
      <c r="P832" s="245"/>
      <c r="Q832" s="246"/>
      <c r="R832" s="233"/>
      <c r="S832" s="234">
        <f>IF(C832="",NA(),MATCH($B832&amp;$C832,'Smelter Reference List'!$J:$J,0))</f>
        <v>394</v>
      </c>
      <c r="T832" s="235"/>
      <c r="U832" s="235">
        <f t="shared" si="20"/>
        <v>0</v>
      </c>
      <c r="V832" s="235"/>
      <c r="W832" s="235"/>
      <c r="Y832" s="228" t="str">
        <f t="shared" si="21"/>
        <v>TinOperaciones Metalurgical S.A.</v>
      </c>
    </row>
    <row r="833" spans="1:25" s="228" customFormat="1" ht="20.25">
      <c r="A833" s="161" t="s">
        <v>1379</v>
      </c>
      <c r="B833" s="408" t="s">
        <v>2324</v>
      </c>
      <c r="C833" s="297" t="str">
        <f>IF(LEN(A833)=0,"",INDEX('[2]Smelter Reference List'!$C$1:$C$65536,MATCH($A833,'[2]Smelter Reference List'!$E$1:$E$65536,0)))</f>
        <v>Mineração Taboca S.A.</v>
      </c>
      <c r="D833" s="161" t="s">
        <v>1953</v>
      </c>
      <c r="E833" s="161" t="s">
        <v>2170</v>
      </c>
      <c r="F833" s="161" t="s">
        <v>1379</v>
      </c>
      <c r="G833" s="161" t="s">
        <v>3125</v>
      </c>
      <c r="H833" s="247">
        <v>0</v>
      </c>
      <c r="I833" s="248" t="s">
        <v>3485</v>
      </c>
      <c r="J833" s="248" t="s">
        <v>3313</v>
      </c>
      <c r="K833" s="245"/>
      <c r="L833" s="245"/>
      <c r="M833" s="245"/>
      <c r="N833" s="245"/>
      <c r="O833" s="245"/>
      <c r="P833" s="245"/>
      <c r="Q833" s="246"/>
      <c r="R833" s="233"/>
      <c r="S833" s="234">
        <f>IF(C833="",NA(),MATCH($B833&amp;$C833,'Smelter Reference List'!$J:$J,0))</f>
        <v>383</v>
      </c>
      <c r="T833" s="235"/>
      <c r="U833" s="235">
        <f t="shared" si="20"/>
        <v>0</v>
      </c>
      <c r="V833" s="235"/>
      <c r="W833" s="235"/>
      <c r="Y833" s="228" t="str">
        <f t="shared" si="21"/>
        <v>TinMineração Taboca S.A.</v>
      </c>
    </row>
    <row r="834" spans="1:25" s="228" customFormat="1" ht="20.25">
      <c r="A834" s="161" t="s">
        <v>1367</v>
      </c>
      <c r="B834" s="408" t="s">
        <v>2324</v>
      </c>
      <c r="C834" s="297" t="str">
        <f>IF(LEN(A834)=0,"",INDEX('[2]Smelter Reference List'!$C$1:$C$65536,MATCH($A834,'[2]Smelter Reference List'!$E$1:$E$65536,0)))</f>
        <v>CV United Smelting</v>
      </c>
      <c r="D834" s="161" t="s">
        <v>1505</v>
      </c>
      <c r="E834" s="161" t="s">
        <v>2238</v>
      </c>
      <c r="F834" s="161" t="s">
        <v>1367</v>
      </c>
      <c r="G834" s="161" t="s">
        <v>3125</v>
      </c>
      <c r="H834" s="247">
        <v>0</v>
      </c>
      <c r="I834" s="248" t="s">
        <v>3457</v>
      </c>
      <c r="J834" s="248" t="s">
        <v>3454</v>
      </c>
      <c r="K834" s="245"/>
      <c r="L834" s="245"/>
      <c r="M834" s="245"/>
      <c r="N834" s="245"/>
      <c r="O834" s="245"/>
      <c r="P834" s="245"/>
      <c r="Q834" s="246"/>
      <c r="R834" s="233"/>
      <c r="S834" s="234">
        <f>IF(C834="",NA(),MATCH($B834&amp;$C834,'Smelter Reference List'!$J:$J,0))</f>
        <v>335</v>
      </c>
      <c r="T834" s="235"/>
      <c r="U834" s="235">
        <f t="shared" si="20"/>
        <v>0</v>
      </c>
      <c r="V834" s="235"/>
      <c r="W834" s="235"/>
      <c r="Y834" s="228" t="str">
        <f t="shared" si="21"/>
        <v>TinCV United Smelting</v>
      </c>
    </row>
    <row r="835" spans="1:25" s="228" customFormat="1" ht="38.25">
      <c r="A835" s="161"/>
      <c r="B835" s="408" t="s">
        <v>2324</v>
      </c>
      <c r="C835" s="297" t="s">
        <v>3604</v>
      </c>
      <c r="D835" s="161" t="s">
        <v>5698</v>
      </c>
      <c r="E835" s="161" t="s">
        <v>2238</v>
      </c>
      <c r="F835" s="161">
        <v>0</v>
      </c>
      <c r="G835" s="228" t="s">
        <v>5584</v>
      </c>
      <c r="H835" s="398" t="s">
        <v>5861</v>
      </c>
      <c r="I835" s="248"/>
      <c r="J835" s="248"/>
      <c r="K835" s="245" t="s">
        <v>5862</v>
      </c>
      <c r="L835" s="245" t="s">
        <v>5863</v>
      </c>
      <c r="M835" s="245"/>
      <c r="N835" s="245" t="s">
        <v>926</v>
      </c>
      <c r="O835" s="245" t="s">
        <v>926</v>
      </c>
      <c r="P835" s="245" t="s">
        <v>925</v>
      </c>
      <c r="Q835" s="246" t="s">
        <v>5860</v>
      </c>
      <c r="R835" s="233"/>
      <c r="S835" s="234">
        <f>IF(C835="",NA(),MATCH($B835&amp;$C835,'Smelter Reference List'!$J:$J,0))</f>
        <v>467</v>
      </c>
      <c r="T835" s="235"/>
      <c r="U835" s="235">
        <f t="shared" si="20"/>
        <v>0</v>
      </c>
      <c r="V835" s="235"/>
      <c r="W835" s="235"/>
      <c r="Y835" s="228" t="str">
        <f t="shared" si="21"/>
        <v>TinSmelter not listed</v>
      </c>
    </row>
    <row r="836" spans="1:25" s="228" customFormat="1" ht="20.25">
      <c r="A836" s="161" t="s">
        <v>1389</v>
      </c>
      <c r="B836" s="408" t="s">
        <v>2324</v>
      </c>
      <c r="C836" s="297" t="str">
        <f>IF(LEN(A836)=0,"",INDEX('[2]Smelter Reference List'!$C$1:$C$65536,MATCH($A836,'[2]Smelter Reference List'!$E$1:$E$65536,0)))</f>
        <v>PT Bukit Timah</v>
      </c>
      <c r="D836" s="161" t="s">
        <v>1194</v>
      </c>
      <c r="E836" s="161" t="s">
        <v>2238</v>
      </c>
      <c r="F836" s="161" t="s">
        <v>1389</v>
      </c>
      <c r="G836" s="161" t="s">
        <v>3125</v>
      </c>
      <c r="H836" s="247">
        <v>0</v>
      </c>
      <c r="I836" s="248" t="s">
        <v>3457</v>
      </c>
      <c r="J836" s="248" t="s">
        <v>3454</v>
      </c>
      <c r="K836" s="245"/>
      <c r="L836" s="245"/>
      <c r="M836" s="245"/>
      <c r="N836" s="245"/>
      <c r="O836" s="245"/>
      <c r="P836" s="245"/>
      <c r="Q836" s="246"/>
      <c r="R836" s="233"/>
      <c r="S836" s="234">
        <f>IF(C836="",NA(),MATCH($B836&amp;$C836,'Smelter Reference List'!$J:$J,0))</f>
        <v>408</v>
      </c>
      <c r="T836" s="235"/>
      <c r="U836" s="235">
        <f t="shared" si="20"/>
        <v>0</v>
      </c>
      <c r="V836" s="235"/>
      <c r="W836" s="235"/>
      <c r="Y836" s="228" t="str">
        <f t="shared" si="21"/>
        <v>TinPT Bukit Timah</v>
      </c>
    </row>
    <row r="837" spans="1:25" s="228" customFormat="1" ht="20.25">
      <c r="A837" s="161" t="s">
        <v>1398</v>
      </c>
      <c r="B837" s="408" t="s">
        <v>2324</v>
      </c>
      <c r="C837" s="297" t="str">
        <f>IF(LEN(A837)=0,"",INDEX('[2]Smelter Reference List'!$C$1:$C$65536,MATCH($A837,'[2]Smelter Reference List'!$E$1:$E$65536,0)))</f>
        <v>PT Stanindo Inti Perkasa</v>
      </c>
      <c r="D837" s="161" t="s">
        <v>2369</v>
      </c>
      <c r="E837" s="161" t="s">
        <v>2238</v>
      </c>
      <c r="F837" s="161" t="s">
        <v>1398</v>
      </c>
      <c r="G837" s="161" t="s">
        <v>3125</v>
      </c>
      <c r="H837" s="247">
        <v>0</v>
      </c>
      <c r="I837" s="248" t="s">
        <v>3457</v>
      </c>
      <c r="J837" s="248" t="s">
        <v>3454</v>
      </c>
      <c r="K837" s="245"/>
      <c r="L837" s="245"/>
      <c r="M837" s="245"/>
      <c r="N837" s="245"/>
      <c r="O837" s="245"/>
      <c r="P837" s="245"/>
      <c r="Q837" s="246"/>
      <c r="R837" s="233"/>
      <c r="S837" s="234">
        <f>IF(C837="",NA(),MATCH($B837&amp;$C837,'Smelter Reference List'!$J:$J,0))</f>
        <v>427</v>
      </c>
      <c r="T837" s="235"/>
      <c r="U837" s="235">
        <f t="shared" si="20"/>
        <v>0</v>
      </c>
      <c r="V837" s="235"/>
      <c r="W837" s="235"/>
      <c r="Y837" s="228" t="str">
        <f t="shared" si="21"/>
        <v>TinPT Stanindo Inti Perkasa</v>
      </c>
    </row>
    <row r="838" spans="1:25" s="228" customFormat="1" ht="20.25">
      <c r="A838" s="161" t="s">
        <v>1399</v>
      </c>
      <c r="B838" s="408" t="s">
        <v>2324</v>
      </c>
      <c r="C838" s="297" t="str">
        <f>IF(LEN(A838)=0,"",INDEX('[2]Smelter Reference List'!$C$1:$C$65536,MATCH($A838,'[2]Smelter Reference List'!$E$1:$E$65536,0)))</f>
        <v>PT Timah (Persero) Tbk Mentok</v>
      </c>
      <c r="D838" s="161" t="s">
        <v>4266</v>
      </c>
      <c r="E838" s="161" t="s">
        <v>2238</v>
      </c>
      <c r="F838" s="161" t="s">
        <v>1399</v>
      </c>
      <c r="G838" s="161" t="s">
        <v>3125</v>
      </c>
      <c r="H838" s="247">
        <v>0</v>
      </c>
      <c r="I838" s="248" t="s">
        <v>3507</v>
      </c>
      <c r="J838" s="248" t="s">
        <v>3454</v>
      </c>
      <c r="K838" s="245"/>
      <c r="L838" s="245"/>
      <c r="M838" s="245"/>
      <c r="N838" s="245"/>
      <c r="O838" s="245"/>
      <c r="P838" s="245"/>
      <c r="Q838" s="246"/>
      <c r="R838" s="233"/>
      <c r="S838" s="234">
        <f>IF(C838="",NA(),MATCH($B838&amp;$C838,'Smelter Reference List'!$J:$J,0))</f>
        <v>432</v>
      </c>
      <c r="T838" s="235"/>
      <c r="U838" s="235">
        <f t="shared" ref="U838:U901" si="22">IF(AND(C838="Smelter not listed",OR(LEN(D838)=0,LEN(E838)=0)),1,0)</f>
        <v>0</v>
      </c>
      <c r="V838" s="235"/>
      <c r="W838" s="235"/>
      <c r="Y838" s="228" t="str">
        <f t="shared" ref="Y838:Y901" si="23">B838&amp;C838</f>
        <v>TinPT Timah (Persero) Tbk Mentok</v>
      </c>
    </row>
    <row r="839" spans="1:25" s="228" customFormat="1" ht="20.25">
      <c r="A839" s="408" t="s">
        <v>1424</v>
      </c>
      <c r="B839" s="408" t="s">
        <v>2324</v>
      </c>
      <c r="C839" s="297" t="str">
        <f>IF(LEN(A839)=0,"",INDEX('[2]Smelter Reference List'!$C$1:$C$65536,MATCH($A839,'[2]Smelter Reference List'!$E$1:$E$65536,0)))</f>
        <v>PT Timah (Persero) Tbk Kundur</v>
      </c>
      <c r="D839" s="161" t="s">
        <v>3503</v>
      </c>
      <c r="E839" s="161" t="s">
        <v>2238</v>
      </c>
      <c r="F839" s="161" t="s">
        <v>1424</v>
      </c>
      <c r="G839" s="161" t="s">
        <v>3125</v>
      </c>
      <c r="H839" s="247">
        <v>0</v>
      </c>
      <c r="I839" s="248" t="s">
        <v>3504</v>
      </c>
      <c r="J839" s="248" t="s">
        <v>3505</v>
      </c>
      <c r="K839" s="245"/>
      <c r="L839" s="245"/>
      <c r="M839" s="245"/>
      <c r="N839" s="245"/>
      <c r="O839" s="245"/>
      <c r="P839" s="245"/>
      <c r="Q839" s="246"/>
      <c r="R839" s="233"/>
      <c r="S839" s="234">
        <f>IF(C839="",NA(),MATCH($B839&amp;$C839,'Smelter Reference List'!$J:$J,0))</f>
        <v>431</v>
      </c>
      <c r="T839" s="235"/>
      <c r="U839" s="235">
        <f t="shared" si="22"/>
        <v>0</v>
      </c>
      <c r="V839" s="235"/>
      <c r="W839" s="235"/>
      <c r="Y839" s="228" t="str">
        <f t="shared" si="23"/>
        <v>TinPT Timah (Persero) Tbk Kundur</v>
      </c>
    </row>
    <row r="840" spans="1:25" s="228" customFormat="1" ht="20.25">
      <c r="A840" s="161" t="s">
        <v>1381</v>
      </c>
      <c r="B840" s="408" t="s">
        <v>2324</v>
      </c>
      <c r="C840" s="297" t="str">
        <f>IF(LEN(A840)=0,"",INDEX('[2]Smelter Reference List'!$C$1:$C$65536,MATCH($A840,'[2]Smelter Reference List'!$E$1:$E$65536,0)))</f>
        <v>Mitsubishi Materials Corporation</v>
      </c>
      <c r="D840" s="161" t="s">
        <v>2371</v>
      </c>
      <c r="E840" s="161" t="s">
        <v>2249</v>
      </c>
      <c r="F840" s="161" t="s">
        <v>1381</v>
      </c>
      <c r="G840" s="161" t="s">
        <v>3125</v>
      </c>
      <c r="H840" s="247">
        <v>0</v>
      </c>
      <c r="I840" s="248" t="s">
        <v>3490</v>
      </c>
      <c r="J840" s="248" t="s">
        <v>3140</v>
      </c>
      <c r="K840" s="245"/>
      <c r="L840" s="245"/>
      <c r="M840" s="245"/>
      <c r="N840" s="245"/>
      <c r="O840" s="245"/>
      <c r="P840" s="245"/>
      <c r="Q840" s="246"/>
      <c r="R840" s="233"/>
      <c r="S840" s="234">
        <f>IF(C840="",NA(),MATCH($B840&amp;$C840,'Smelter Reference List'!$J:$J,0))</f>
        <v>385</v>
      </c>
      <c r="T840" s="235"/>
      <c r="U840" s="235">
        <f t="shared" si="22"/>
        <v>0</v>
      </c>
      <c r="V840" s="235"/>
      <c r="W840" s="235"/>
      <c r="Y840" s="228" t="str">
        <f t="shared" si="23"/>
        <v>TinMitsubishi Materials Corporation</v>
      </c>
    </row>
    <row r="841" spans="1:25" s="228" customFormat="1" ht="20.25">
      <c r="A841" s="161" t="s">
        <v>1378</v>
      </c>
      <c r="B841" s="408" t="s">
        <v>2324</v>
      </c>
      <c r="C841" s="297" t="str">
        <f>IF(LEN(A841)=0,"",INDEX('[2]Smelter Reference List'!$C$1:$C$65536,MATCH($A841,'[2]Smelter Reference List'!$E$1:$E$65536,0)))</f>
        <v>Malaysia Smelting Corporation (MSC)</v>
      </c>
      <c r="D841" s="161" t="s">
        <v>1471</v>
      </c>
      <c r="E841" s="161" t="s">
        <v>2289</v>
      </c>
      <c r="F841" s="161" t="s">
        <v>1378</v>
      </c>
      <c r="G841" s="161" t="s">
        <v>3125</v>
      </c>
      <c r="H841" s="247">
        <v>0</v>
      </c>
      <c r="I841" s="248" t="s">
        <v>3481</v>
      </c>
      <c r="J841" s="248" t="s">
        <v>3482</v>
      </c>
      <c r="K841" s="245"/>
      <c r="L841" s="245"/>
      <c r="M841" s="245"/>
      <c r="N841" s="245"/>
      <c r="O841" s="245"/>
      <c r="P841" s="245"/>
      <c r="Q841" s="246"/>
      <c r="R841" s="233"/>
      <c r="S841" s="234">
        <f>IF(C841="",NA(),MATCH($B841&amp;$C841,'Smelter Reference List'!$J:$J,0))</f>
        <v>377</v>
      </c>
      <c r="T841" s="235"/>
      <c r="U841" s="235">
        <f t="shared" si="22"/>
        <v>0</v>
      </c>
      <c r="V841" s="235"/>
      <c r="W841" s="235"/>
      <c r="Y841" s="228" t="str">
        <f t="shared" si="23"/>
        <v>TinMalaysia Smelting Corporation (MSC)</v>
      </c>
    </row>
    <row r="842" spans="1:25" s="228" customFormat="1" ht="20.25">
      <c r="A842" s="161" t="s">
        <v>1380</v>
      </c>
      <c r="B842" s="408" t="s">
        <v>2324</v>
      </c>
      <c r="C842" s="297" t="str">
        <f>IF(LEN(A842)=0,"",INDEX('[2]Smelter Reference List'!$C$1:$C$65536,MATCH($A842,'[2]Smelter Reference List'!$E$1:$E$65536,0)))</f>
        <v>Minsur</v>
      </c>
      <c r="D842" s="161" t="s">
        <v>1954</v>
      </c>
      <c r="E842" s="161" t="s">
        <v>1704</v>
      </c>
      <c r="F842" s="161" t="s">
        <v>1380</v>
      </c>
      <c r="G842" s="161" t="s">
        <v>3125</v>
      </c>
      <c r="H842" s="247">
        <v>0</v>
      </c>
      <c r="I842" s="248" t="s">
        <v>3487</v>
      </c>
      <c r="J842" s="248" t="s">
        <v>3488</v>
      </c>
      <c r="K842" s="245"/>
      <c r="L842" s="245"/>
      <c r="M842" s="245"/>
      <c r="N842" s="245"/>
      <c r="O842" s="245"/>
      <c r="P842" s="245"/>
      <c r="Q842" s="246"/>
      <c r="R842" s="233"/>
      <c r="S842" s="234">
        <f>IF(C842="",NA(),MATCH($B842&amp;$C842,'Smelter Reference List'!$J:$J,0))</f>
        <v>384</v>
      </c>
      <c r="T842" s="235"/>
      <c r="U842" s="235">
        <f t="shared" si="22"/>
        <v>0</v>
      </c>
      <c r="V842" s="235"/>
      <c r="W842" s="235"/>
      <c r="Y842" s="228" t="str">
        <f t="shared" si="23"/>
        <v>TinMinsur</v>
      </c>
    </row>
    <row r="843" spans="1:25" s="228" customFormat="1" ht="20.25">
      <c r="A843" s="408" t="s">
        <v>1404</v>
      </c>
      <c r="B843" s="408" t="s">
        <v>2324</v>
      </c>
      <c r="C843" s="297" t="str">
        <f>IF(LEN(A843)=0,"",INDEX('[2]Smelter Reference List'!$C$1:$C$65536,MATCH($A843,'[2]Smelter Reference List'!$E$1:$E$65536,0)))</f>
        <v>Thaisarco</v>
      </c>
      <c r="D843" s="161" t="s">
        <v>1951</v>
      </c>
      <c r="E843" s="161" t="s">
        <v>1743</v>
      </c>
      <c r="F843" s="161" t="s">
        <v>1404</v>
      </c>
      <c r="G843" s="161" t="s">
        <v>3125</v>
      </c>
      <c r="H843" s="247">
        <v>0</v>
      </c>
      <c r="I843" s="248" t="s">
        <v>3510</v>
      </c>
      <c r="J843" s="248" t="s">
        <v>3511</v>
      </c>
      <c r="K843" s="245"/>
      <c r="L843" s="245"/>
      <c r="M843" s="245"/>
      <c r="N843" s="245"/>
      <c r="O843" s="245"/>
      <c r="P843" s="245"/>
      <c r="Q843" s="246"/>
      <c r="R843" s="233"/>
      <c r="S843" s="234">
        <f>IF(C843="",NA(),MATCH($B843&amp;$C843,'Smelter Reference List'!$J:$J,0))</f>
        <v>445</v>
      </c>
      <c r="T843" s="235"/>
      <c r="U843" s="235">
        <f t="shared" si="22"/>
        <v>0</v>
      </c>
      <c r="V843" s="235"/>
      <c r="W843" s="235"/>
      <c r="Y843" s="228" t="str">
        <f t="shared" si="23"/>
        <v>TinThaisarco</v>
      </c>
    </row>
    <row r="844" spans="1:25" s="228" customFormat="1" ht="20.25">
      <c r="A844" s="161" t="s">
        <v>2738</v>
      </c>
      <c r="B844" s="408" t="s">
        <v>2325</v>
      </c>
      <c r="C844" s="297" t="str">
        <f>IF(LEN(A844)=0,"",INDEX('[2]Smelter Reference List'!$C$1:$C$65536,MATCH($A844,'[2]Smelter Reference List'!$E$1:$E$65536,0)))</f>
        <v>H.C. Starck Co., Ltd.</v>
      </c>
      <c r="D844" s="161" t="s">
        <v>2737</v>
      </c>
      <c r="E844" s="161" t="s">
        <v>1743</v>
      </c>
      <c r="F844" s="161" t="s">
        <v>2738</v>
      </c>
      <c r="G844" s="161" t="s">
        <v>3125</v>
      </c>
      <c r="H844" s="247">
        <v>0</v>
      </c>
      <c r="I844" s="248" t="s">
        <v>3416</v>
      </c>
      <c r="J844" s="248" t="s">
        <v>3417</v>
      </c>
      <c r="K844" s="245"/>
      <c r="L844" s="245"/>
      <c r="M844" s="245"/>
      <c r="N844" s="245"/>
      <c r="O844" s="245"/>
      <c r="P844" s="245"/>
      <c r="Q844" s="246"/>
      <c r="R844" s="233"/>
      <c r="S844" s="234">
        <f>IF(C844="",NA(),MATCH($B844&amp;$C844,'Smelter Reference List'!$J:$J,0))</f>
        <v>254</v>
      </c>
      <c r="T844" s="235"/>
      <c r="U844" s="235">
        <f t="shared" si="22"/>
        <v>0</v>
      </c>
      <c r="V844" s="235"/>
      <c r="W844" s="235"/>
      <c r="Y844" s="228" t="str">
        <f t="shared" si="23"/>
        <v>TantalumH.C. Starck Co., Ltd.</v>
      </c>
    </row>
    <row r="845" spans="1:25" s="228" customFormat="1" ht="20.25">
      <c r="A845" s="161" t="s">
        <v>2740</v>
      </c>
      <c r="B845" s="408" t="s">
        <v>2325</v>
      </c>
      <c r="C845" s="297" t="str">
        <f>IF(LEN(A845)=0,"",INDEX('[2]Smelter Reference List'!$C$1:$C$65536,MATCH($A845,'[2]Smelter Reference List'!$E$1:$E$65536,0)))</f>
        <v>H.C. Starck GmbH Goslar</v>
      </c>
      <c r="D845" s="161" t="s">
        <v>2739</v>
      </c>
      <c r="E845" s="161" t="s">
        <v>2195</v>
      </c>
      <c r="F845" s="161" t="s">
        <v>2740</v>
      </c>
      <c r="G845" s="161" t="s">
        <v>3125</v>
      </c>
      <c r="H845" s="247">
        <v>0</v>
      </c>
      <c r="I845" s="248" t="s">
        <v>3418</v>
      </c>
      <c r="J845" s="248" t="s">
        <v>3419</v>
      </c>
      <c r="K845" s="245"/>
      <c r="L845" s="245"/>
      <c r="M845" s="245"/>
      <c r="N845" s="245"/>
      <c r="O845" s="245"/>
      <c r="P845" s="245"/>
      <c r="Q845" s="246"/>
      <c r="R845" s="233"/>
      <c r="S845" s="234">
        <f>IF(C845="",NA(),MATCH($B845&amp;$C845,'Smelter Reference List'!$J:$J,0))</f>
        <v>255</v>
      </c>
      <c r="T845" s="235"/>
      <c r="U845" s="235">
        <f t="shared" si="22"/>
        <v>0</v>
      </c>
      <c r="V845" s="235"/>
      <c r="W845" s="235"/>
      <c r="Y845" s="228" t="str">
        <f t="shared" si="23"/>
        <v>TantalumH.C. Starck GmbH Goslar</v>
      </c>
    </row>
    <row r="846" spans="1:25" s="228" customFormat="1" ht="20.25">
      <c r="A846" s="161" t="s">
        <v>2742</v>
      </c>
      <c r="B846" s="408" t="s">
        <v>2325</v>
      </c>
      <c r="C846" s="297" t="str">
        <f>IF(LEN(A846)=0,"",INDEX('[2]Smelter Reference List'!$C$1:$C$65536,MATCH($A846,'[2]Smelter Reference List'!$E$1:$E$65536,0)))</f>
        <v>H.C. Starck GmbH Laufenburg</v>
      </c>
      <c r="D846" s="161" t="s">
        <v>2741</v>
      </c>
      <c r="E846" s="161" t="s">
        <v>2195</v>
      </c>
      <c r="F846" s="161" t="s">
        <v>2742</v>
      </c>
      <c r="G846" s="161" t="s">
        <v>3125</v>
      </c>
      <c r="H846" s="247">
        <v>0</v>
      </c>
      <c r="I846" s="248" t="s">
        <v>3420</v>
      </c>
      <c r="J846" s="248" t="s">
        <v>3131</v>
      </c>
      <c r="K846" s="245"/>
      <c r="L846" s="245"/>
      <c r="M846" s="245"/>
      <c r="N846" s="245"/>
      <c r="O846" s="245"/>
      <c r="P846" s="245"/>
      <c r="Q846" s="246"/>
      <c r="R846" s="233"/>
      <c r="S846" s="234">
        <f>IF(C846="",NA(),MATCH($B846&amp;$C846,'Smelter Reference List'!$J:$J,0))</f>
        <v>256</v>
      </c>
      <c r="T846" s="235"/>
      <c r="U846" s="235">
        <f t="shared" si="22"/>
        <v>0</v>
      </c>
      <c r="V846" s="235"/>
      <c r="W846" s="235"/>
      <c r="Y846" s="228" t="str">
        <f t="shared" si="23"/>
        <v>TantalumH.C. Starck GmbH Laufenburg</v>
      </c>
    </row>
    <row r="847" spans="1:25" s="228" customFormat="1" ht="20.25">
      <c r="A847" s="161" t="s">
        <v>2744</v>
      </c>
      <c r="B847" s="408" t="s">
        <v>2325</v>
      </c>
      <c r="C847" s="297" t="str">
        <f>IF(LEN(A847)=0,"",INDEX('[2]Smelter Reference List'!$C$1:$C$65536,MATCH($A847,'[2]Smelter Reference List'!$E$1:$E$65536,0)))</f>
        <v>H.C. Starck Hermsdorf GmbH</v>
      </c>
      <c r="D847" s="161" t="s">
        <v>2743</v>
      </c>
      <c r="E847" s="161" t="s">
        <v>2195</v>
      </c>
      <c r="F847" s="161" t="s">
        <v>2744</v>
      </c>
      <c r="G847" s="161" t="s">
        <v>3125</v>
      </c>
      <c r="H847" s="247">
        <v>0</v>
      </c>
      <c r="I847" s="248" t="s">
        <v>3421</v>
      </c>
      <c r="J847" s="248" t="s">
        <v>3422</v>
      </c>
      <c r="K847" s="245"/>
      <c r="L847" s="245"/>
      <c r="M847" s="245"/>
      <c r="N847" s="245"/>
      <c r="O847" s="245"/>
      <c r="P847" s="245"/>
      <c r="Q847" s="246"/>
      <c r="R847" s="233"/>
      <c r="S847" s="234">
        <f>IF(C847="",NA(),MATCH($B847&amp;$C847,'Smelter Reference List'!$J:$J,0))</f>
        <v>257</v>
      </c>
      <c r="T847" s="235"/>
      <c r="U847" s="235">
        <f t="shared" si="22"/>
        <v>0</v>
      </c>
      <c r="V847" s="235"/>
      <c r="W847" s="235"/>
      <c r="Y847" s="228" t="str">
        <f t="shared" si="23"/>
        <v>TantalumH.C. Starck Hermsdorf GmbH</v>
      </c>
    </row>
    <row r="848" spans="1:25" s="228" customFormat="1" ht="20.25">
      <c r="A848" s="161" t="s">
        <v>2746</v>
      </c>
      <c r="B848" s="408" t="s">
        <v>2325</v>
      </c>
      <c r="C848" s="297" t="str">
        <f>IF(LEN(A848)=0,"",INDEX('[2]Smelter Reference List'!$C$1:$C$65536,MATCH($A848,'[2]Smelter Reference List'!$E$1:$E$65536,0)))</f>
        <v>H.C. Starck Inc.</v>
      </c>
      <c r="D848" s="161" t="s">
        <v>2745</v>
      </c>
      <c r="E848" s="161" t="s">
        <v>1759</v>
      </c>
      <c r="F848" s="161" t="s">
        <v>2746</v>
      </c>
      <c r="G848" s="161" t="s">
        <v>3125</v>
      </c>
      <c r="H848" s="247">
        <v>0</v>
      </c>
      <c r="I848" s="248" t="s">
        <v>3423</v>
      </c>
      <c r="J848" s="248" t="s">
        <v>3242</v>
      </c>
      <c r="K848" s="245"/>
      <c r="L848" s="245"/>
      <c r="M848" s="245"/>
      <c r="N848" s="245"/>
      <c r="O848" s="245"/>
      <c r="P848" s="245"/>
      <c r="Q848" s="246"/>
      <c r="R848" s="233"/>
      <c r="S848" s="234">
        <f>IF(C848="",NA(),MATCH($B848&amp;$C848,'Smelter Reference List'!$J:$J,0))</f>
        <v>258</v>
      </c>
      <c r="T848" s="235"/>
      <c r="U848" s="235">
        <f t="shared" si="22"/>
        <v>0</v>
      </c>
      <c r="V848" s="235"/>
      <c r="W848" s="235"/>
      <c r="Y848" s="228" t="str">
        <f t="shared" si="23"/>
        <v>TantalumH.C. Starck Inc.</v>
      </c>
    </row>
    <row r="849" spans="1:25" s="228" customFormat="1" ht="20.25">
      <c r="A849" s="161" t="s">
        <v>2748</v>
      </c>
      <c r="B849" s="408" t="s">
        <v>2325</v>
      </c>
      <c r="C849" s="297" t="str">
        <f>IF(LEN(A849)=0,"",INDEX('[2]Smelter Reference List'!$C$1:$C$65536,MATCH($A849,'[2]Smelter Reference List'!$E$1:$E$65536,0)))</f>
        <v>H.C. Starck Ltd.</v>
      </c>
      <c r="D849" s="161" t="s">
        <v>2747</v>
      </c>
      <c r="E849" s="161" t="s">
        <v>2249</v>
      </c>
      <c r="F849" s="161" t="s">
        <v>2748</v>
      </c>
      <c r="G849" s="161" t="s">
        <v>3125</v>
      </c>
      <c r="H849" s="247">
        <v>0</v>
      </c>
      <c r="I849" s="248" t="s">
        <v>3424</v>
      </c>
      <c r="J849" s="248" t="s">
        <v>3425</v>
      </c>
      <c r="K849" s="245"/>
      <c r="L849" s="245"/>
      <c r="M849" s="245"/>
      <c r="N849" s="245"/>
      <c r="O849" s="245"/>
      <c r="P849" s="245"/>
      <c r="Q849" s="246"/>
      <c r="R849" s="233"/>
      <c r="S849" s="234">
        <f>IF(C849="",NA(),MATCH($B849&amp;$C849,'Smelter Reference List'!$J:$J,0))</f>
        <v>259</v>
      </c>
      <c r="T849" s="235"/>
      <c r="U849" s="235">
        <f t="shared" si="22"/>
        <v>0</v>
      </c>
      <c r="V849" s="235"/>
      <c r="W849" s="235"/>
      <c r="Y849" s="228" t="str">
        <f t="shared" si="23"/>
        <v>TantalumH.C. Starck Ltd.</v>
      </c>
    </row>
    <row r="850" spans="1:25" s="228" customFormat="1" ht="20.25">
      <c r="A850" s="161" t="s">
        <v>2750</v>
      </c>
      <c r="B850" s="408" t="s">
        <v>2325</v>
      </c>
      <c r="C850" s="297" t="str">
        <f>IF(LEN(A850)=0,"",INDEX('[2]Smelter Reference List'!$C$1:$C$65536,MATCH($A850,'[2]Smelter Reference List'!$E$1:$E$65536,0)))</f>
        <v>H.C. Starck Smelting GmbH &amp; Co. KG</v>
      </c>
      <c r="D850" s="161" t="s">
        <v>4729</v>
      </c>
      <c r="E850" s="161" t="s">
        <v>2195</v>
      </c>
      <c r="F850" s="161" t="s">
        <v>2750</v>
      </c>
      <c r="G850" s="161" t="s">
        <v>3125</v>
      </c>
      <c r="H850" s="247">
        <v>0</v>
      </c>
      <c r="I850" s="248" t="s">
        <v>3420</v>
      </c>
      <c r="J850" s="248" t="s">
        <v>3131</v>
      </c>
      <c r="K850" s="245"/>
      <c r="L850" s="245"/>
      <c r="M850" s="245"/>
      <c r="N850" s="245"/>
      <c r="O850" s="245"/>
      <c r="P850" s="245"/>
      <c r="Q850" s="246"/>
      <c r="R850" s="233"/>
      <c r="S850" s="234">
        <f>IF(C850="",NA(),MATCH($B850&amp;$C850,'Smelter Reference List'!$J:$J,0))</f>
        <v>260</v>
      </c>
      <c r="T850" s="235"/>
      <c r="U850" s="235">
        <f t="shared" si="22"/>
        <v>0</v>
      </c>
      <c r="V850" s="235"/>
      <c r="W850" s="235"/>
      <c r="Y850" s="228" t="str">
        <f t="shared" si="23"/>
        <v>TantalumH.C. Starck Smelting GmbH &amp; Co. KG</v>
      </c>
    </row>
    <row r="851" spans="1:25" s="228" customFormat="1" ht="20.25">
      <c r="A851" s="161" t="s">
        <v>1352</v>
      </c>
      <c r="B851" s="408" t="s">
        <v>2325</v>
      </c>
      <c r="C851" s="297" t="str">
        <f>IF(LEN(A851)=0,"",INDEX('[2]Smelter Reference List'!$C$1:$C$65536,MATCH($A851,'[2]Smelter Reference List'!$E$1:$E$65536,0)))</f>
        <v>Mitsui Mining &amp; Smelting</v>
      </c>
      <c r="D851" s="161" t="s">
        <v>2308</v>
      </c>
      <c r="E851" s="161" t="s">
        <v>2249</v>
      </c>
      <c r="F851" s="161" t="s">
        <v>1352</v>
      </c>
      <c r="G851" s="161" t="s">
        <v>3125</v>
      </c>
      <c r="H851" s="247">
        <v>0</v>
      </c>
      <c r="I851" s="248" t="s">
        <v>3387</v>
      </c>
      <c r="J851" s="248" t="s">
        <v>3388</v>
      </c>
      <c r="K851" s="245"/>
      <c r="L851" s="245"/>
      <c r="M851" s="245"/>
      <c r="N851" s="245"/>
      <c r="O851" s="245"/>
      <c r="P851" s="245"/>
      <c r="Q851" s="246"/>
      <c r="R851" s="233"/>
      <c r="S851" s="234">
        <f>IF(C851="",NA(),MATCH($B851&amp;$C851,'Smelter Reference List'!$J:$J,0))</f>
        <v>276</v>
      </c>
      <c r="T851" s="235"/>
      <c r="U851" s="235">
        <f t="shared" si="22"/>
        <v>0</v>
      </c>
      <c r="V851" s="235"/>
      <c r="W851" s="235"/>
      <c r="Y851" s="228" t="str">
        <f t="shared" si="23"/>
        <v>TantalumMitsui Mining &amp; Smelting</v>
      </c>
    </row>
    <row r="852" spans="1:25" s="228" customFormat="1" ht="20.25">
      <c r="A852" s="161" t="s">
        <v>1347</v>
      </c>
      <c r="B852" s="408" t="s">
        <v>2325</v>
      </c>
      <c r="C852" s="297" t="str">
        <f>IF(LEN(A852)=0,"",INDEX('[2]Smelter Reference List'!$C$1:$C$65536,MATCH($A852,'[2]Smelter Reference List'!$E$1:$E$65536,0)))</f>
        <v>Jiujiang Tanbre Co., Ltd.</v>
      </c>
      <c r="D852" s="161" t="s">
        <v>64</v>
      </c>
      <c r="E852" s="161" t="s">
        <v>2181</v>
      </c>
      <c r="F852" s="161" t="s">
        <v>1347</v>
      </c>
      <c r="G852" s="161" t="s">
        <v>3125</v>
      </c>
      <c r="H852" s="247">
        <v>0</v>
      </c>
      <c r="I852" s="248" t="s">
        <v>3379</v>
      </c>
      <c r="J852" s="248" t="s">
        <v>3204</v>
      </c>
      <c r="K852" s="245"/>
      <c r="L852" s="245"/>
      <c r="M852" s="245"/>
      <c r="N852" s="245"/>
      <c r="O852" s="245"/>
      <c r="P852" s="245"/>
      <c r="Q852" s="246"/>
      <c r="R852" s="233"/>
      <c r="S852" s="234">
        <f>IF(C852="",NA(),MATCH($B852&amp;$C852,'Smelter Reference List'!$J:$J,0))</f>
        <v>267</v>
      </c>
      <c r="T852" s="235"/>
      <c r="U852" s="235">
        <f t="shared" si="22"/>
        <v>0</v>
      </c>
      <c r="V852" s="235"/>
      <c r="W852" s="235"/>
      <c r="Y852" s="228" t="str">
        <f t="shared" si="23"/>
        <v>TantalumJiujiang Tanbre Co., Ltd.</v>
      </c>
    </row>
    <row r="853" spans="1:25" s="228" customFormat="1" ht="20.25">
      <c r="A853" s="161" t="s">
        <v>1419</v>
      </c>
      <c r="B853" s="408" t="s">
        <v>2326</v>
      </c>
      <c r="C853" s="297" t="str">
        <f>IF(LEN(A853)=0,"",INDEX('[2]Smelter Reference List'!$C$1:$C$65536,MATCH($A853,'[2]Smelter Reference List'!$E$1:$E$65536,0)))</f>
        <v>Ganzhou Huaxing Tungsten Products Co., Ltd.</v>
      </c>
      <c r="D853" s="161" t="s">
        <v>211</v>
      </c>
      <c r="E853" s="161" t="s">
        <v>2181</v>
      </c>
      <c r="F853" s="161" t="s">
        <v>1419</v>
      </c>
      <c r="G853" s="161" t="s">
        <v>3125</v>
      </c>
      <c r="H853" s="247">
        <v>0</v>
      </c>
      <c r="I853" s="248" t="s">
        <v>3471</v>
      </c>
      <c r="J853" s="248" t="s">
        <v>3204</v>
      </c>
      <c r="K853" s="245"/>
      <c r="L853" s="245"/>
      <c r="M853" s="245"/>
      <c r="N853" s="245"/>
      <c r="O853" s="245"/>
      <c r="P853" s="245"/>
      <c r="Q853" s="246"/>
      <c r="R853" s="233"/>
      <c r="S853" s="234">
        <f>IF(C853="",NA(),MATCH($B853&amp;$C853,'Smelter Reference List'!$J:$J,0))</f>
        <v>485</v>
      </c>
      <c r="T853" s="235"/>
      <c r="U853" s="235">
        <f t="shared" si="22"/>
        <v>0</v>
      </c>
      <c r="V853" s="235"/>
      <c r="W853" s="235"/>
      <c r="Y853" s="228" t="str">
        <f t="shared" si="23"/>
        <v>TungstenGanzhou Huaxing Tungsten Products Co., Ltd.</v>
      </c>
    </row>
    <row r="854" spans="1:25" s="228" customFormat="1" ht="20.25">
      <c r="A854" s="161" t="s">
        <v>206</v>
      </c>
      <c r="B854" s="408" t="s">
        <v>2326</v>
      </c>
      <c r="C854" s="297" t="str">
        <f>IF(LEN(A854)=0,"",INDEX('[2]Smelter Reference List'!$C$1:$C$65536,MATCH($A854,'[2]Smelter Reference List'!$E$1:$E$65536,0)))</f>
        <v>Xiamen Tungsten (H.C.) Co., Ltd.</v>
      </c>
      <c r="D854" s="161" t="s">
        <v>218</v>
      </c>
      <c r="E854" s="161" t="s">
        <v>2181</v>
      </c>
      <c r="F854" s="161" t="s">
        <v>206</v>
      </c>
      <c r="G854" s="161" t="s">
        <v>3125</v>
      </c>
      <c r="H854" s="247">
        <v>0</v>
      </c>
      <c r="I854" s="248" t="s">
        <v>3569</v>
      </c>
      <c r="J854" s="248" t="s">
        <v>3332</v>
      </c>
      <c r="K854" s="245"/>
      <c r="L854" s="245"/>
      <c r="M854" s="245"/>
      <c r="N854" s="245"/>
      <c r="O854" s="245"/>
      <c r="P854" s="245"/>
      <c r="Q854" s="246"/>
      <c r="R854" s="233"/>
      <c r="S854" s="234">
        <f>IF(C854="",NA(),MATCH($B854&amp;$C854,'Smelter Reference List'!$J:$J,0))</f>
        <v>531</v>
      </c>
      <c r="T854" s="235"/>
      <c r="U854" s="235">
        <f t="shared" si="22"/>
        <v>0</v>
      </c>
      <c r="V854" s="235"/>
      <c r="W854" s="235"/>
      <c r="Y854" s="228" t="str">
        <f t="shared" si="23"/>
        <v>TungstenXiamen Tungsten (H.C.) Co., Ltd.</v>
      </c>
    </row>
    <row r="855" spans="1:25" s="228" customFormat="1" ht="20.25">
      <c r="A855" s="408" t="s">
        <v>1423</v>
      </c>
      <c r="B855" s="408" t="s">
        <v>2326</v>
      </c>
      <c r="C855" s="297" t="str">
        <f>IF(LEN(A855)=0,"",INDEX('[2]Smelter Reference List'!$C$1:$C$65536,MATCH($A855,'[2]Smelter Reference List'!$E$1:$E$65536,0)))</f>
        <v>Xiamen Tungsten Co., Ltd.</v>
      </c>
      <c r="D855" s="161" t="s">
        <v>2663</v>
      </c>
      <c r="E855" s="161" t="s">
        <v>2181</v>
      </c>
      <c r="F855" s="161" t="s">
        <v>1423</v>
      </c>
      <c r="G855" s="161" t="s">
        <v>3125</v>
      </c>
      <c r="H855" s="247">
        <v>0</v>
      </c>
      <c r="I855" s="248" t="s">
        <v>3569</v>
      </c>
      <c r="J855" s="248" t="s">
        <v>3332</v>
      </c>
      <c r="K855" s="245"/>
      <c r="L855" s="245"/>
      <c r="M855" s="245"/>
      <c r="N855" s="245"/>
      <c r="O855" s="245"/>
      <c r="P855" s="245"/>
      <c r="Q855" s="246"/>
      <c r="R855" s="233"/>
      <c r="S855" s="234">
        <f>IF(C855="",NA(),MATCH($B855&amp;$C855,'Smelter Reference List'!$J:$J,0))</f>
        <v>532</v>
      </c>
      <c r="T855" s="235"/>
      <c r="U855" s="235">
        <f t="shared" si="22"/>
        <v>0</v>
      </c>
      <c r="V855" s="235"/>
      <c r="W855" s="235"/>
      <c r="Y855" s="228" t="str">
        <f t="shared" si="23"/>
        <v>TungstenXiamen Tungsten Co., Ltd.</v>
      </c>
    </row>
    <row r="856" spans="1:25" s="228" customFormat="1" ht="20.25">
      <c r="A856" s="161" t="s">
        <v>1378</v>
      </c>
      <c r="B856" s="408" t="s">
        <v>2324</v>
      </c>
      <c r="C856" s="297" t="str">
        <f>IF(LEN(A856)=0,"",INDEX('[2]Smelter Reference List'!$C$1:$C$65536,MATCH($A856,'[2]Smelter Reference List'!$E$1:$E$65536,0)))</f>
        <v>Malaysia Smelting Corporation (MSC)</v>
      </c>
      <c r="D856" s="161" t="s">
        <v>1471</v>
      </c>
      <c r="E856" s="161" t="s">
        <v>2289</v>
      </c>
      <c r="F856" s="161" t="s">
        <v>1378</v>
      </c>
      <c r="G856" s="161" t="s">
        <v>3125</v>
      </c>
      <c r="H856" s="247">
        <v>0</v>
      </c>
      <c r="I856" s="248" t="s">
        <v>3481</v>
      </c>
      <c r="J856" s="248" t="s">
        <v>3482</v>
      </c>
      <c r="K856" s="245"/>
      <c r="L856" s="245"/>
      <c r="M856" s="245"/>
      <c r="N856" s="245"/>
      <c r="O856" s="245"/>
      <c r="P856" s="245"/>
      <c r="Q856" s="246"/>
      <c r="R856" s="233"/>
      <c r="S856" s="234">
        <f>IF(C856="",NA(),MATCH($B856&amp;$C856,'Smelter Reference List'!$J:$J,0))</f>
        <v>377</v>
      </c>
      <c r="T856" s="235"/>
      <c r="U856" s="235">
        <f t="shared" si="22"/>
        <v>0</v>
      </c>
      <c r="V856" s="235"/>
      <c r="W856" s="235"/>
      <c r="Y856" s="228" t="str">
        <f t="shared" si="23"/>
        <v>TinMalaysia Smelting Corporation (MSC)</v>
      </c>
    </row>
    <row r="857" spans="1:25" s="228" customFormat="1" ht="20.25">
      <c r="A857" s="161" t="s">
        <v>1396</v>
      </c>
      <c r="B857" s="408" t="s">
        <v>2324</v>
      </c>
      <c r="C857" s="297" t="str">
        <f>IF(LEN(A857)=0,"",INDEX('[2]Smelter Reference List'!$C$1:$C$65536,MATCH($A857,'[2]Smelter Reference List'!$E$1:$E$65536,0)))</f>
        <v>PT Refined Bangka Tin</v>
      </c>
      <c r="D857" s="161" t="s">
        <v>4169</v>
      </c>
      <c r="E857" s="161" t="s">
        <v>2238</v>
      </c>
      <c r="F857" s="161" t="s">
        <v>1396</v>
      </c>
      <c r="G857" s="161" t="s">
        <v>3125</v>
      </c>
      <c r="H857" s="247">
        <v>0</v>
      </c>
      <c r="I857" s="248" t="s">
        <v>3453</v>
      </c>
      <c r="J857" s="248" t="s">
        <v>3454</v>
      </c>
      <c r="K857" s="245"/>
      <c r="L857" s="245"/>
      <c r="M857" s="245"/>
      <c r="N857" s="245"/>
      <c r="O857" s="245"/>
      <c r="P857" s="245"/>
      <c r="Q857" s="246"/>
      <c r="R857" s="233"/>
      <c r="S857" s="234">
        <f>IF(C857="",NA(),MATCH($B857&amp;$C857,'Smelter Reference List'!$J:$J,0))</f>
        <v>424</v>
      </c>
      <c r="T857" s="235"/>
      <c r="U857" s="235">
        <f t="shared" si="22"/>
        <v>0</v>
      </c>
      <c r="V857" s="235"/>
      <c r="W857" s="235"/>
      <c r="Y857" s="228" t="str">
        <f t="shared" si="23"/>
        <v>TinPT Refined Bangka Tin</v>
      </c>
    </row>
    <row r="858" spans="1:25" s="228" customFormat="1" ht="20.25">
      <c r="A858" s="161" t="s">
        <v>1406</v>
      </c>
      <c r="B858" s="408" t="s">
        <v>2324</v>
      </c>
      <c r="C858" s="297" t="str">
        <f>IF(LEN(A858)=0,"",INDEX('[2]Smelter Reference List'!$C$1:$C$65536,MATCH($A858,'[2]Smelter Reference List'!$E$1:$E$65536,0)))</f>
        <v>Yunnan Chengfeng Non-ferrous Metals Co., Ltd.</v>
      </c>
      <c r="D858" s="161" t="s">
        <v>4183</v>
      </c>
      <c r="E858" s="161" t="s">
        <v>2181</v>
      </c>
      <c r="F858" s="161" t="s">
        <v>1406</v>
      </c>
      <c r="G858" s="161" t="s">
        <v>3125</v>
      </c>
      <c r="H858" s="247">
        <v>0</v>
      </c>
      <c r="I858" s="248" t="s">
        <v>3468</v>
      </c>
      <c r="J858" s="248" t="s">
        <v>3161</v>
      </c>
      <c r="K858" s="245"/>
      <c r="L858" s="245"/>
      <c r="M858" s="245"/>
      <c r="N858" s="245"/>
      <c r="O858" s="245"/>
      <c r="P858" s="245"/>
      <c r="Q858" s="246"/>
      <c r="R858" s="233"/>
      <c r="S858" s="234">
        <f>IF(C858="",NA(),MATCH($B858&amp;$C858,'Smelter Reference List'!$J:$J,0))</f>
        <v>459</v>
      </c>
      <c r="T858" s="235"/>
      <c r="U858" s="235">
        <f t="shared" si="22"/>
        <v>0</v>
      </c>
      <c r="V858" s="235"/>
      <c r="W858" s="235"/>
      <c r="Y858" s="228" t="str">
        <f t="shared" si="23"/>
        <v>TinYunnan Chengfeng Non-ferrous Metals Co., Ltd.</v>
      </c>
    </row>
    <row r="859" spans="1:25" s="228" customFormat="1" ht="20.25">
      <c r="A859" s="161" t="s">
        <v>1379</v>
      </c>
      <c r="B859" s="408" t="s">
        <v>2324</v>
      </c>
      <c r="C859" s="297" t="str">
        <f>IF(LEN(A859)=0,"",INDEX('[2]Smelter Reference List'!$C$1:$C$65536,MATCH($A859,'[2]Smelter Reference List'!$E$1:$E$65536,0)))</f>
        <v>Mineração Taboca S.A.</v>
      </c>
      <c r="D859" s="161" t="s">
        <v>1953</v>
      </c>
      <c r="E859" s="161" t="s">
        <v>2170</v>
      </c>
      <c r="F859" s="161" t="s">
        <v>1379</v>
      </c>
      <c r="G859" s="161" t="s">
        <v>3125</v>
      </c>
      <c r="H859" s="247">
        <v>0</v>
      </c>
      <c r="I859" s="248" t="s">
        <v>3485</v>
      </c>
      <c r="J859" s="248" t="s">
        <v>3313</v>
      </c>
      <c r="K859" s="245"/>
      <c r="L859" s="245"/>
      <c r="M859" s="245"/>
      <c r="N859" s="245"/>
      <c r="O859" s="245"/>
      <c r="P859" s="245"/>
      <c r="Q859" s="246"/>
      <c r="R859" s="233"/>
      <c r="S859" s="234">
        <f>IF(C859="",NA(),MATCH($B859&amp;$C859,'Smelter Reference List'!$J:$J,0))</f>
        <v>383</v>
      </c>
      <c r="T859" s="235"/>
      <c r="U859" s="235">
        <f t="shared" si="22"/>
        <v>0</v>
      </c>
      <c r="V859" s="235"/>
      <c r="W859" s="235"/>
      <c r="Y859" s="228" t="str">
        <f t="shared" si="23"/>
        <v>TinMineração Taboca S.A.</v>
      </c>
    </row>
    <row r="860" spans="1:25" s="228" customFormat="1" ht="20.25">
      <c r="A860" s="161" t="s">
        <v>1368</v>
      </c>
      <c r="B860" s="408" t="s">
        <v>2324</v>
      </c>
      <c r="C860" s="297" t="str">
        <f>IF(LEN(A860)=0,"",INDEX('[2]Smelter Reference List'!$C$1:$C$65536,MATCH($A860,'[2]Smelter Reference List'!$E$1:$E$65536,0)))</f>
        <v>EM Vinto</v>
      </c>
      <c r="D860" s="161" t="s">
        <v>1506</v>
      </c>
      <c r="E860" s="161" t="s">
        <v>2169</v>
      </c>
      <c r="F860" s="161" t="s">
        <v>1368</v>
      </c>
      <c r="G860" s="161" t="s">
        <v>3125</v>
      </c>
      <c r="H860" s="247">
        <v>0</v>
      </c>
      <c r="I860" s="248" t="s">
        <v>3459</v>
      </c>
      <c r="J860" s="248" t="s">
        <v>3460</v>
      </c>
      <c r="K860" s="245"/>
      <c r="L860" s="245"/>
      <c r="M860" s="245"/>
      <c r="N860" s="245"/>
      <c r="O860" s="245"/>
      <c r="P860" s="245"/>
      <c r="Q860" s="246"/>
      <c r="R860" s="233"/>
      <c r="S860" s="234">
        <f>IF(C860="",NA(),MATCH($B860&amp;$C860,'Smelter Reference List'!$J:$J,0))</f>
        <v>341</v>
      </c>
      <c r="T860" s="235"/>
      <c r="U860" s="235">
        <f t="shared" si="22"/>
        <v>0</v>
      </c>
      <c r="V860" s="235"/>
      <c r="W860" s="235"/>
      <c r="Y860" s="228" t="str">
        <f t="shared" si="23"/>
        <v>TinEM Vinto</v>
      </c>
    </row>
    <row r="861" spans="1:25" s="228" customFormat="1" ht="20.25">
      <c r="A861" s="161" t="s">
        <v>1404</v>
      </c>
      <c r="B861" s="408" t="s">
        <v>2324</v>
      </c>
      <c r="C861" s="297" t="str">
        <f>IF(LEN(A861)=0,"",INDEX('[2]Smelter Reference List'!$C$1:$C$65536,MATCH($A861,'[2]Smelter Reference List'!$E$1:$E$65536,0)))</f>
        <v>Thaisarco</v>
      </c>
      <c r="D861" s="161" t="s">
        <v>1951</v>
      </c>
      <c r="E861" s="161" t="s">
        <v>1743</v>
      </c>
      <c r="F861" s="161" t="s">
        <v>1404</v>
      </c>
      <c r="G861" s="161" t="s">
        <v>3125</v>
      </c>
      <c r="H861" s="247">
        <v>0</v>
      </c>
      <c r="I861" s="248" t="s">
        <v>3510</v>
      </c>
      <c r="J861" s="248" t="s">
        <v>3511</v>
      </c>
      <c r="K861" s="245"/>
      <c r="L861" s="245"/>
      <c r="M861" s="245"/>
      <c r="N861" s="245"/>
      <c r="O861" s="245"/>
      <c r="P861" s="245"/>
      <c r="Q861" s="246"/>
      <c r="R861" s="233"/>
      <c r="S861" s="234">
        <f>IF(C861="",NA(),MATCH($B861&amp;$C861,'Smelter Reference List'!$J:$J,0))</f>
        <v>445</v>
      </c>
      <c r="T861" s="235"/>
      <c r="U861" s="235">
        <f t="shared" si="22"/>
        <v>0</v>
      </c>
      <c r="V861" s="235"/>
      <c r="W861" s="235"/>
      <c r="Y861" s="228" t="str">
        <f t="shared" si="23"/>
        <v>TinThaisarco</v>
      </c>
    </row>
    <row r="862" spans="1:25" s="228" customFormat="1" ht="20.25">
      <c r="A862" s="161" t="s">
        <v>1405</v>
      </c>
      <c r="B862" s="408" t="s">
        <v>2324</v>
      </c>
      <c r="C862" s="297" t="str">
        <f>IF(LEN(A862)=0,"",INDEX('[2]Smelter Reference List'!$C$1:$C$65536,MATCH($A862,'[2]Smelter Reference List'!$E$1:$E$65536,0)))</f>
        <v>White Solder Metalurgia e Mineração Ltda.</v>
      </c>
      <c r="D862" s="161" t="s">
        <v>68</v>
      </c>
      <c r="E862" s="161" t="s">
        <v>2170</v>
      </c>
      <c r="F862" s="161" t="s">
        <v>1405</v>
      </c>
      <c r="G862" s="161" t="s">
        <v>3125</v>
      </c>
      <c r="H862" s="247">
        <v>0</v>
      </c>
      <c r="I862" s="248" t="s">
        <v>3451</v>
      </c>
      <c r="J862" s="248" t="s">
        <v>3452</v>
      </c>
      <c r="K862" s="245"/>
      <c r="L862" s="245"/>
      <c r="M862" s="245"/>
      <c r="N862" s="245"/>
      <c r="O862" s="245"/>
      <c r="P862" s="245"/>
      <c r="Q862" s="246"/>
      <c r="R862" s="233"/>
      <c r="S862" s="234">
        <f>IF(C862="",NA(),MATCH($B862&amp;$C862,'Smelter Reference List'!$J:$J,0))</f>
        <v>452</v>
      </c>
      <c r="T862" s="235"/>
      <c r="U862" s="235">
        <f t="shared" si="22"/>
        <v>0</v>
      </c>
      <c r="V862" s="235"/>
      <c r="W862" s="235"/>
      <c r="Y862" s="228" t="str">
        <f t="shared" si="23"/>
        <v>TinWhite Solder Metalurgia e Mineração Ltda.</v>
      </c>
    </row>
    <row r="863" spans="1:25" s="228" customFormat="1" ht="20.25">
      <c r="A863" s="161" t="s">
        <v>1389</v>
      </c>
      <c r="B863" s="408" t="s">
        <v>2324</v>
      </c>
      <c r="C863" s="297" t="str">
        <f>IF(LEN(A863)=0,"",INDEX('[2]Smelter Reference List'!$C$1:$C$65536,MATCH($A863,'[2]Smelter Reference List'!$E$1:$E$65536,0)))</f>
        <v>PT Bukit Timah</v>
      </c>
      <c r="D863" s="161" t="s">
        <v>1194</v>
      </c>
      <c r="E863" s="161" t="s">
        <v>2238</v>
      </c>
      <c r="F863" s="161" t="s">
        <v>1389</v>
      </c>
      <c r="G863" s="161" t="s">
        <v>3125</v>
      </c>
      <c r="H863" s="247">
        <v>0</v>
      </c>
      <c r="I863" s="248" t="s">
        <v>3457</v>
      </c>
      <c r="J863" s="248" t="s">
        <v>3454</v>
      </c>
      <c r="K863" s="245"/>
      <c r="L863" s="245"/>
      <c r="M863" s="245"/>
      <c r="N863" s="245"/>
      <c r="O863" s="245"/>
      <c r="P863" s="245"/>
      <c r="Q863" s="246"/>
      <c r="R863" s="233"/>
      <c r="S863" s="234">
        <f>IF(C863="",NA(),MATCH($B863&amp;$C863,'Smelter Reference List'!$J:$J,0))</f>
        <v>408</v>
      </c>
      <c r="T863" s="235"/>
      <c r="U863" s="235">
        <f t="shared" si="22"/>
        <v>0</v>
      </c>
      <c r="V863" s="235"/>
      <c r="W863" s="235"/>
      <c r="Y863" s="228" t="str">
        <f t="shared" si="23"/>
        <v>TinPT Bukit Timah</v>
      </c>
    </row>
    <row r="864" spans="1:25" s="228" customFormat="1" ht="20.25">
      <c r="A864" s="161" t="s">
        <v>1424</v>
      </c>
      <c r="B864" s="408" t="s">
        <v>2324</v>
      </c>
      <c r="C864" s="297" t="str">
        <f>IF(LEN(A864)=0,"",INDEX('[2]Smelter Reference List'!$C$1:$C$65536,MATCH($A864,'[2]Smelter Reference List'!$E$1:$E$65536,0)))</f>
        <v>PT Timah (Persero) Tbk Kundur</v>
      </c>
      <c r="D864" s="161" t="s">
        <v>3503</v>
      </c>
      <c r="E864" s="161" t="s">
        <v>2238</v>
      </c>
      <c r="F864" s="161" t="s">
        <v>1424</v>
      </c>
      <c r="G864" s="161" t="s">
        <v>3125</v>
      </c>
      <c r="H864" s="247">
        <v>0</v>
      </c>
      <c r="I864" s="248" t="s">
        <v>3504</v>
      </c>
      <c r="J864" s="248" t="s">
        <v>3505</v>
      </c>
      <c r="K864" s="245"/>
      <c r="L864" s="245"/>
      <c r="M864" s="245"/>
      <c r="N864" s="245"/>
      <c r="O864" s="245"/>
      <c r="P864" s="245"/>
      <c r="Q864" s="246"/>
      <c r="R864" s="233"/>
      <c r="S864" s="234">
        <f>IF(C864="",NA(),MATCH($B864&amp;$C864,'Smelter Reference List'!$J:$J,0))</f>
        <v>431</v>
      </c>
      <c r="T864" s="235"/>
      <c r="U864" s="235">
        <f t="shared" si="22"/>
        <v>0</v>
      </c>
      <c r="V864" s="235"/>
      <c r="W864" s="235"/>
      <c r="Y864" s="228" t="str">
        <f t="shared" si="23"/>
        <v>TinPT Timah (Persero) Tbk Kundur</v>
      </c>
    </row>
    <row r="865" spans="1:25" s="228" customFormat="1" ht="20.25">
      <c r="A865" s="161" t="s">
        <v>1399</v>
      </c>
      <c r="B865" s="408" t="s">
        <v>2324</v>
      </c>
      <c r="C865" s="297" t="str">
        <f>IF(LEN(A865)=0,"",INDEX('[2]Smelter Reference List'!$C$1:$C$65536,MATCH($A865,'[2]Smelter Reference List'!$E$1:$E$65536,0)))</f>
        <v>PT Timah (Persero) Tbk Mentok</v>
      </c>
      <c r="D865" s="161" t="s">
        <v>4266</v>
      </c>
      <c r="E865" s="161" t="s">
        <v>2238</v>
      </c>
      <c r="F865" s="161" t="s">
        <v>1399</v>
      </c>
      <c r="G865" s="161" t="s">
        <v>3125</v>
      </c>
      <c r="H865" s="247">
        <v>0</v>
      </c>
      <c r="I865" s="248" t="s">
        <v>3507</v>
      </c>
      <c r="J865" s="248" t="s">
        <v>3454</v>
      </c>
      <c r="K865" s="245"/>
      <c r="L865" s="245"/>
      <c r="M865" s="245"/>
      <c r="N865" s="245"/>
      <c r="O865" s="245"/>
      <c r="P865" s="245"/>
      <c r="Q865" s="246"/>
      <c r="R865" s="233"/>
      <c r="S865" s="234">
        <f>IF(C865="",NA(),MATCH($B865&amp;$C865,'Smelter Reference List'!$J:$J,0))</f>
        <v>432</v>
      </c>
      <c r="T865" s="235"/>
      <c r="U865" s="235">
        <f t="shared" si="22"/>
        <v>0</v>
      </c>
      <c r="V865" s="235"/>
      <c r="W865" s="235"/>
      <c r="Y865" s="228" t="str">
        <f t="shared" si="23"/>
        <v>TinPT Timah (Persero) Tbk Mentok</v>
      </c>
    </row>
    <row r="866" spans="1:25" s="228" customFormat="1" ht="20.25">
      <c r="A866" s="161" t="s">
        <v>1372</v>
      </c>
      <c r="B866" s="408" t="s">
        <v>2324</v>
      </c>
      <c r="C866" s="297" t="str">
        <f>IF(LEN(A866)=0,"",INDEX('[2]Smelter Reference List'!$C$1:$C$65536,MATCH($A866,'[2]Smelter Reference List'!$E$1:$E$65536,0)))</f>
        <v>Gejiu Non-Ferrous Metal Processing Co., Ltd.</v>
      </c>
      <c r="D866" s="161" t="s">
        <v>4152</v>
      </c>
      <c r="E866" s="161" t="s">
        <v>2181</v>
      </c>
      <c r="F866" s="161" t="s">
        <v>1372</v>
      </c>
      <c r="G866" s="161" t="s">
        <v>3125</v>
      </c>
      <c r="H866" s="247">
        <v>0</v>
      </c>
      <c r="I866" s="248" t="s">
        <v>3468</v>
      </c>
      <c r="J866" s="248" t="s">
        <v>3161</v>
      </c>
      <c r="K866" s="245"/>
      <c r="L866" s="245"/>
      <c r="M866" s="245"/>
      <c r="N866" s="245"/>
      <c r="O866" s="245"/>
      <c r="P866" s="245"/>
      <c r="Q866" s="246"/>
      <c r="R866" s="233"/>
      <c r="S866" s="234">
        <f>IF(C866="",NA(),MATCH($B866&amp;$C866,'Smelter Reference List'!$J:$J,0))</f>
        <v>353</v>
      </c>
      <c r="T866" s="235"/>
      <c r="U866" s="235">
        <f t="shared" si="22"/>
        <v>0</v>
      </c>
      <c r="V866" s="235"/>
      <c r="W866" s="235"/>
      <c r="Y866" s="228" t="str">
        <f t="shared" si="23"/>
        <v>TinGejiu Non-Ferrous Metal Processing Co., Ltd.</v>
      </c>
    </row>
    <row r="867" spans="1:25" s="228" customFormat="1" ht="20.25">
      <c r="A867" s="161" t="s">
        <v>1398</v>
      </c>
      <c r="B867" s="408" t="s">
        <v>2324</v>
      </c>
      <c r="C867" s="297" t="str">
        <f>IF(LEN(A867)=0,"",INDEX('[2]Smelter Reference List'!$C$1:$C$65536,MATCH($A867,'[2]Smelter Reference List'!$E$1:$E$65536,0)))</f>
        <v>PT Stanindo Inti Perkasa</v>
      </c>
      <c r="D867" s="161" t="s">
        <v>2369</v>
      </c>
      <c r="E867" s="161" t="s">
        <v>2238</v>
      </c>
      <c r="F867" s="161" t="s">
        <v>1398</v>
      </c>
      <c r="G867" s="161" t="s">
        <v>3125</v>
      </c>
      <c r="H867" s="247">
        <v>0</v>
      </c>
      <c r="I867" s="248" t="s">
        <v>3457</v>
      </c>
      <c r="J867" s="248" t="s">
        <v>3454</v>
      </c>
      <c r="K867" s="245"/>
      <c r="L867" s="245"/>
      <c r="M867" s="245"/>
      <c r="N867" s="245"/>
      <c r="O867" s="245"/>
      <c r="P867" s="245"/>
      <c r="Q867" s="246"/>
      <c r="R867" s="233"/>
      <c r="S867" s="234">
        <f>IF(C867="",NA(),MATCH($B867&amp;$C867,'Smelter Reference List'!$J:$J,0))</f>
        <v>427</v>
      </c>
      <c r="T867" s="235"/>
      <c r="U867" s="235">
        <f t="shared" si="22"/>
        <v>0</v>
      </c>
      <c r="V867" s="235"/>
      <c r="W867" s="235"/>
      <c r="Y867" s="228" t="str">
        <f t="shared" si="23"/>
        <v>TinPT Stanindo Inti Perkasa</v>
      </c>
    </row>
    <row r="868" spans="1:25" s="228" customFormat="1" ht="20.25">
      <c r="A868" s="161" t="s">
        <v>1406</v>
      </c>
      <c r="B868" s="408" t="s">
        <v>2324</v>
      </c>
      <c r="C868" s="297" t="str">
        <f>IF(LEN(A868)=0,"",INDEX('[2]Smelter Reference List'!$C$1:$C$65536,MATCH($A868,'[2]Smelter Reference List'!$E$1:$E$65536,0)))</f>
        <v>Yunnan Chengfeng Non-ferrous Metals Co., Ltd.</v>
      </c>
      <c r="D868" s="161" t="s">
        <v>4183</v>
      </c>
      <c r="E868" s="161" t="s">
        <v>2181</v>
      </c>
      <c r="F868" s="161" t="s">
        <v>1406</v>
      </c>
      <c r="G868" s="161" t="s">
        <v>3125</v>
      </c>
      <c r="H868" s="247">
        <v>0</v>
      </c>
      <c r="I868" s="248" t="s">
        <v>3468</v>
      </c>
      <c r="J868" s="248" t="s">
        <v>3161</v>
      </c>
      <c r="K868" s="245"/>
      <c r="L868" s="245"/>
      <c r="M868" s="245"/>
      <c r="N868" s="245"/>
      <c r="O868" s="245"/>
      <c r="P868" s="245"/>
      <c r="Q868" s="246"/>
      <c r="R868" s="233"/>
      <c r="S868" s="234">
        <f>IF(C868="",NA(),MATCH($B868&amp;$C868,'Smelter Reference List'!$J:$J,0))</f>
        <v>459</v>
      </c>
      <c r="T868" s="235"/>
      <c r="U868" s="235">
        <f t="shared" si="22"/>
        <v>0</v>
      </c>
      <c r="V868" s="235"/>
      <c r="W868" s="235"/>
      <c r="Y868" s="228" t="str">
        <f t="shared" si="23"/>
        <v>TinYunnan Chengfeng Non-ferrous Metals Co., Ltd.</v>
      </c>
    </row>
    <row r="869" spans="1:25" s="228" customFormat="1" ht="20.25">
      <c r="A869" s="161"/>
      <c r="B869" s="408" t="s">
        <v>2324</v>
      </c>
      <c r="C869" s="297" t="s">
        <v>3604</v>
      </c>
      <c r="D869" s="161" t="s">
        <v>5698</v>
      </c>
      <c r="E869" s="161" t="s">
        <v>2238</v>
      </c>
      <c r="F869" s="161">
        <v>0</v>
      </c>
      <c r="G869" s="228" t="s">
        <v>5584</v>
      </c>
      <c r="H869" s="247" t="s">
        <v>5699</v>
      </c>
      <c r="I869" s="248" t="s">
        <v>5666</v>
      </c>
      <c r="J869" s="248" t="s">
        <v>5700</v>
      </c>
      <c r="K869" s="245" t="s">
        <v>5701</v>
      </c>
      <c r="L869" s="245" t="s">
        <v>5702</v>
      </c>
      <c r="M869" s="245" t="s">
        <v>5864</v>
      </c>
      <c r="N869" s="245" t="s">
        <v>5669</v>
      </c>
      <c r="O869" s="245" t="s">
        <v>5367</v>
      </c>
      <c r="P869" s="245" t="s">
        <v>925</v>
      </c>
      <c r="Q869" s="246" t="s">
        <v>5865</v>
      </c>
      <c r="R869" s="233"/>
      <c r="S869" s="234">
        <f>IF(C869="",NA(),MATCH($B869&amp;$C869,'Smelter Reference List'!$J:$J,0))</f>
        <v>467</v>
      </c>
      <c r="T869" s="235"/>
      <c r="U869" s="235">
        <f t="shared" si="22"/>
        <v>0</v>
      </c>
      <c r="V869" s="235"/>
      <c r="W869" s="235"/>
      <c r="Y869" s="228" t="str">
        <f t="shared" si="23"/>
        <v>TinSmelter not listed</v>
      </c>
    </row>
    <row r="870" spans="1:25" s="228" customFormat="1" ht="20.25">
      <c r="A870" s="161" t="s">
        <v>1391</v>
      </c>
      <c r="B870" s="408" t="s">
        <v>2324</v>
      </c>
      <c r="C870" s="297" t="str">
        <f>IF(LEN(A870)=0,"",INDEX('[2]Smelter Reference List'!$C$1:$C$65536,MATCH($A870,'[2]Smelter Reference List'!$E$1:$E$65536,0)))</f>
        <v>PT Eunindo Usaha Mandiri</v>
      </c>
      <c r="D870" s="161" t="s">
        <v>1195</v>
      </c>
      <c r="E870" s="161" t="s">
        <v>2238</v>
      </c>
      <c r="F870" s="161" t="s">
        <v>1391</v>
      </c>
      <c r="G870" s="161" t="s">
        <v>3125</v>
      </c>
      <c r="H870" s="247">
        <v>0</v>
      </c>
      <c r="I870" s="248" t="s">
        <v>3500</v>
      </c>
      <c r="J870" s="248" t="s">
        <v>3499</v>
      </c>
      <c r="K870" s="245"/>
      <c r="L870" s="245"/>
      <c r="M870" s="245"/>
      <c r="N870" s="245"/>
      <c r="O870" s="245"/>
      <c r="P870" s="245"/>
      <c r="Q870" s="246"/>
      <c r="R870" s="233"/>
      <c r="S870" s="234">
        <f>IF(C870="",NA(),MATCH($B870&amp;$C870,'Smelter Reference List'!$J:$J,0))</f>
        <v>411</v>
      </c>
      <c r="T870" s="235"/>
      <c r="U870" s="235">
        <f t="shared" si="22"/>
        <v>0</v>
      </c>
      <c r="V870" s="235"/>
      <c r="W870" s="235"/>
      <c r="Y870" s="228" t="str">
        <f t="shared" si="23"/>
        <v>TinPT Eunindo Usaha Mandiri</v>
      </c>
    </row>
    <row r="871" spans="1:25" s="228" customFormat="1" ht="20.25">
      <c r="A871" s="161" t="s">
        <v>1367</v>
      </c>
      <c r="B871" s="408" t="s">
        <v>2324</v>
      </c>
      <c r="C871" s="297" t="str">
        <f>IF(LEN(A871)=0,"",INDEX('[2]Smelter Reference List'!$C$1:$C$65536,MATCH($A871,'[2]Smelter Reference List'!$E$1:$E$65536,0)))</f>
        <v>CV United Smelting</v>
      </c>
      <c r="D871" s="161" t="s">
        <v>1505</v>
      </c>
      <c r="E871" s="161" t="s">
        <v>2238</v>
      </c>
      <c r="F871" s="161" t="s">
        <v>1367</v>
      </c>
      <c r="G871" s="161" t="s">
        <v>3125</v>
      </c>
      <c r="H871" s="247">
        <v>0</v>
      </c>
      <c r="I871" s="248" t="s">
        <v>3457</v>
      </c>
      <c r="J871" s="248" t="s">
        <v>3454</v>
      </c>
      <c r="K871" s="245"/>
      <c r="L871" s="245"/>
      <c r="M871" s="245"/>
      <c r="N871" s="245"/>
      <c r="O871" s="245"/>
      <c r="P871" s="245"/>
      <c r="Q871" s="246"/>
      <c r="R871" s="233"/>
      <c r="S871" s="234">
        <f>IF(C871="",NA(),MATCH($B871&amp;$C871,'Smelter Reference List'!$J:$J,0))</f>
        <v>335</v>
      </c>
      <c r="T871" s="235"/>
      <c r="U871" s="235">
        <f t="shared" si="22"/>
        <v>0</v>
      </c>
      <c r="V871" s="235"/>
      <c r="W871" s="235"/>
      <c r="Y871" s="228" t="str">
        <f t="shared" si="23"/>
        <v>TinCV United Smelting</v>
      </c>
    </row>
    <row r="872" spans="1:25" s="228" customFormat="1" ht="20.25">
      <c r="A872" s="161" t="s">
        <v>1238</v>
      </c>
      <c r="B872" s="408" t="s">
        <v>2323</v>
      </c>
      <c r="C872" s="297" t="str">
        <f>IF(LEN(A872)=0,"",INDEX('[2]Smelter Reference List'!$C$1:$C$65536,MATCH($A872,'[2]Smelter Reference List'!$E$1:$E$65536,0)))</f>
        <v>Argor-Heraeus S.A.</v>
      </c>
      <c r="D872" s="161" t="s">
        <v>4669</v>
      </c>
      <c r="E872" s="161" t="s">
        <v>2179</v>
      </c>
      <c r="F872" s="161" t="s">
        <v>1238</v>
      </c>
      <c r="G872" s="161" t="s">
        <v>3125</v>
      </c>
      <c r="H872" s="247">
        <v>0</v>
      </c>
      <c r="I872" s="248" t="s">
        <v>3137</v>
      </c>
      <c r="J872" s="248" t="s">
        <v>3138</v>
      </c>
      <c r="K872" s="245"/>
      <c r="L872" s="245"/>
      <c r="M872" s="245"/>
      <c r="N872" s="245"/>
      <c r="O872" s="245"/>
      <c r="P872" s="245"/>
      <c r="Q872" s="246"/>
      <c r="R872" s="233"/>
      <c r="S872" s="234">
        <f>IF(C872="",NA(),MATCH($B872&amp;$C872,'Smelter Reference List'!$J:$J,0))</f>
        <v>17</v>
      </c>
      <c r="T872" s="235"/>
      <c r="U872" s="235">
        <f t="shared" si="22"/>
        <v>0</v>
      </c>
      <c r="V872" s="235"/>
      <c r="W872" s="235"/>
      <c r="Y872" s="228" t="str">
        <f t="shared" si="23"/>
        <v>GoldArgor-Heraeus S.A.</v>
      </c>
    </row>
    <row r="873" spans="1:25" s="228" customFormat="1" ht="20.25">
      <c r="A873" s="161" t="s">
        <v>1265</v>
      </c>
      <c r="B873" s="408" t="s">
        <v>2323</v>
      </c>
      <c r="C873" s="297" t="str">
        <f>IF(LEN(A873)=0,"",INDEX('[2]Smelter Reference List'!$C$1:$C$65536,MATCH($A873,'[2]Smelter Reference List'!$E$1:$E$65536,0)))</f>
        <v>Heraeus Precious Metals GmbH &amp; Co. KG</v>
      </c>
      <c r="D873" s="161" t="s">
        <v>2451</v>
      </c>
      <c r="E873" s="161" t="s">
        <v>2195</v>
      </c>
      <c r="F873" s="161" t="s">
        <v>1265</v>
      </c>
      <c r="G873" s="161" t="s">
        <v>3125</v>
      </c>
      <c r="H873" s="247">
        <v>0</v>
      </c>
      <c r="I873" s="248" t="s">
        <v>3192</v>
      </c>
      <c r="J873" s="248" t="s">
        <v>3193</v>
      </c>
      <c r="K873" s="245"/>
      <c r="L873" s="245"/>
      <c r="M873" s="245"/>
      <c r="N873" s="245"/>
      <c r="O873" s="245"/>
      <c r="P873" s="245"/>
      <c r="Q873" s="246"/>
      <c r="R873" s="233"/>
      <c r="S873" s="234">
        <f>IF(C873="",NA(),MATCH($B873&amp;$C873,'Smelter Reference List'!$J:$J,0))</f>
        <v>76</v>
      </c>
      <c r="T873" s="235"/>
      <c r="U873" s="235">
        <f t="shared" si="22"/>
        <v>0</v>
      </c>
      <c r="V873" s="235"/>
      <c r="W873" s="235"/>
      <c r="Y873" s="228" t="str">
        <f t="shared" si="23"/>
        <v>GoldHeraeus Precious Metals GmbH &amp; Co. KG</v>
      </c>
    </row>
    <row r="874" spans="1:25" s="228" customFormat="1" ht="20.25">
      <c r="A874" s="161" t="s">
        <v>1316</v>
      </c>
      <c r="B874" s="408" t="s">
        <v>2323</v>
      </c>
      <c r="C874" s="297" t="str">
        <f>IF(LEN(A874)=0,"",INDEX('[2]Smelter Reference List'!$C$1:$C$65536,MATCH($A874,'[2]Smelter Reference List'!$E$1:$E$65536,0)))</f>
        <v>Shandong Zhaojin Gold &amp; Silver Refinery Co., Ltd.</v>
      </c>
      <c r="D874" s="161" t="s">
        <v>4174</v>
      </c>
      <c r="E874" s="161" t="s">
        <v>2181</v>
      </c>
      <c r="F874" s="161" t="s">
        <v>1316</v>
      </c>
      <c r="G874" s="161" t="s">
        <v>3125</v>
      </c>
      <c r="H874" s="247">
        <v>0</v>
      </c>
      <c r="I874" s="248" t="s">
        <v>3185</v>
      </c>
      <c r="J874" s="248" t="s">
        <v>3264</v>
      </c>
      <c r="K874" s="245"/>
      <c r="L874" s="245"/>
      <c r="M874" s="245"/>
      <c r="N874" s="245"/>
      <c r="O874" s="245"/>
      <c r="P874" s="245"/>
      <c r="Q874" s="246"/>
      <c r="R874" s="233"/>
      <c r="S874" s="234">
        <f>IF(C874="",NA(),MATCH($B874&amp;$C874,'Smelter Reference List'!$J:$J,0))</f>
        <v>176</v>
      </c>
      <c r="T874" s="235"/>
      <c r="U874" s="235">
        <f t="shared" si="22"/>
        <v>0</v>
      </c>
      <c r="V874" s="235"/>
      <c r="W874" s="235"/>
      <c r="Y874" s="228" t="str">
        <f t="shared" si="23"/>
        <v>GoldShandong Zhaojin Gold &amp; Silver Refinery Co., Ltd.</v>
      </c>
    </row>
    <row r="875" spans="1:25" s="228" customFormat="1" ht="20.25">
      <c r="A875" s="161" t="s">
        <v>1264</v>
      </c>
      <c r="B875" s="408" t="s">
        <v>2323</v>
      </c>
      <c r="C875" s="297" t="str">
        <f>IF(LEN(A875)=0,"",INDEX('[2]Smelter Reference List'!$C$1:$C$65536,MATCH($A875,'[2]Smelter Reference List'!$E$1:$E$65536,0)))</f>
        <v>Heraeus Ltd. Hong Kong</v>
      </c>
      <c r="D875" s="161" t="s">
        <v>72</v>
      </c>
      <c r="E875" s="161" t="s">
        <v>2181</v>
      </c>
      <c r="F875" s="161" t="s">
        <v>1264</v>
      </c>
      <c r="G875" s="161" t="s">
        <v>3125</v>
      </c>
      <c r="H875" s="247">
        <v>0</v>
      </c>
      <c r="I875" s="248" t="s">
        <v>3190</v>
      </c>
      <c r="J875" s="248" t="s">
        <v>3191</v>
      </c>
      <c r="K875" s="245"/>
      <c r="L875" s="245"/>
      <c r="M875" s="245"/>
      <c r="N875" s="245"/>
      <c r="O875" s="245"/>
      <c r="P875" s="245"/>
      <c r="Q875" s="246"/>
      <c r="R875" s="233"/>
      <c r="S875" s="234">
        <f>IF(C875="",NA(),MATCH($B875&amp;$C875,'Smelter Reference List'!$J:$J,0))</f>
        <v>75</v>
      </c>
      <c r="T875" s="235"/>
      <c r="U875" s="235">
        <f t="shared" si="22"/>
        <v>0</v>
      </c>
      <c r="V875" s="235"/>
      <c r="W875" s="235"/>
      <c r="Y875" s="228" t="str">
        <f t="shared" si="23"/>
        <v>GoldHeraeus Ltd. Hong Kong</v>
      </c>
    </row>
    <row r="876" spans="1:25" s="228" customFormat="1" ht="20.25">
      <c r="A876" s="161" t="s">
        <v>1321</v>
      </c>
      <c r="B876" s="408" t="s">
        <v>2323</v>
      </c>
      <c r="C876" s="297" t="str">
        <f>IF(LEN(A876)=0,"",INDEX('[2]Smelter Reference List'!$C$1:$C$65536,MATCH($A876,'[2]Smelter Reference List'!$E$1:$E$65536,0)))</f>
        <v>Sumitomo Metal Mining Co., Ltd.</v>
      </c>
      <c r="D876" s="161" t="s">
        <v>77</v>
      </c>
      <c r="E876" s="161" t="s">
        <v>2249</v>
      </c>
      <c r="F876" s="161" t="s">
        <v>1321</v>
      </c>
      <c r="G876" s="161" t="s">
        <v>3125</v>
      </c>
      <c r="H876" s="247">
        <v>0</v>
      </c>
      <c r="I876" s="248" t="s">
        <v>3297</v>
      </c>
      <c r="J876" s="248" t="s">
        <v>4284</v>
      </c>
      <c r="K876" s="245"/>
      <c r="L876" s="245"/>
      <c r="M876" s="245"/>
      <c r="N876" s="245"/>
      <c r="O876" s="245"/>
      <c r="P876" s="245"/>
      <c r="Q876" s="246"/>
      <c r="R876" s="233"/>
      <c r="S876" s="234">
        <f>IF(C876="",NA(),MATCH($B876&amp;$C876,'Smelter Reference List'!$J:$J,0))</f>
        <v>190</v>
      </c>
      <c r="T876" s="235"/>
      <c r="U876" s="235">
        <f t="shared" si="22"/>
        <v>0</v>
      </c>
      <c r="V876" s="235"/>
      <c r="W876" s="235"/>
      <c r="Y876" s="228" t="str">
        <f t="shared" si="23"/>
        <v>GoldSumitomo Metal Mining Co., Ltd.</v>
      </c>
    </row>
    <row r="877" spans="1:25" s="228" customFormat="1" ht="20.25">
      <c r="A877" s="161" t="s">
        <v>1293</v>
      </c>
      <c r="B877" s="408" t="s">
        <v>2323</v>
      </c>
      <c r="C877" s="297" t="str">
        <f>IF(LEN(A877)=0,"",INDEX('[2]Smelter Reference List'!$C$1:$C$65536,MATCH($A877,'[2]Smelter Reference List'!$E$1:$E$65536,0)))</f>
        <v>Metalor Technologies S.A.</v>
      </c>
      <c r="D877" s="161" t="s">
        <v>4697</v>
      </c>
      <c r="E877" s="161" t="s">
        <v>2179</v>
      </c>
      <c r="F877" s="161" t="s">
        <v>1293</v>
      </c>
      <c r="G877" s="161" t="s">
        <v>3125</v>
      </c>
      <c r="H877" s="247">
        <v>0</v>
      </c>
      <c r="I877" s="248" t="s">
        <v>3239</v>
      </c>
      <c r="J877" s="248" t="s">
        <v>3240</v>
      </c>
      <c r="K877" s="245"/>
      <c r="L877" s="245"/>
      <c r="M877" s="245"/>
      <c r="N877" s="245"/>
      <c r="O877" s="245"/>
      <c r="P877" s="245"/>
      <c r="Q877" s="246"/>
      <c r="R877" s="233"/>
      <c r="S877" s="234">
        <f>IF(C877="",NA(),MATCH($B877&amp;$C877,'Smelter Reference List'!$J:$J,0))</f>
        <v>123</v>
      </c>
      <c r="T877" s="235"/>
      <c r="U877" s="235">
        <f t="shared" si="22"/>
        <v>0</v>
      </c>
      <c r="V877" s="235"/>
      <c r="W877" s="235"/>
      <c r="Y877" s="228" t="str">
        <f t="shared" si="23"/>
        <v>GoldMetalor Technologies S.A.</v>
      </c>
    </row>
    <row r="878" spans="1:25" s="228" customFormat="1" ht="20.25">
      <c r="A878" s="161" t="s">
        <v>1310</v>
      </c>
      <c r="B878" s="408" t="s">
        <v>2323</v>
      </c>
      <c r="C878" s="297" t="str">
        <f>IF(LEN(A878)=0,"",INDEX('[2]Smelter Reference List'!$C$1:$C$65536,MATCH($A878,'[2]Smelter Reference List'!$E$1:$E$65536,0)))</f>
        <v>Rand Refinery (Pty) Ltd.</v>
      </c>
      <c r="D878" s="161" t="s">
        <v>4171</v>
      </c>
      <c r="E878" s="161" t="s">
        <v>1772</v>
      </c>
      <c r="F878" s="161" t="s">
        <v>1310</v>
      </c>
      <c r="G878" s="161" t="s">
        <v>3125</v>
      </c>
      <c r="H878" s="247">
        <v>0</v>
      </c>
      <c r="I878" s="248" t="s">
        <v>3270</v>
      </c>
      <c r="J878" s="248" t="s">
        <v>3271</v>
      </c>
      <c r="K878" s="245"/>
      <c r="L878" s="245"/>
      <c r="M878" s="245"/>
      <c r="N878" s="245"/>
      <c r="O878" s="245"/>
      <c r="P878" s="245"/>
      <c r="Q878" s="246"/>
      <c r="R878" s="233"/>
      <c r="S878" s="234">
        <f>IF(C878="",NA(),MATCH($B878&amp;$C878,'Smelter Reference List'!$J:$J,0))</f>
        <v>155</v>
      </c>
      <c r="T878" s="235"/>
      <c r="U878" s="235">
        <f t="shared" si="22"/>
        <v>0</v>
      </c>
      <c r="V878" s="235"/>
      <c r="W878" s="235"/>
      <c r="Y878" s="228" t="str">
        <f t="shared" si="23"/>
        <v>GoldRand Refinery (Pty) Ltd.</v>
      </c>
    </row>
    <row r="879" spans="1:25" s="228" customFormat="1" ht="20.25">
      <c r="A879" s="161" t="s">
        <v>1297</v>
      </c>
      <c r="B879" s="408" t="s">
        <v>2323</v>
      </c>
      <c r="C879" s="297" t="str">
        <f>IF(LEN(A879)=0,"",INDEX('[2]Smelter Reference List'!$C$1:$C$65536,MATCH($A879,'[2]Smelter Reference List'!$E$1:$E$65536,0)))</f>
        <v>Mitsui Mining and Smelting Co., Ltd.</v>
      </c>
      <c r="D879" s="161" t="s">
        <v>2454</v>
      </c>
      <c r="E879" s="161" t="s">
        <v>2249</v>
      </c>
      <c r="F879" s="161" t="s">
        <v>1297</v>
      </c>
      <c r="G879" s="161" t="s">
        <v>3125</v>
      </c>
      <c r="H879" s="247">
        <v>0</v>
      </c>
      <c r="I879" s="248" t="s">
        <v>3247</v>
      </c>
      <c r="J879" s="248" t="s">
        <v>3246</v>
      </c>
      <c r="K879" s="245"/>
      <c r="L879" s="245"/>
      <c r="M879" s="245"/>
      <c r="N879" s="245"/>
      <c r="O879" s="245"/>
      <c r="P879" s="245"/>
      <c r="Q879" s="246"/>
      <c r="R879" s="233"/>
      <c r="S879" s="234">
        <f>IF(C879="",NA(),MATCH($B879&amp;$C879,'Smelter Reference List'!$J:$J,0))</f>
        <v>130</v>
      </c>
      <c r="T879" s="235"/>
      <c r="U879" s="235">
        <f t="shared" si="22"/>
        <v>0</v>
      </c>
      <c r="V879" s="235"/>
      <c r="W879" s="235"/>
      <c r="Y879" s="228" t="str">
        <f t="shared" si="23"/>
        <v>GoldMitsui Mining and Smelting Co., Ltd.</v>
      </c>
    </row>
    <row r="880" spans="1:25" s="228" customFormat="1" ht="20.25">
      <c r="A880" s="161" t="s">
        <v>1277</v>
      </c>
      <c r="B880" s="408" t="s">
        <v>2323</v>
      </c>
      <c r="C880" s="297" t="str">
        <f>IF(LEN(A880)=0,"",INDEX('[2]Smelter Reference List'!$C$1:$C$65536,MATCH($A880,'[2]Smelter Reference List'!$E$1:$E$65536,0)))</f>
        <v>JX Nippon Mining &amp; Metals Co., Ltd.</v>
      </c>
      <c r="D880" s="161" t="s">
        <v>73</v>
      </c>
      <c r="E880" s="161" t="s">
        <v>2249</v>
      </c>
      <c r="F880" s="161" t="s">
        <v>1277</v>
      </c>
      <c r="G880" s="161" t="s">
        <v>3125</v>
      </c>
      <c r="H880" s="247">
        <v>0</v>
      </c>
      <c r="I880" s="248" t="s">
        <v>4844</v>
      </c>
      <c r="J880" s="248" t="s">
        <v>4844</v>
      </c>
      <c r="K880" s="245"/>
      <c r="L880" s="245"/>
      <c r="M880" s="245"/>
      <c r="N880" s="245"/>
      <c r="O880" s="245"/>
      <c r="P880" s="245"/>
      <c r="Q880" s="246"/>
      <c r="R880" s="233"/>
      <c r="S880" s="234">
        <f>IF(C880="",NA(),MATCH($B880&amp;$C880,'Smelter Reference List'!$J:$J,0))</f>
        <v>93</v>
      </c>
      <c r="T880" s="235"/>
      <c r="U880" s="235">
        <f t="shared" si="22"/>
        <v>0</v>
      </c>
      <c r="V880" s="235"/>
      <c r="W880" s="235"/>
      <c r="Y880" s="228" t="str">
        <f t="shared" si="23"/>
        <v>GoldJX Nippon Mining &amp; Metals Co., Ltd.</v>
      </c>
    </row>
    <row r="881" spans="1:25" s="228" customFormat="1" ht="20.25">
      <c r="A881" s="161" t="s">
        <v>1239</v>
      </c>
      <c r="B881" s="408" t="s">
        <v>2323</v>
      </c>
      <c r="C881" s="297" t="str">
        <f>IF(LEN(A881)=0,"",INDEX('[2]Smelter Reference List'!$C$1:$C$65536,MATCH($A881,'[2]Smelter Reference List'!$E$1:$E$65536,0)))</f>
        <v>Asahi Pretec Corp.</v>
      </c>
      <c r="D881" s="161" t="s">
        <v>4670</v>
      </c>
      <c r="E881" s="161" t="s">
        <v>2249</v>
      </c>
      <c r="F881" s="161" t="s">
        <v>1239</v>
      </c>
      <c r="G881" s="161" t="s">
        <v>3125</v>
      </c>
      <c r="H881" s="247">
        <v>0</v>
      </c>
      <c r="I881" s="248" t="s">
        <v>3139</v>
      </c>
      <c r="J881" s="248" t="s">
        <v>3140</v>
      </c>
      <c r="K881" s="245"/>
      <c r="L881" s="245"/>
      <c r="M881" s="245"/>
      <c r="N881" s="245"/>
      <c r="O881" s="245"/>
      <c r="P881" s="245"/>
      <c r="Q881" s="246"/>
      <c r="R881" s="233"/>
      <c r="S881" s="234">
        <f>IF(C881="",NA(),MATCH($B881&amp;$C881,'Smelter Reference List'!$J:$J,0))</f>
        <v>18</v>
      </c>
      <c r="T881" s="235"/>
      <c r="U881" s="235">
        <f t="shared" si="22"/>
        <v>0</v>
      </c>
      <c r="V881" s="235"/>
      <c r="W881" s="235"/>
      <c r="Y881" s="228" t="str">
        <f t="shared" si="23"/>
        <v>GoldAsahi Pretec Corp.</v>
      </c>
    </row>
    <row r="882" spans="1:25" s="228" customFormat="1" ht="20.25">
      <c r="A882" s="161" t="s">
        <v>1290</v>
      </c>
      <c r="B882" s="408" t="s">
        <v>2323</v>
      </c>
      <c r="C882" s="297" t="str">
        <f>IF(LEN(A882)=0,"",INDEX('[2]Smelter Reference List'!$C$1:$C$65536,MATCH($A882,'[2]Smelter Reference List'!$E$1:$E$65536,0)))</f>
        <v>Matsuda Sangyo Co., Ltd.</v>
      </c>
      <c r="D882" s="161" t="s">
        <v>75</v>
      </c>
      <c r="E882" s="161" t="s">
        <v>2249</v>
      </c>
      <c r="F882" s="161" t="s">
        <v>1290</v>
      </c>
      <c r="G882" s="161" t="s">
        <v>3125</v>
      </c>
      <c r="H882" s="247">
        <v>0</v>
      </c>
      <c r="I882" s="248" t="s">
        <v>3231</v>
      </c>
      <c r="J882" s="248" t="s">
        <v>3179</v>
      </c>
      <c r="K882" s="245"/>
      <c r="L882" s="245"/>
      <c r="M882" s="245"/>
      <c r="N882" s="245"/>
      <c r="O882" s="245"/>
      <c r="P882" s="245"/>
      <c r="Q882" s="246"/>
      <c r="R882" s="233"/>
      <c r="S882" s="234">
        <f>IF(C882="",NA(),MATCH($B882&amp;$C882,'Smelter Reference List'!$J:$J,0))</f>
        <v>116</v>
      </c>
      <c r="T882" s="235"/>
      <c r="U882" s="235">
        <f t="shared" si="22"/>
        <v>0</v>
      </c>
      <c r="V882" s="235"/>
      <c r="W882" s="235"/>
      <c r="Y882" s="228" t="str">
        <f t="shared" si="23"/>
        <v>GoldMatsuda Sangyo Co., Ltd.</v>
      </c>
    </row>
    <row r="883" spans="1:25" s="228" customFormat="1" ht="20.25">
      <c r="A883" s="161" t="s">
        <v>1273</v>
      </c>
      <c r="B883" s="408" t="s">
        <v>2323</v>
      </c>
      <c r="C883" s="297" t="str">
        <f>IF(LEN(A883)=0,"",INDEX('[2]Smelter Reference List'!$C$1:$C$65536,MATCH($A883,'[2]Smelter Reference List'!$E$1:$E$65536,0)))</f>
        <v>Asahi Refining USA Inc.</v>
      </c>
      <c r="D883" s="161" t="s">
        <v>4267</v>
      </c>
      <c r="E883" s="161" t="s">
        <v>1759</v>
      </c>
      <c r="F883" s="161" t="s">
        <v>1273</v>
      </c>
      <c r="G883" s="161" t="s">
        <v>3125</v>
      </c>
      <c r="H883" s="247">
        <v>0</v>
      </c>
      <c r="I883" s="248" t="s">
        <v>3206</v>
      </c>
      <c r="J883" s="248" t="s">
        <v>3207</v>
      </c>
      <c r="K883" s="245"/>
      <c r="L883" s="245"/>
      <c r="M883" s="245"/>
      <c r="N883" s="245"/>
      <c r="O883" s="245"/>
      <c r="P883" s="245"/>
      <c r="Q883" s="246"/>
      <c r="R883" s="233"/>
      <c r="S883" s="234">
        <f>IF(C883="",NA(),MATCH($B883&amp;$C883,'Smelter Reference List'!$J:$J,0))</f>
        <v>20</v>
      </c>
      <c r="T883" s="235"/>
      <c r="U883" s="235">
        <f t="shared" si="22"/>
        <v>0</v>
      </c>
      <c r="V883" s="235"/>
      <c r="W883" s="235"/>
      <c r="Y883" s="228" t="str">
        <f t="shared" si="23"/>
        <v>GoldAsahi Refining USA Inc.</v>
      </c>
    </row>
    <row r="884" spans="1:25" s="228" customFormat="1" ht="20.25">
      <c r="A884" s="161" t="s">
        <v>1248</v>
      </c>
      <c r="B884" s="408" t="s">
        <v>2323</v>
      </c>
      <c r="C884" s="297" t="str">
        <f>IF(LEN(A884)=0,"",INDEX('[2]Smelter Reference List'!$C$1:$C$65536,MATCH($A884,'[2]Smelter Reference List'!$E$1:$E$65536,0)))</f>
        <v>CCR Refinery - Glencore Canada Corporation</v>
      </c>
      <c r="D884" s="161" t="s">
        <v>4323</v>
      </c>
      <c r="E884" s="161" t="s">
        <v>2177</v>
      </c>
      <c r="F884" s="161" t="s">
        <v>1248</v>
      </c>
      <c r="G884" s="161" t="s">
        <v>3125</v>
      </c>
      <c r="H884" s="247">
        <v>0</v>
      </c>
      <c r="I884" s="248" t="s">
        <v>3154</v>
      </c>
      <c r="J884" s="248" t="s">
        <v>3155</v>
      </c>
      <c r="K884" s="245"/>
      <c r="L884" s="245"/>
      <c r="M884" s="245"/>
      <c r="N884" s="245"/>
      <c r="O884" s="245"/>
      <c r="P884" s="245"/>
      <c r="Q884" s="246"/>
      <c r="R884" s="233"/>
      <c r="S884" s="234">
        <f>IF(C884="",NA(),MATCH($B884&amp;$C884,'Smelter Reference List'!$J:$J,0))</f>
        <v>33</v>
      </c>
      <c r="T884" s="235"/>
      <c r="U884" s="235">
        <f t="shared" si="22"/>
        <v>0</v>
      </c>
      <c r="V884" s="235"/>
      <c r="W884" s="235"/>
      <c r="Y884" s="228" t="str">
        <f t="shared" si="23"/>
        <v>GoldCCR Refinery - Glencore Canada Corporation</v>
      </c>
    </row>
    <row r="885" spans="1:25" s="228" customFormat="1" ht="20.25">
      <c r="A885" s="161" t="s">
        <v>1322</v>
      </c>
      <c r="B885" s="408" t="s">
        <v>2323</v>
      </c>
      <c r="C885" s="297" t="str">
        <f>IF(LEN(A885)=0,"",INDEX('[2]Smelter Reference List'!$C$1:$C$65536,MATCH($A885,'[2]Smelter Reference List'!$E$1:$E$65536,0)))</f>
        <v>Tanaka Kikinzoku Kogyo K.K.</v>
      </c>
      <c r="D885" s="161" t="s">
        <v>2457</v>
      </c>
      <c r="E885" s="161" t="s">
        <v>2249</v>
      </c>
      <c r="F885" s="161" t="s">
        <v>1322</v>
      </c>
      <c r="G885" s="161" t="s">
        <v>3125</v>
      </c>
      <c r="H885" s="247">
        <v>0</v>
      </c>
      <c r="I885" s="248" t="s">
        <v>3299</v>
      </c>
      <c r="J885" s="248" t="s">
        <v>3300</v>
      </c>
      <c r="K885" s="245"/>
      <c r="L885" s="245"/>
      <c r="M885" s="245"/>
      <c r="N885" s="245"/>
      <c r="O885" s="245"/>
      <c r="P885" s="245"/>
      <c r="Q885" s="246"/>
      <c r="R885" s="233"/>
      <c r="S885" s="234">
        <f>IF(C885="",NA(),MATCH($B885&amp;$C885,'Smelter Reference List'!$J:$J,0))</f>
        <v>200</v>
      </c>
      <c r="T885" s="235"/>
      <c r="U885" s="235">
        <f t="shared" si="22"/>
        <v>0</v>
      </c>
      <c r="V885" s="235"/>
      <c r="W885" s="235"/>
      <c r="Y885" s="228" t="str">
        <f t="shared" si="23"/>
        <v>GoldTanaka Kikinzoku Kogyo K.K.</v>
      </c>
    </row>
    <row r="886" spans="1:25" s="228" customFormat="1" ht="20.25">
      <c r="A886" s="161" t="s">
        <v>1331</v>
      </c>
      <c r="B886" s="408" t="s">
        <v>2323</v>
      </c>
      <c r="C886" s="297" t="str">
        <f>IF(LEN(A886)=0,"",INDEX('[2]Smelter Reference List'!$C$1:$C$65536,MATCH($A886,'[2]Smelter Reference List'!$E$1:$E$65536,0)))</f>
        <v>Valcambi S.A.</v>
      </c>
      <c r="D886" s="161" t="s">
        <v>4728</v>
      </c>
      <c r="E886" s="161" t="s">
        <v>2179</v>
      </c>
      <c r="F886" s="161" t="s">
        <v>1331</v>
      </c>
      <c r="G886" s="161" t="s">
        <v>3125</v>
      </c>
      <c r="H886" s="247">
        <v>0</v>
      </c>
      <c r="I886" s="248" t="s">
        <v>3317</v>
      </c>
      <c r="J886" s="248" t="s">
        <v>3138</v>
      </c>
      <c r="K886" s="245"/>
      <c r="L886" s="245"/>
      <c r="M886" s="245"/>
      <c r="N886" s="245"/>
      <c r="O886" s="245"/>
      <c r="P886" s="245"/>
      <c r="Q886" s="246"/>
      <c r="R886" s="233"/>
      <c r="S886" s="234">
        <f>IF(C886="",NA(),MATCH($B886&amp;$C886,'Smelter Reference List'!$J:$J,0))</f>
        <v>217</v>
      </c>
      <c r="T886" s="235"/>
      <c r="U886" s="235">
        <f t="shared" si="22"/>
        <v>0</v>
      </c>
      <c r="V886" s="235"/>
      <c r="W886" s="235"/>
      <c r="Y886" s="228" t="str">
        <f t="shared" si="23"/>
        <v>GoldValcambi S.A.</v>
      </c>
    </row>
    <row r="887" spans="1:25" s="228" customFormat="1" ht="20.25">
      <c r="A887" s="161" t="s">
        <v>1311</v>
      </c>
      <c r="B887" s="408" t="s">
        <v>2323</v>
      </c>
      <c r="C887" s="297" t="str">
        <f>IF(LEN(A887)=0,"",INDEX('[2]Smelter Reference List'!$C$1:$C$65536,MATCH($A887,'[2]Smelter Reference List'!$E$1:$E$65536,0)))</f>
        <v>Royal Canadian Mint</v>
      </c>
      <c r="D887" s="161" t="s">
        <v>1795</v>
      </c>
      <c r="E887" s="161" t="s">
        <v>2177</v>
      </c>
      <c r="F887" s="161" t="s">
        <v>1311</v>
      </c>
      <c r="G887" s="161" t="s">
        <v>3125</v>
      </c>
      <c r="H887" s="247">
        <v>0</v>
      </c>
      <c r="I887" s="248" t="s">
        <v>3272</v>
      </c>
      <c r="J887" s="248" t="s">
        <v>3210</v>
      </c>
      <c r="K887" s="245"/>
      <c r="L887" s="245"/>
      <c r="M887" s="245"/>
      <c r="N887" s="245"/>
      <c r="O887" s="245"/>
      <c r="P887" s="245"/>
      <c r="Q887" s="246"/>
      <c r="R887" s="233"/>
      <c r="S887" s="234">
        <f>IF(C887="",NA(),MATCH($B887&amp;$C887,'Smelter Reference List'!$J:$J,0))</f>
        <v>159</v>
      </c>
      <c r="T887" s="235"/>
      <c r="U887" s="235">
        <f t="shared" si="22"/>
        <v>0</v>
      </c>
      <c r="V887" s="235"/>
      <c r="W887" s="235"/>
      <c r="Y887" s="228" t="str">
        <f t="shared" si="23"/>
        <v>GoldRoyal Canadian Mint</v>
      </c>
    </row>
    <row r="888" spans="1:25" s="228" customFormat="1" ht="20.25">
      <c r="A888" s="161" t="s">
        <v>1294</v>
      </c>
      <c r="B888" s="408" t="s">
        <v>2323</v>
      </c>
      <c r="C888" s="297" t="str">
        <f>IF(LEN(A888)=0,"",INDEX('[2]Smelter Reference List'!$C$1:$C$65536,MATCH($A888,'[2]Smelter Reference List'!$E$1:$E$65536,0)))</f>
        <v>Metalor USA Refining Corporation</v>
      </c>
      <c r="D888" s="161" t="s">
        <v>2453</v>
      </c>
      <c r="E888" s="161" t="s">
        <v>1759</v>
      </c>
      <c r="F888" s="161" t="s">
        <v>1294</v>
      </c>
      <c r="G888" s="161" t="s">
        <v>3125</v>
      </c>
      <c r="H888" s="247">
        <v>0</v>
      </c>
      <c r="I888" s="248" t="s">
        <v>3241</v>
      </c>
      <c r="J888" s="248" t="s">
        <v>3242</v>
      </c>
      <c r="K888" s="245"/>
      <c r="L888" s="245"/>
      <c r="M888" s="245"/>
      <c r="N888" s="245"/>
      <c r="O888" s="245"/>
      <c r="P888" s="245"/>
      <c r="Q888" s="246"/>
      <c r="R888" s="233"/>
      <c r="S888" s="234">
        <f>IF(C888="",NA(),MATCH($B888&amp;$C888,'Smelter Reference List'!$J:$J,0))</f>
        <v>124</v>
      </c>
      <c r="T888" s="235"/>
      <c r="U888" s="235">
        <f t="shared" si="22"/>
        <v>0</v>
      </c>
      <c r="V888" s="235"/>
      <c r="W888" s="235"/>
      <c r="Y888" s="228" t="str">
        <f t="shared" si="23"/>
        <v>GoldMetalor USA Refining Corporation</v>
      </c>
    </row>
    <row r="889" spans="1:25" s="228" customFormat="1" ht="20.25">
      <c r="A889" s="161" t="s">
        <v>1329</v>
      </c>
      <c r="B889" s="408" t="s">
        <v>2323</v>
      </c>
      <c r="C889" s="297" t="str">
        <f>IF(LEN(A889)=0,"",INDEX('[2]Smelter Reference List'!$C$1:$C$65536,MATCH($A889,'[2]Smelter Reference List'!$E$1:$E$65536,0)))</f>
        <v>Umicore S.A. Business Unit Precious Metals Refining</v>
      </c>
      <c r="D889" s="161" t="s">
        <v>4724</v>
      </c>
      <c r="E889" s="161" t="s">
        <v>2158</v>
      </c>
      <c r="F889" s="161" t="s">
        <v>1329</v>
      </c>
      <c r="G889" s="161" t="s">
        <v>3125</v>
      </c>
      <c r="H889" s="247">
        <v>0</v>
      </c>
      <c r="I889" s="248" t="s">
        <v>3314</v>
      </c>
      <c r="J889" s="248" t="s">
        <v>3315</v>
      </c>
      <c r="K889" s="245"/>
      <c r="L889" s="245"/>
      <c r="M889" s="245"/>
      <c r="N889" s="245"/>
      <c r="O889" s="245"/>
      <c r="P889" s="245"/>
      <c r="Q889" s="246"/>
      <c r="R889" s="233"/>
      <c r="S889" s="234">
        <f>IF(C889="",NA(),MATCH($B889&amp;$C889,'Smelter Reference List'!$J:$J,0))</f>
        <v>214</v>
      </c>
      <c r="T889" s="235"/>
      <c r="U889" s="235">
        <f t="shared" si="22"/>
        <v>0</v>
      </c>
      <c r="V889" s="235"/>
      <c r="W889" s="235"/>
      <c r="Y889" s="228" t="str">
        <f t="shared" si="23"/>
        <v>GoldUmicore S.A. Business Unit Precious Metals Refining</v>
      </c>
    </row>
    <row r="890" spans="1:25" s="228" customFormat="1" ht="20.25">
      <c r="A890" s="161" t="s">
        <v>1330</v>
      </c>
      <c r="B890" s="408" t="s">
        <v>2323</v>
      </c>
      <c r="C890" s="297" t="str">
        <f>IF(LEN(A890)=0,"",INDEX('[2]Smelter Reference List'!$C$1:$C$65536,MATCH($A890,'[2]Smelter Reference List'!$E$1:$E$65536,0)))</f>
        <v>United Precious Metal Refining, Inc.</v>
      </c>
      <c r="D890" s="161" t="s">
        <v>1470</v>
      </c>
      <c r="E890" s="161" t="s">
        <v>1759</v>
      </c>
      <c r="F890" s="161" t="s">
        <v>1330</v>
      </c>
      <c r="G890" s="161" t="s">
        <v>3125</v>
      </c>
      <c r="H890" s="247">
        <v>0</v>
      </c>
      <c r="I890" s="248" t="s">
        <v>3316</v>
      </c>
      <c r="J890" s="248" t="s">
        <v>3230</v>
      </c>
      <c r="K890" s="245"/>
      <c r="L890" s="245"/>
      <c r="M890" s="245"/>
      <c r="N890" s="245"/>
      <c r="O890" s="245"/>
      <c r="P890" s="245"/>
      <c r="Q890" s="246"/>
      <c r="R890" s="233"/>
      <c r="S890" s="234">
        <f>IF(C890="",NA(),MATCH($B890&amp;$C890,'Smelter Reference List'!$J:$J,0))</f>
        <v>215</v>
      </c>
      <c r="T890" s="235"/>
      <c r="U890" s="235">
        <f t="shared" si="22"/>
        <v>0</v>
      </c>
      <c r="V890" s="235"/>
      <c r="W890" s="235"/>
      <c r="Y890" s="228" t="str">
        <f t="shared" si="23"/>
        <v>GoldUnited Precious Metal Refining, Inc.</v>
      </c>
    </row>
    <row r="891" spans="1:25" s="228" customFormat="1" ht="20.25">
      <c r="A891" s="161" t="s">
        <v>1286</v>
      </c>
      <c r="B891" s="408" t="s">
        <v>2323</v>
      </c>
      <c r="C891" s="297" t="str">
        <f>IF(LEN(A891)=0,"",INDEX('[2]Smelter Reference List'!$C$1:$C$65536,MATCH($A891,'[2]Smelter Reference List'!$E$1:$E$65536,0)))</f>
        <v>LS-NIKKO Copper Inc.</v>
      </c>
      <c r="D891" s="161" t="s">
        <v>74</v>
      </c>
      <c r="E891" s="161" t="s">
        <v>2256</v>
      </c>
      <c r="F891" s="161" t="s">
        <v>1286</v>
      </c>
      <c r="G891" s="161" t="s">
        <v>3125</v>
      </c>
      <c r="H891" s="247">
        <v>0</v>
      </c>
      <c r="I891" s="248" t="s">
        <v>3225</v>
      </c>
      <c r="J891" s="248" t="s">
        <v>3226</v>
      </c>
      <c r="K891" s="245"/>
      <c r="L891" s="245"/>
      <c r="M891" s="245"/>
      <c r="N891" s="245"/>
      <c r="O891" s="245"/>
      <c r="P891" s="245"/>
      <c r="Q891" s="246"/>
      <c r="R891" s="233"/>
      <c r="S891" s="234">
        <f>IF(C891="",NA(),MATCH($B891&amp;$C891,'Smelter Reference List'!$J:$J,0))</f>
        <v>111</v>
      </c>
      <c r="T891" s="235"/>
      <c r="U891" s="235">
        <f t="shared" si="22"/>
        <v>0</v>
      </c>
      <c r="V891" s="235"/>
      <c r="W891" s="235"/>
      <c r="Y891" s="228" t="str">
        <f t="shared" si="23"/>
        <v>GoldLS-NIKKO Copper Inc.</v>
      </c>
    </row>
    <row r="892" spans="1:25" s="228" customFormat="1" ht="20.25">
      <c r="A892" s="161" t="s">
        <v>1332</v>
      </c>
      <c r="B892" s="408" t="s">
        <v>2323</v>
      </c>
      <c r="C892" s="297" t="str">
        <f>IF(LEN(A892)=0,"",INDEX('[2]Smelter Reference List'!$C$1:$C$65536,MATCH($A892,'[2]Smelter Reference List'!$E$1:$E$65536,0)))</f>
        <v>Western Australian Mint trading as The Perth Mint</v>
      </c>
      <c r="D892" s="161" t="s">
        <v>2322</v>
      </c>
      <c r="E892" s="161" t="s">
        <v>2154</v>
      </c>
      <c r="F892" s="161" t="s">
        <v>1332</v>
      </c>
      <c r="G892" s="161" t="s">
        <v>3125</v>
      </c>
      <c r="H892" s="247">
        <v>0</v>
      </c>
      <c r="I892" s="248" t="s">
        <v>3318</v>
      </c>
      <c r="J892" s="248" t="s">
        <v>3319</v>
      </c>
      <c r="K892" s="245"/>
      <c r="L892" s="245"/>
      <c r="M892" s="245"/>
      <c r="N892" s="245"/>
      <c r="O892" s="245"/>
      <c r="P892" s="245"/>
      <c r="Q892" s="246"/>
      <c r="R892" s="233"/>
      <c r="S892" s="234">
        <f>IF(C892="",NA(),MATCH($B892&amp;$C892,'Smelter Reference List'!$J:$J,0))</f>
        <v>218</v>
      </c>
      <c r="T892" s="235"/>
      <c r="U892" s="235">
        <f t="shared" si="22"/>
        <v>0</v>
      </c>
      <c r="V892" s="235"/>
      <c r="W892" s="235"/>
      <c r="Y892" s="228" t="str">
        <f t="shared" si="23"/>
        <v>GoldWestern Australian Mint trading as The Perth Mint</v>
      </c>
    </row>
    <row r="893" spans="1:25" s="228" customFormat="1" ht="20.25">
      <c r="A893" s="161" t="s">
        <v>1296</v>
      </c>
      <c r="B893" s="408" t="s">
        <v>2323</v>
      </c>
      <c r="C893" s="297" t="str">
        <f>IF(LEN(A893)=0,"",INDEX('[2]Smelter Reference List'!$C$1:$C$65536,MATCH($A893,'[2]Smelter Reference List'!$E$1:$E$65536,0)))</f>
        <v>Mitsubishi Materials Corporation</v>
      </c>
      <c r="D893" s="161" t="s">
        <v>2371</v>
      </c>
      <c r="E893" s="161" t="s">
        <v>2249</v>
      </c>
      <c r="F893" s="161" t="s">
        <v>1296</v>
      </c>
      <c r="G893" s="161" t="s">
        <v>3125</v>
      </c>
      <c r="H893" s="247">
        <v>0</v>
      </c>
      <c r="I893" s="248" t="s">
        <v>3245</v>
      </c>
      <c r="J893" s="248" t="s">
        <v>4283</v>
      </c>
      <c r="K893" s="245"/>
      <c r="L893" s="245"/>
      <c r="M893" s="245"/>
      <c r="N893" s="245"/>
      <c r="O893" s="245"/>
      <c r="P893" s="245"/>
      <c r="Q893" s="246"/>
      <c r="R893" s="233"/>
      <c r="S893" s="234">
        <f>IF(C893="",NA(),MATCH($B893&amp;$C893,'Smelter Reference List'!$J:$J,0))</f>
        <v>128</v>
      </c>
      <c r="T893" s="235"/>
      <c r="U893" s="235">
        <f t="shared" si="22"/>
        <v>0</v>
      </c>
      <c r="V893" s="235"/>
      <c r="W893" s="235"/>
      <c r="Y893" s="228" t="str">
        <f t="shared" si="23"/>
        <v>GoldMitsubishi Materials Corporation</v>
      </c>
    </row>
    <row r="894" spans="1:25" s="228" customFormat="1" ht="20.25">
      <c r="A894" s="161" t="s">
        <v>1332</v>
      </c>
      <c r="B894" s="408" t="s">
        <v>2323</v>
      </c>
      <c r="C894" s="297" t="str">
        <f>IF(LEN(A894)=0,"",INDEX('[2]Smelter Reference List'!$C$1:$C$65536,MATCH($A894,'[2]Smelter Reference List'!$E$1:$E$65536,0)))</f>
        <v>Western Australian Mint trading as The Perth Mint</v>
      </c>
      <c r="D894" s="161" t="s">
        <v>2322</v>
      </c>
      <c r="E894" s="161" t="s">
        <v>2154</v>
      </c>
      <c r="F894" s="161" t="s">
        <v>1332</v>
      </c>
      <c r="G894" s="161" t="s">
        <v>3125</v>
      </c>
      <c r="H894" s="247">
        <v>0</v>
      </c>
      <c r="I894" s="248" t="s">
        <v>3318</v>
      </c>
      <c r="J894" s="248" t="s">
        <v>3319</v>
      </c>
      <c r="K894" s="245"/>
      <c r="L894" s="245"/>
      <c r="M894" s="245"/>
      <c r="N894" s="245"/>
      <c r="O894" s="245"/>
      <c r="P894" s="245"/>
      <c r="Q894" s="246"/>
      <c r="R894" s="233"/>
      <c r="S894" s="234">
        <f>IF(C894="",NA(),MATCH($B894&amp;$C894,'Smelter Reference List'!$J:$J,0))</f>
        <v>218</v>
      </c>
      <c r="T894" s="235"/>
      <c r="U894" s="235">
        <f t="shared" si="22"/>
        <v>0</v>
      </c>
      <c r="V894" s="235"/>
      <c r="W894" s="235"/>
      <c r="Y894" s="228" t="str">
        <f t="shared" si="23"/>
        <v>GoldWestern Australian Mint trading as The Perth Mint</v>
      </c>
    </row>
    <row r="895" spans="1:25" s="228" customFormat="1" ht="20.25">
      <c r="A895" s="161" t="s">
        <v>1305</v>
      </c>
      <c r="B895" s="408" t="s">
        <v>2323</v>
      </c>
      <c r="C895" s="297" t="str">
        <f>IF(LEN(A895)=0,"",INDEX('[2]Smelter Reference List'!$C$1:$C$65536,MATCH($A895,'[2]Smelter Reference List'!$E$1:$E$65536,0)))</f>
        <v>PAMP S.A.</v>
      </c>
      <c r="D895" s="161" t="s">
        <v>4705</v>
      </c>
      <c r="E895" s="161" t="s">
        <v>2179</v>
      </c>
      <c r="F895" s="161" t="s">
        <v>1305</v>
      </c>
      <c r="G895" s="161" t="s">
        <v>3125</v>
      </c>
      <c r="H895" s="247">
        <v>0</v>
      </c>
      <c r="I895" s="248" t="s">
        <v>3262</v>
      </c>
      <c r="J895" s="248" t="s">
        <v>3138</v>
      </c>
      <c r="K895" s="245"/>
      <c r="L895" s="245"/>
      <c r="M895" s="245"/>
      <c r="N895" s="245"/>
      <c r="O895" s="245"/>
      <c r="P895" s="245"/>
      <c r="Q895" s="246"/>
      <c r="R895" s="233"/>
      <c r="S895" s="234">
        <f>IF(C895="",NA(),MATCH($B895&amp;$C895,'Smelter Reference List'!$J:$J,0))</f>
        <v>146</v>
      </c>
      <c r="T895" s="235"/>
      <c r="U895" s="235">
        <f t="shared" si="22"/>
        <v>0</v>
      </c>
      <c r="V895" s="235"/>
      <c r="W895" s="235"/>
      <c r="Y895" s="228" t="str">
        <f t="shared" si="23"/>
        <v>GoldPAMP S.A.</v>
      </c>
    </row>
    <row r="896" spans="1:25" s="228" customFormat="1" ht="20.25">
      <c r="A896" s="161" t="s">
        <v>1293</v>
      </c>
      <c r="B896" s="408" t="s">
        <v>2323</v>
      </c>
      <c r="C896" s="297" t="str">
        <f>IF(LEN(A896)=0,"",INDEX('[2]Smelter Reference List'!$C$1:$C$65536,MATCH($A896,'[2]Smelter Reference List'!$E$1:$E$65536,0)))</f>
        <v>Metalor Technologies S.A.</v>
      </c>
      <c r="D896" s="161" t="s">
        <v>4697</v>
      </c>
      <c r="E896" s="161" t="s">
        <v>2179</v>
      </c>
      <c r="F896" s="161" t="s">
        <v>1293</v>
      </c>
      <c r="G896" s="161" t="s">
        <v>3125</v>
      </c>
      <c r="H896" s="247">
        <v>0</v>
      </c>
      <c r="I896" s="248" t="s">
        <v>3239</v>
      </c>
      <c r="J896" s="248" t="s">
        <v>3240</v>
      </c>
      <c r="K896" s="245"/>
      <c r="L896" s="245"/>
      <c r="M896" s="245"/>
      <c r="N896" s="245"/>
      <c r="O896" s="245"/>
      <c r="P896" s="245"/>
      <c r="Q896" s="246"/>
      <c r="R896" s="233"/>
      <c r="S896" s="234">
        <f>IF(C896="",NA(),MATCH($B896&amp;$C896,'Smelter Reference List'!$J:$J,0))</f>
        <v>123</v>
      </c>
      <c r="T896" s="235"/>
      <c r="U896" s="235">
        <f t="shared" si="22"/>
        <v>0</v>
      </c>
      <c r="V896" s="235"/>
      <c r="W896" s="235"/>
      <c r="Y896" s="228" t="str">
        <f t="shared" si="23"/>
        <v>GoldMetalor Technologies S.A.</v>
      </c>
    </row>
    <row r="897" spans="1:25" s="228" customFormat="1" ht="20.25">
      <c r="A897" s="161" t="s">
        <v>1419</v>
      </c>
      <c r="B897" s="408" t="s">
        <v>2326</v>
      </c>
      <c r="C897" s="297" t="str">
        <f>IF(LEN(A897)=0,"",INDEX('[2]Smelter Reference List'!$C$1:$C$65536,MATCH($A897,'[2]Smelter Reference List'!$E$1:$E$65536,0)))</f>
        <v>Ganzhou Huaxing Tungsten Products Co., Ltd.</v>
      </c>
      <c r="D897" s="161" t="s">
        <v>211</v>
      </c>
      <c r="E897" s="161" t="s">
        <v>2181</v>
      </c>
      <c r="F897" s="161" t="s">
        <v>1419</v>
      </c>
      <c r="G897" s="161" t="s">
        <v>3125</v>
      </c>
      <c r="H897" s="247">
        <v>0</v>
      </c>
      <c r="I897" s="248" t="s">
        <v>3471</v>
      </c>
      <c r="J897" s="248" t="s">
        <v>3204</v>
      </c>
      <c r="K897" s="245"/>
      <c r="L897" s="245"/>
      <c r="M897" s="245"/>
      <c r="N897" s="245"/>
      <c r="O897" s="245"/>
      <c r="P897" s="245"/>
      <c r="Q897" s="246"/>
      <c r="R897" s="233"/>
      <c r="S897" s="234">
        <f>IF(C897="",NA(),MATCH($B897&amp;$C897,'Smelter Reference List'!$J:$J,0))</f>
        <v>485</v>
      </c>
      <c r="T897" s="235"/>
      <c r="U897" s="235">
        <f t="shared" si="22"/>
        <v>0</v>
      </c>
      <c r="V897" s="235"/>
      <c r="W897" s="235"/>
      <c r="Y897" s="228" t="str">
        <f t="shared" si="23"/>
        <v>TungstenGanzhou Huaxing Tungsten Products Co., Ltd.</v>
      </c>
    </row>
    <row r="898" spans="1:25" s="228" customFormat="1" ht="20.25">
      <c r="A898" s="161" t="s">
        <v>1411</v>
      </c>
      <c r="B898" s="408" t="s">
        <v>2326</v>
      </c>
      <c r="C898" s="297" t="str">
        <f>IF(LEN(A898)=0,"",INDEX('[2]Smelter Reference List'!$C$1:$C$65536,MATCH($A898,'[2]Smelter Reference List'!$E$1:$E$65536,0)))</f>
        <v>Chongyi Zhangyuan Tungsten Co., Ltd.</v>
      </c>
      <c r="D898" s="161" t="s">
        <v>2659</v>
      </c>
      <c r="E898" s="161" t="s">
        <v>2181</v>
      </c>
      <c r="F898" s="161" t="s">
        <v>1411</v>
      </c>
      <c r="G898" s="161" t="s">
        <v>3125</v>
      </c>
      <c r="H898" s="247">
        <v>0</v>
      </c>
      <c r="I898" s="248" t="s">
        <v>3471</v>
      </c>
      <c r="J898" s="248" t="s">
        <v>3204</v>
      </c>
      <c r="K898" s="245"/>
      <c r="L898" s="245"/>
      <c r="M898" s="245"/>
      <c r="N898" s="245"/>
      <c r="O898" s="245"/>
      <c r="P898" s="245"/>
      <c r="Q898" s="246"/>
      <c r="R898" s="233"/>
      <c r="S898" s="234">
        <f>IF(C898="",NA(),MATCH($B898&amp;$C898,'Smelter Reference List'!$J:$J,0))</f>
        <v>480</v>
      </c>
      <c r="T898" s="235"/>
      <c r="U898" s="235">
        <f t="shared" si="22"/>
        <v>0</v>
      </c>
      <c r="V898" s="235"/>
      <c r="W898" s="235"/>
      <c r="Y898" s="228" t="str">
        <f t="shared" si="23"/>
        <v>TungstenChongyi Zhangyuan Tungsten Co., Ltd.</v>
      </c>
    </row>
    <row r="899" spans="1:25" s="228" customFormat="1" ht="20.25">
      <c r="A899" s="161" t="s">
        <v>1423</v>
      </c>
      <c r="B899" s="408" t="s">
        <v>2326</v>
      </c>
      <c r="C899" s="297" t="str">
        <f>IF(LEN(A899)=0,"",INDEX('[2]Smelter Reference List'!$C$1:$C$65536,MATCH($A899,'[2]Smelter Reference List'!$E$1:$E$65536,0)))</f>
        <v>Xiamen Tungsten Co., Ltd.</v>
      </c>
      <c r="D899" s="161" t="s">
        <v>2663</v>
      </c>
      <c r="E899" s="161" t="s">
        <v>2181</v>
      </c>
      <c r="F899" s="161" t="s">
        <v>1423</v>
      </c>
      <c r="G899" s="161" t="s">
        <v>3125</v>
      </c>
      <c r="H899" s="247">
        <v>0</v>
      </c>
      <c r="I899" s="248" t="s">
        <v>3569</v>
      </c>
      <c r="J899" s="248" t="s">
        <v>3332</v>
      </c>
      <c r="K899" s="245"/>
      <c r="L899" s="245"/>
      <c r="M899" s="245"/>
      <c r="N899" s="245"/>
      <c r="O899" s="245"/>
      <c r="P899" s="245"/>
      <c r="Q899" s="246"/>
      <c r="R899" s="233"/>
      <c r="S899" s="234">
        <f>IF(C899="",NA(),MATCH($B899&amp;$C899,'Smelter Reference List'!$J:$J,0))</f>
        <v>532</v>
      </c>
      <c r="T899" s="235"/>
      <c r="U899" s="235">
        <f t="shared" si="22"/>
        <v>0</v>
      </c>
      <c r="V899" s="235"/>
      <c r="W899" s="235"/>
      <c r="Y899" s="228" t="str">
        <f t="shared" si="23"/>
        <v>TungstenXiamen Tungsten Co., Ltd.</v>
      </c>
    </row>
    <row r="900" spans="1:25" s="228" customFormat="1" ht="20.25">
      <c r="A900" s="161" t="s">
        <v>722</v>
      </c>
      <c r="B900" s="408" t="s">
        <v>2326</v>
      </c>
      <c r="C900" s="297" t="str">
        <f>IF(LEN(A900)=0,"",INDEX('[2]Smelter Reference List'!$C$1:$C$65536,MATCH($A900,'[2]Smelter Reference List'!$E$1:$E$65536,0)))</f>
        <v>Ganzhou Seadragon W &amp; Mo Co., Ltd.</v>
      </c>
      <c r="D900" s="161" t="s">
        <v>721</v>
      </c>
      <c r="E900" s="161" t="s">
        <v>2181</v>
      </c>
      <c r="F900" s="161" t="s">
        <v>722</v>
      </c>
      <c r="G900" s="161" t="s">
        <v>3125</v>
      </c>
      <c r="H900" s="247">
        <v>0</v>
      </c>
      <c r="I900" s="248" t="s">
        <v>3471</v>
      </c>
      <c r="J900" s="248" t="s">
        <v>3204</v>
      </c>
      <c r="K900" s="245"/>
      <c r="L900" s="245"/>
      <c r="M900" s="245"/>
      <c r="N900" s="245"/>
      <c r="O900" s="245"/>
      <c r="P900" s="245"/>
      <c r="Q900" s="246"/>
      <c r="R900" s="233"/>
      <c r="S900" s="234">
        <f>IF(C900="",NA(),MATCH($B900&amp;$C900,'Smelter Reference List'!$J:$J,0))</f>
        <v>488</v>
      </c>
      <c r="T900" s="235"/>
      <c r="U900" s="235">
        <f t="shared" si="22"/>
        <v>0</v>
      </c>
      <c r="V900" s="235"/>
      <c r="W900" s="235"/>
      <c r="Y900" s="228" t="str">
        <f t="shared" si="23"/>
        <v>TungstenGanzhou Seadragon W &amp; Mo Co., Ltd.</v>
      </c>
    </row>
    <row r="901" spans="1:25" s="228" customFormat="1" ht="20.25">
      <c r="A901" s="161" t="s">
        <v>1416</v>
      </c>
      <c r="B901" s="408" t="s">
        <v>2326</v>
      </c>
      <c r="C901" s="297" t="str">
        <f>IF(LEN(A901)=0,"",INDEX('[2]Smelter Reference List'!$C$1:$C$65536,MATCH($A901,'[2]Smelter Reference List'!$E$1:$E$65536,0)))</f>
        <v>Hunan Chunchang Nonferrous Metals Co., Ltd.</v>
      </c>
      <c r="D901" s="161" t="s">
        <v>2661</v>
      </c>
      <c r="E901" s="161" t="s">
        <v>2181</v>
      </c>
      <c r="F901" s="161" t="s">
        <v>1416</v>
      </c>
      <c r="G901" s="161" t="s">
        <v>3125</v>
      </c>
      <c r="H901" s="247">
        <v>0</v>
      </c>
      <c r="I901" s="248" t="s">
        <v>3407</v>
      </c>
      <c r="J901" s="248" t="s">
        <v>3186</v>
      </c>
      <c r="K901" s="245"/>
      <c r="L901" s="245"/>
      <c r="M901" s="245"/>
      <c r="N901" s="245"/>
      <c r="O901" s="245"/>
      <c r="P901" s="245"/>
      <c r="Q901" s="246"/>
      <c r="R901" s="233"/>
      <c r="S901" s="234">
        <f>IF(C901="",NA(),MATCH($B901&amp;$C901,'Smelter Reference List'!$J:$J,0))</f>
        <v>500</v>
      </c>
      <c r="T901" s="235"/>
      <c r="U901" s="235">
        <f t="shared" si="22"/>
        <v>0</v>
      </c>
      <c r="V901" s="235"/>
      <c r="W901" s="235"/>
      <c r="Y901" s="228" t="str">
        <f t="shared" si="23"/>
        <v>TungstenHunan Chunchang Nonferrous Metals Co., Ltd.</v>
      </c>
    </row>
    <row r="902" spans="1:25" s="228" customFormat="1" ht="20.25">
      <c r="A902" s="161" t="s">
        <v>1414</v>
      </c>
      <c r="B902" s="408" t="s">
        <v>2326</v>
      </c>
      <c r="C902" s="297" t="str">
        <f>IF(LEN(A902)=0,"",INDEX('[2]Smelter Reference List'!$C$1:$C$65536,MATCH($A902,'[2]Smelter Reference List'!$E$1:$E$65536,0)))</f>
        <v>Global Tungsten &amp; Powders Corp.</v>
      </c>
      <c r="D902" s="161" t="s">
        <v>1</v>
      </c>
      <c r="E902" s="161" t="s">
        <v>1759</v>
      </c>
      <c r="F902" s="161" t="s">
        <v>1414</v>
      </c>
      <c r="G902" s="161" t="s">
        <v>3125</v>
      </c>
      <c r="H902" s="247">
        <v>0</v>
      </c>
      <c r="I902" s="248" t="s">
        <v>3560</v>
      </c>
      <c r="J902" s="248" t="s">
        <v>3401</v>
      </c>
      <c r="K902" s="245"/>
      <c r="L902" s="245"/>
      <c r="M902" s="245"/>
      <c r="N902" s="245"/>
      <c r="O902" s="245"/>
      <c r="P902" s="245"/>
      <c r="Q902" s="246"/>
      <c r="R902" s="233"/>
      <c r="S902" s="234">
        <f>IF(C902="",NA(),MATCH($B902&amp;$C902,'Smelter Reference List'!$J:$J,0))</f>
        <v>490</v>
      </c>
      <c r="T902" s="235"/>
      <c r="U902" s="235">
        <f t="shared" ref="U902:U965" si="24">IF(AND(C902="Smelter not listed",OR(LEN(D902)=0,LEN(E902)=0)),1,0)</f>
        <v>0</v>
      </c>
      <c r="V902" s="235"/>
      <c r="W902" s="235"/>
      <c r="Y902" s="228" t="str">
        <f t="shared" ref="Y902:Y965" si="25">B902&amp;C902</f>
        <v>TungstenGlobal Tungsten &amp; Powders Corp.</v>
      </c>
    </row>
    <row r="903" spans="1:25" s="228" customFormat="1" ht="20.25">
      <c r="A903" s="161" t="s">
        <v>1367</v>
      </c>
      <c r="B903" s="417" t="s">
        <v>2324</v>
      </c>
      <c r="C903" s="297" t="str">
        <f>IF(LEN(A903)=0,"",INDEX('[2]Smelter Reference List'!$C$1:$C$65536,MATCH($A903,'[2]Smelter Reference List'!$E$1:$E$65536,0)))</f>
        <v>CV United Smelting</v>
      </c>
      <c r="D903" s="161" t="s">
        <v>1505</v>
      </c>
      <c r="E903" s="161" t="s">
        <v>2238</v>
      </c>
      <c r="F903" s="161" t="s">
        <v>1367</v>
      </c>
      <c r="G903" s="161" t="s">
        <v>3125</v>
      </c>
      <c r="H903" s="247">
        <v>0</v>
      </c>
      <c r="I903" s="248" t="s">
        <v>3457</v>
      </c>
      <c r="J903" s="248" t="s">
        <v>3454</v>
      </c>
      <c r="K903" s="245"/>
      <c r="L903" s="245"/>
      <c r="M903" s="245"/>
      <c r="N903" s="245"/>
      <c r="O903" s="245"/>
      <c r="P903" s="245"/>
      <c r="Q903" s="246"/>
      <c r="R903" s="233"/>
      <c r="S903" s="234">
        <f>IF(C903="",NA(),MATCH($B903&amp;$C903,'Smelter Reference List'!$J:$J,0))</f>
        <v>335</v>
      </c>
      <c r="T903" s="235"/>
      <c r="U903" s="235">
        <f t="shared" si="24"/>
        <v>0</v>
      </c>
      <c r="V903" s="235"/>
      <c r="W903" s="235"/>
      <c r="Y903" s="228" t="str">
        <f t="shared" si="25"/>
        <v>TinCV United Smelting</v>
      </c>
    </row>
    <row r="904" spans="1:25" s="228" customFormat="1" ht="20.25">
      <c r="A904" s="161" t="s">
        <v>1378</v>
      </c>
      <c r="B904" s="417" t="s">
        <v>2324</v>
      </c>
      <c r="C904" s="297" t="str">
        <f>IF(LEN(A904)=0,"",INDEX('[2]Smelter Reference List'!$C$1:$C$65536,MATCH($A904,'[2]Smelter Reference List'!$E$1:$E$65536,0)))</f>
        <v>Malaysia Smelting Corporation (MSC)</v>
      </c>
      <c r="D904" s="161" t="s">
        <v>1471</v>
      </c>
      <c r="E904" s="161" t="s">
        <v>2289</v>
      </c>
      <c r="F904" s="161" t="s">
        <v>1378</v>
      </c>
      <c r="G904" s="161" t="s">
        <v>3125</v>
      </c>
      <c r="H904" s="247">
        <v>0</v>
      </c>
      <c r="I904" s="248" t="s">
        <v>3481</v>
      </c>
      <c r="J904" s="248" t="s">
        <v>3482</v>
      </c>
      <c r="K904" s="245"/>
      <c r="L904" s="245"/>
      <c r="M904" s="245"/>
      <c r="N904" s="245"/>
      <c r="O904" s="245"/>
      <c r="P904" s="245"/>
      <c r="Q904" s="246"/>
      <c r="R904" s="233"/>
      <c r="S904" s="234">
        <f>IF(C904="",NA(),MATCH($B904&amp;$C904,'Smelter Reference List'!$J:$J,0))</f>
        <v>377</v>
      </c>
      <c r="T904" s="235"/>
      <c r="U904" s="235">
        <f t="shared" si="24"/>
        <v>0</v>
      </c>
      <c r="V904" s="235"/>
      <c r="W904" s="235"/>
      <c r="Y904" s="228" t="str">
        <f t="shared" si="25"/>
        <v>TinMalaysia Smelting Corporation (MSC)</v>
      </c>
    </row>
    <row r="905" spans="1:25" s="228" customFormat="1" ht="20.25">
      <c r="A905" s="161"/>
      <c r="B905" s="417" t="s">
        <v>2324</v>
      </c>
      <c r="C905" s="297" t="s">
        <v>3604</v>
      </c>
      <c r="D905" s="161" t="s">
        <v>5676</v>
      </c>
      <c r="E905" s="161" t="s">
        <v>2158</v>
      </c>
      <c r="F905" s="161">
        <v>0</v>
      </c>
      <c r="G905" s="228" t="s">
        <v>5584</v>
      </c>
      <c r="H905" s="247" t="s">
        <v>5857</v>
      </c>
      <c r="I905" s="248">
        <v>0</v>
      </c>
      <c r="J905" s="248">
        <v>0</v>
      </c>
      <c r="K905" s="245"/>
      <c r="L905" s="245"/>
      <c r="M905" s="245"/>
      <c r="N905" s="245"/>
      <c r="O905" s="245"/>
      <c r="P905" s="245"/>
      <c r="Q905" s="246"/>
      <c r="R905" s="233"/>
      <c r="S905" s="234">
        <f>IF(C905="",NA(),MATCH($B905&amp;$C905,'Smelter Reference List'!$J:$J,0))</f>
        <v>467</v>
      </c>
      <c r="T905" s="235"/>
      <c r="U905" s="235">
        <f t="shared" si="24"/>
        <v>0</v>
      </c>
      <c r="V905" s="235"/>
      <c r="W905" s="235"/>
      <c r="Y905" s="228" t="str">
        <f t="shared" si="25"/>
        <v>TinSmelter not listed</v>
      </c>
    </row>
    <row r="906" spans="1:25" s="228" customFormat="1" ht="20.25">
      <c r="A906" s="161" t="s">
        <v>1379</v>
      </c>
      <c r="B906" s="417" t="s">
        <v>2324</v>
      </c>
      <c r="C906" s="297" t="str">
        <f>IF(LEN(A906)=0,"",INDEX('[2]Smelter Reference List'!$C$1:$C$65536,MATCH($A906,'[2]Smelter Reference List'!$E$1:$E$65536,0)))</f>
        <v>Mineração Taboca S.A.</v>
      </c>
      <c r="D906" s="161" t="s">
        <v>1953</v>
      </c>
      <c r="E906" s="161" t="s">
        <v>2170</v>
      </c>
      <c r="F906" s="161" t="s">
        <v>1379</v>
      </c>
      <c r="G906" s="161" t="s">
        <v>3125</v>
      </c>
      <c r="H906" s="247">
        <v>0</v>
      </c>
      <c r="I906" s="248" t="s">
        <v>3485</v>
      </c>
      <c r="J906" s="248" t="s">
        <v>3313</v>
      </c>
      <c r="K906" s="245"/>
      <c r="L906" s="245"/>
      <c r="M906" s="245"/>
      <c r="N906" s="245"/>
      <c r="O906" s="245"/>
      <c r="P906" s="245"/>
      <c r="Q906" s="246"/>
      <c r="R906" s="233"/>
      <c r="S906" s="234">
        <f>IF(C906="",NA(),MATCH($B906&amp;$C906,'Smelter Reference List'!$J:$J,0))</f>
        <v>383</v>
      </c>
      <c r="T906" s="235"/>
      <c r="U906" s="235">
        <f t="shared" si="24"/>
        <v>0</v>
      </c>
      <c r="V906" s="235"/>
      <c r="W906" s="235"/>
      <c r="Y906" s="228" t="str">
        <f t="shared" si="25"/>
        <v>TinMineração Taboca S.A.</v>
      </c>
    </row>
    <row r="907" spans="1:25" s="228" customFormat="1" ht="20.25">
      <c r="A907" s="161" t="s">
        <v>1380</v>
      </c>
      <c r="B907" s="417" t="s">
        <v>2324</v>
      </c>
      <c r="C907" s="297" t="str">
        <f>IF(LEN(A907)=0,"",INDEX('[2]Smelter Reference List'!$C$1:$C$65536,MATCH($A907,'[2]Smelter Reference List'!$E$1:$E$65536,0)))</f>
        <v>Minsur</v>
      </c>
      <c r="D907" s="161" t="s">
        <v>1954</v>
      </c>
      <c r="E907" s="161" t="s">
        <v>1704</v>
      </c>
      <c r="F907" s="161" t="s">
        <v>1380</v>
      </c>
      <c r="G907" s="161" t="s">
        <v>3125</v>
      </c>
      <c r="H907" s="247">
        <v>0</v>
      </c>
      <c r="I907" s="248" t="s">
        <v>3487</v>
      </c>
      <c r="J907" s="248" t="s">
        <v>3488</v>
      </c>
      <c r="K907" s="245"/>
      <c r="L907" s="245"/>
      <c r="M907" s="245"/>
      <c r="N907" s="245"/>
      <c r="O907" s="245"/>
      <c r="P907" s="245"/>
      <c r="Q907" s="246"/>
      <c r="R907" s="233"/>
      <c r="S907" s="234">
        <f>IF(C907="",NA(),MATCH($B907&amp;$C907,'Smelter Reference List'!$J:$J,0))</f>
        <v>384</v>
      </c>
      <c r="T907" s="235"/>
      <c r="U907" s="235">
        <f t="shared" si="24"/>
        <v>0</v>
      </c>
      <c r="V907" s="235"/>
      <c r="W907" s="235"/>
      <c r="Y907" s="228" t="str">
        <f t="shared" si="25"/>
        <v>TinMinsur</v>
      </c>
    </row>
    <row r="908" spans="1:25" s="228" customFormat="1" ht="20.25">
      <c r="A908" s="161" t="s">
        <v>1381</v>
      </c>
      <c r="B908" s="417" t="s">
        <v>2324</v>
      </c>
      <c r="C908" s="297" t="str">
        <f>IF(LEN(A908)=0,"",INDEX('[2]Smelter Reference List'!$C$1:$C$65536,MATCH($A908,'[2]Smelter Reference List'!$E$1:$E$65536,0)))</f>
        <v>Mitsubishi Materials Corporation</v>
      </c>
      <c r="D908" s="161" t="s">
        <v>2371</v>
      </c>
      <c r="E908" s="161" t="s">
        <v>2249</v>
      </c>
      <c r="F908" s="161" t="s">
        <v>1381</v>
      </c>
      <c r="G908" s="161" t="s">
        <v>3125</v>
      </c>
      <c r="H908" s="247">
        <v>0</v>
      </c>
      <c r="I908" s="248" t="s">
        <v>3490</v>
      </c>
      <c r="J908" s="248" t="s">
        <v>3140</v>
      </c>
      <c r="K908" s="245"/>
      <c r="L908" s="245"/>
      <c r="M908" s="245"/>
      <c r="N908" s="245"/>
      <c r="O908" s="245"/>
      <c r="P908" s="245"/>
      <c r="Q908" s="246"/>
      <c r="R908" s="233"/>
      <c r="S908" s="234">
        <f>IF(C908="",NA(),MATCH($B908&amp;$C908,'Smelter Reference List'!$J:$J,0))</f>
        <v>385</v>
      </c>
      <c r="T908" s="235"/>
      <c r="U908" s="235">
        <f t="shared" si="24"/>
        <v>0</v>
      </c>
      <c r="V908" s="235"/>
      <c r="W908" s="235"/>
      <c r="Y908" s="228" t="str">
        <f t="shared" si="25"/>
        <v>TinMitsubishi Materials Corporation</v>
      </c>
    </row>
    <row r="909" spans="1:25" s="228" customFormat="1" ht="20.25">
      <c r="A909" s="161" t="s">
        <v>1384</v>
      </c>
      <c r="B909" s="417" t="s">
        <v>2324</v>
      </c>
      <c r="C909" s="297" t="str">
        <f>IF(LEN(A909)=0,"",INDEX('[2]Smelter Reference List'!$C$1:$C$65536,MATCH($A909,'[2]Smelter Reference List'!$E$1:$E$65536,0)))</f>
        <v>Operaciones Metalurgical S.A.</v>
      </c>
      <c r="D909" s="161" t="s">
        <v>3494</v>
      </c>
      <c r="E909" s="161" t="s">
        <v>2169</v>
      </c>
      <c r="F909" s="161" t="s">
        <v>1384</v>
      </c>
      <c r="G909" s="161" t="s">
        <v>3125</v>
      </c>
      <c r="H909" s="247">
        <v>0</v>
      </c>
      <c r="I909" s="248" t="s">
        <v>3459</v>
      </c>
      <c r="J909" s="248" t="s">
        <v>3460</v>
      </c>
      <c r="K909" s="245"/>
      <c r="L909" s="245"/>
      <c r="M909" s="245"/>
      <c r="N909" s="245"/>
      <c r="O909" s="245"/>
      <c r="P909" s="245"/>
      <c r="Q909" s="246"/>
      <c r="R909" s="233"/>
      <c r="S909" s="234">
        <f>IF(C909="",NA(),MATCH($B909&amp;$C909,'Smelter Reference List'!$J:$J,0))</f>
        <v>394</v>
      </c>
      <c r="T909" s="235"/>
      <c r="U909" s="235">
        <f t="shared" si="24"/>
        <v>0</v>
      </c>
      <c r="V909" s="235"/>
      <c r="W909" s="235"/>
      <c r="Y909" s="228" t="str">
        <f t="shared" si="25"/>
        <v>TinOperaciones Metalurgical S.A.</v>
      </c>
    </row>
    <row r="910" spans="1:25" s="228" customFormat="1" ht="38.25">
      <c r="A910" s="161"/>
      <c r="B910" s="417" t="s">
        <v>2324</v>
      </c>
      <c r="C910" s="297" t="s">
        <v>3604</v>
      </c>
      <c r="D910" s="161" t="s">
        <v>5698</v>
      </c>
      <c r="E910" s="161" t="s">
        <v>2238</v>
      </c>
      <c r="F910" s="161">
        <v>0</v>
      </c>
      <c r="G910" s="228" t="s">
        <v>5584</v>
      </c>
      <c r="H910" s="398" t="s">
        <v>5866</v>
      </c>
      <c r="I910" s="248">
        <v>0</v>
      </c>
      <c r="J910" s="248">
        <v>0</v>
      </c>
      <c r="K910" s="245"/>
      <c r="L910" s="245"/>
      <c r="M910" s="245"/>
      <c r="N910" s="245"/>
      <c r="O910" s="245"/>
      <c r="P910" s="245"/>
      <c r="Q910" s="246"/>
      <c r="R910" s="233"/>
      <c r="S910" s="234">
        <f>IF(C910="",NA(),MATCH($B910&amp;$C910,'Smelter Reference List'!$J:$J,0))</f>
        <v>467</v>
      </c>
      <c r="T910" s="235"/>
      <c r="U910" s="235">
        <f t="shared" si="24"/>
        <v>0</v>
      </c>
      <c r="V910" s="235"/>
      <c r="W910" s="235"/>
      <c r="Y910" s="228" t="str">
        <f t="shared" si="25"/>
        <v>TinSmelter not listed</v>
      </c>
    </row>
    <row r="911" spans="1:25" s="228" customFormat="1" ht="20.25">
      <c r="A911" s="161" t="s">
        <v>1389</v>
      </c>
      <c r="B911" s="417" t="s">
        <v>2324</v>
      </c>
      <c r="C911" s="297" t="str">
        <f>IF(LEN(A911)=0,"",INDEX('[2]Smelter Reference List'!$C$1:$C$65536,MATCH($A911,'[2]Smelter Reference List'!$E$1:$E$65536,0)))</f>
        <v>PT Bukit Timah</v>
      </c>
      <c r="D911" s="161" t="s">
        <v>1194</v>
      </c>
      <c r="E911" s="161" t="s">
        <v>2238</v>
      </c>
      <c r="F911" s="161" t="s">
        <v>1389</v>
      </c>
      <c r="G911" s="161" t="s">
        <v>3125</v>
      </c>
      <c r="H911" s="247">
        <v>0</v>
      </c>
      <c r="I911" s="248" t="s">
        <v>3457</v>
      </c>
      <c r="J911" s="248" t="s">
        <v>3454</v>
      </c>
      <c r="K911" s="245"/>
      <c r="L911" s="245"/>
      <c r="M911" s="245"/>
      <c r="N911" s="245"/>
      <c r="O911" s="245"/>
      <c r="P911" s="245"/>
      <c r="Q911" s="246"/>
      <c r="R911" s="233"/>
      <c r="S911" s="234">
        <f>IF(C911="",NA(),MATCH($B911&amp;$C911,'Smelter Reference List'!$J:$J,0))</f>
        <v>408</v>
      </c>
      <c r="T911" s="235"/>
      <c r="U911" s="235">
        <f t="shared" si="24"/>
        <v>0</v>
      </c>
      <c r="V911" s="235"/>
      <c r="W911" s="235"/>
      <c r="Y911" s="228" t="str">
        <f t="shared" si="25"/>
        <v>TinPT Bukit Timah</v>
      </c>
    </row>
    <row r="912" spans="1:25" s="228" customFormat="1" ht="20.25">
      <c r="A912" s="161" t="s">
        <v>1398</v>
      </c>
      <c r="B912" s="417" t="s">
        <v>2324</v>
      </c>
      <c r="C912" s="297" t="str">
        <f>IF(LEN(A912)=0,"",INDEX('[2]Smelter Reference List'!$C$1:$C$65536,MATCH($A912,'[2]Smelter Reference List'!$E$1:$E$65536,0)))</f>
        <v>PT Stanindo Inti Perkasa</v>
      </c>
      <c r="D912" s="161" t="s">
        <v>2369</v>
      </c>
      <c r="E912" s="161" t="s">
        <v>2238</v>
      </c>
      <c r="F912" s="161" t="s">
        <v>1398</v>
      </c>
      <c r="G912" s="161" t="s">
        <v>3125</v>
      </c>
      <c r="H912" s="247">
        <v>0</v>
      </c>
      <c r="I912" s="248" t="s">
        <v>3457</v>
      </c>
      <c r="J912" s="248" t="s">
        <v>3454</v>
      </c>
      <c r="K912" s="245"/>
      <c r="L912" s="245"/>
      <c r="M912" s="245"/>
      <c r="N912" s="245"/>
      <c r="O912" s="245"/>
      <c r="P912" s="245"/>
      <c r="Q912" s="246"/>
      <c r="R912" s="233"/>
      <c r="S912" s="234">
        <f>IF(C912="",NA(),MATCH($B912&amp;$C912,'Smelter Reference List'!$J:$J,0))</f>
        <v>427</v>
      </c>
      <c r="T912" s="235"/>
      <c r="U912" s="235">
        <f t="shared" si="24"/>
        <v>0</v>
      </c>
      <c r="V912" s="235"/>
      <c r="W912" s="235"/>
      <c r="Y912" s="228" t="str">
        <f t="shared" si="25"/>
        <v>TinPT Stanindo Inti Perkasa</v>
      </c>
    </row>
    <row r="913" spans="1:25" s="228" customFormat="1" ht="20.25">
      <c r="A913" s="161" t="s">
        <v>1399</v>
      </c>
      <c r="B913" s="417" t="s">
        <v>2324</v>
      </c>
      <c r="C913" s="297" t="str">
        <f>IF(LEN(A913)=0,"",INDEX('[2]Smelter Reference List'!$C$1:$C$65536,MATCH($A913,'[2]Smelter Reference List'!$E$1:$E$65536,0)))</f>
        <v>PT Timah (Persero) Tbk Mentok</v>
      </c>
      <c r="D913" s="161" t="s">
        <v>4266</v>
      </c>
      <c r="E913" s="161" t="s">
        <v>2238</v>
      </c>
      <c r="F913" s="161" t="s">
        <v>1399</v>
      </c>
      <c r="G913" s="161" t="s">
        <v>3125</v>
      </c>
      <c r="H913" s="247">
        <v>0</v>
      </c>
      <c r="I913" s="248" t="s">
        <v>3507</v>
      </c>
      <c r="J913" s="248" t="s">
        <v>3454</v>
      </c>
      <c r="K913" s="245"/>
      <c r="L913" s="245"/>
      <c r="M913" s="245"/>
      <c r="N913" s="245"/>
      <c r="O913" s="245"/>
      <c r="P913" s="245"/>
      <c r="Q913" s="246"/>
      <c r="R913" s="233"/>
      <c r="S913" s="234">
        <f>IF(C913="",NA(),MATCH($B913&amp;$C913,'Smelter Reference List'!$J:$J,0))</f>
        <v>432</v>
      </c>
      <c r="T913" s="235"/>
      <c r="U913" s="235">
        <f t="shared" si="24"/>
        <v>0</v>
      </c>
      <c r="V913" s="235"/>
      <c r="W913" s="235"/>
      <c r="Y913" s="228" t="str">
        <f t="shared" si="25"/>
        <v>TinPT Timah (Persero) Tbk Mentok</v>
      </c>
    </row>
    <row r="914" spans="1:25" s="228" customFormat="1" ht="20.25">
      <c r="A914" s="161" t="s">
        <v>1404</v>
      </c>
      <c r="B914" s="417" t="s">
        <v>2324</v>
      </c>
      <c r="C914" s="297" t="str">
        <f>IF(LEN(A914)=0,"",INDEX('[2]Smelter Reference List'!$C$1:$C$65536,MATCH($A914,'[2]Smelter Reference List'!$E$1:$E$65536,0)))</f>
        <v>Thaisarco</v>
      </c>
      <c r="D914" s="161" t="s">
        <v>1951</v>
      </c>
      <c r="E914" s="161" t="s">
        <v>1743</v>
      </c>
      <c r="F914" s="161" t="s">
        <v>1404</v>
      </c>
      <c r="G914" s="161" t="s">
        <v>3125</v>
      </c>
      <c r="H914" s="247">
        <v>0</v>
      </c>
      <c r="I914" s="248" t="s">
        <v>3510</v>
      </c>
      <c r="J914" s="248" t="s">
        <v>3511</v>
      </c>
      <c r="K914" s="245"/>
      <c r="L914" s="245"/>
      <c r="M914" s="245"/>
      <c r="N914" s="245"/>
      <c r="O914" s="245"/>
      <c r="P914" s="245"/>
      <c r="Q914" s="246"/>
      <c r="R914" s="233"/>
      <c r="S914" s="234">
        <f>IF(C914="",NA(),MATCH($B914&amp;$C914,'Smelter Reference List'!$J:$J,0))</f>
        <v>445</v>
      </c>
      <c r="T914" s="235"/>
      <c r="U914" s="235">
        <f t="shared" si="24"/>
        <v>0</v>
      </c>
      <c r="V914" s="235"/>
      <c r="W914" s="235"/>
      <c r="Y914" s="228" t="str">
        <f t="shared" si="25"/>
        <v>TinThaisarco</v>
      </c>
    </row>
    <row r="915" spans="1:25" s="228" customFormat="1" ht="20.25">
      <c r="A915" s="161" t="s">
        <v>1364</v>
      </c>
      <c r="B915" s="418" t="s">
        <v>2324</v>
      </c>
      <c r="C915" s="297" t="str">
        <f>IF(LEN(A915)=0,"",INDEX('[2]Smelter Reference List'!$C$1:$C$65536,MATCH($A915,'[2]Smelter Reference List'!$E$1:$E$65536,0)))</f>
        <v>Alpha</v>
      </c>
      <c r="D915" s="161" t="s">
        <v>67</v>
      </c>
      <c r="E915" s="161" t="s">
        <v>1759</v>
      </c>
      <c r="F915" s="161" t="s">
        <v>1364</v>
      </c>
      <c r="G915" s="161" t="s">
        <v>3125</v>
      </c>
      <c r="H915" s="247">
        <v>0</v>
      </c>
      <c r="I915" s="248" t="s">
        <v>3444</v>
      </c>
      <c r="J915" s="248" t="s">
        <v>3401</v>
      </c>
      <c r="K915" s="245"/>
      <c r="L915" s="245"/>
      <c r="M915" s="245"/>
      <c r="N915" s="245"/>
      <c r="O915" s="245"/>
      <c r="P915" s="245"/>
      <c r="Q915" s="246"/>
      <c r="R915" s="233"/>
      <c r="S915" s="234">
        <f>IF(C915="",NA(),MATCH($B915&amp;$C915,'Smelter Reference List'!$J:$J,0))</f>
        <v>304</v>
      </c>
      <c r="T915" s="235"/>
      <c r="U915" s="235">
        <f t="shared" si="24"/>
        <v>0</v>
      </c>
      <c r="V915" s="235"/>
      <c r="W915" s="235"/>
      <c r="Y915" s="228" t="str">
        <f t="shared" si="25"/>
        <v>TinAlpha</v>
      </c>
    </row>
    <row r="916" spans="1:25" s="228" customFormat="1" ht="20.25">
      <c r="A916" s="161" t="s">
        <v>1407</v>
      </c>
      <c r="B916" s="418" t="s">
        <v>2324</v>
      </c>
      <c r="C916" s="297" t="str">
        <f>IF(LEN(A916)=0,"",INDEX('[2]Smelter Reference List'!$C$1:$C$65536,MATCH($A916,'[2]Smelter Reference List'!$E$1:$E$65536,0)))</f>
        <v>Yunnan Tin Company Limited</v>
      </c>
      <c r="D916" s="161" t="s">
        <v>4749</v>
      </c>
      <c r="E916" s="161" t="s">
        <v>2181</v>
      </c>
      <c r="F916" s="161" t="s">
        <v>1407</v>
      </c>
      <c r="G916" s="161" t="s">
        <v>3125</v>
      </c>
      <c r="H916" s="247">
        <v>0</v>
      </c>
      <c r="I916" s="248" t="s">
        <v>3468</v>
      </c>
      <c r="J916" s="248" t="s">
        <v>3161</v>
      </c>
      <c r="K916" s="245"/>
      <c r="L916" s="245"/>
      <c r="M916" s="245"/>
      <c r="N916" s="245"/>
      <c r="O916" s="245"/>
      <c r="P916" s="245"/>
      <c r="Q916" s="246"/>
      <c r="R916" s="233"/>
      <c r="S916" s="234">
        <f>IF(C916="",NA(),MATCH($B916&amp;$C916,'Smelter Reference List'!$J:$J,0))</f>
        <v>462</v>
      </c>
      <c r="T916" s="235"/>
      <c r="U916" s="235">
        <f t="shared" si="24"/>
        <v>0</v>
      </c>
      <c r="V916" s="235"/>
      <c r="W916" s="235"/>
      <c r="Y916" s="228" t="str">
        <f t="shared" si="25"/>
        <v>TinYunnan Tin Company Limited</v>
      </c>
    </row>
    <row r="917" spans="1:25" s="228" customFormat="1" ht="20.25">
      <c r="A917" s="161" t="s">
        <v>1286</v>
      </c>
      <c r="B917" s="418" t="s">
        <v>2323</v>
      </c>
      <c r="C917" s="297" t="str">
        <f>IF(LEN(A917)=0,"",INDEX('[2]Smelter Reference List'!$C$1:$C$65536,MATCH($A917,'[2]Smelter Reference List'!$E$1:$E$65536,0)))</f>
        <v>LS-NIKKO Copper Inc.</v>
      </c>
      <c r="D917" s="161" t="s">
        <v>74</v>
      </c>
      <c r="E917" s="161" t="s">
        <v>2256</v>
      </c>
      <c r="F917" s="161" t="s">
        <v>1286</v>
      </c>
      <c r="G917" s="161" t="s">
        <v>3125</v>
      </c>
      <c r="H917" s="247">
        <v>0</v>
      </c>
      <c r="I917" s="248" t="s">
        <v>3225</v>
      </c>
      <c r="J917" s="248" t="s">
        <v>3226</v>
      </c>
      <c r="K917" s="245"/>
      <c r="L917" s="245"/>
      <c r="M917" s="245"/>
      <c r="N917" s="245"/>
      <c r="O917" s="245"/>
      <c r="P917" s="245"/>
      <c r="Q917" s="246"/>
      <c r="R917" s="233"/>
      <c r="S917" s="234">
        <f>IF(C917="",NA(),MATCH($B917&amp;$C917,'Smelter Reference List'!$J:$J,0))</f>
        <v>111</v>
      </c>
      <c r="T917" s="235"/>
      <c r="U917" s="235">
        <f t="shared" si="24"/>
        <v>0</v>
      </c>
      <c r="V917" s="235"/>
      <c r="W917" s="235"/>
      <c r="Y917" s="228" t="str">
        <f t="shared" si="25"/>
        <v>GoldLS-NIKKO Copper Inc.</v>
      </c>
    </row>
    <row r="918" spans="1:25" s="228" customFormat="1" ht="20.25">
      <c r="A918" s="161" t="s">
        <v>1404</v>
      </c>
      <c r="B918" s="418" t="s">
        <v>2324</v>
      </c>
      <c r="C918" s="297" t="str">
        <f>IF(LEN(A918)=0,"",INDEX('[2]Smelter Reference List'!$C$1:$C$65536,MATCH($A918,'[2]Smelter Reference List'!$E$1:$E$65536,0)))</f>
        <v>Thaisarco</v>
      </c>
      <c r="D918" s="161" t="s">
        <v>1951</v>
      </c>
      <c r="E918" s="161" t="s">
        <v>1743</v>
      </c>
      <c r="F918" s="161" t="s">
        <v>1404</v>
      </c>
      <c r="G918" s="161" t="s">
        <v>3125</v>
      </c>
      <c r="H918" s="247">
        <v>0</v>
      </c>
      <c r="I918" s="248" t="s">
        <v>3510</v>
      </c>
      <c r="J918" s="248" t="s">
        <v>3511</v>
      </c>
      <c r="K918" s="245"/>
      <c r="L918" s="245"/>
      <c r="M918" s="245"/>
      <c r="N918" s="245"/>
      <c r="O918" s="245"/>
      <c r="P918" s="245"/>
      <c r="Q918" s="246"/>
      <c r="R918" s="233"/>
      <c r="S918" s="234">
        <f>IF(C918="",NA(),MATCH($B918&amp;$C918,'Smelter Reference List'!$J:$J,0))</f>
        <v>445</v>
      </c>
      <c r="T918" s="235"/>
      <c r="U918" s="235">
        <f t="shared" si="24"/>
        <v>0</v>
      </c>
      <c r="V918" s="235"/>
      <c r="W918" s="235"/>
      <c r="Y918" s="228" t="str">
        <f t="shared" si="25"/>
        <v>TinThaisarco</v>
      </c>
    </row>
    <row r="919" spans="1:25" s="228" customFormat="1" ht="20.25">
      <c r="A919" s="161" t="s">
        <v>206</v>
      </c>
      <c r="B919" s="419" t="s">
        <v>2326</v>
      </c>
      <c r="C919" s="297" t="str">
        <f>IF(LEN(A919)=0,"",INDEX('[2]Smelter Reference List'!$C$1:$C$65536,MATCH($A919,'[2]Smelter Reference List'!$E$1:$E$65536,0)))</f>
        <v>Xiamen Tungsten (H.C.) Co., Ltd.</v>
      </c>
      <c r="D919" s="161" t="s">
        <v>218</v>
      </c>
      <c r="E919" s="161" t="s">
        <v>2181</v>
      </c>
      <c r="F919" s="161" t="s">
        <v>206</v>
      </c>
      <c r="G919" s="161" t="s">
        <v>3125</v>
      </c>
      <c r="H919" s="247">
        <v>0</v>
      </c>
      <c r="I919" s="248" t="s">
        <v>3569</v>
      </c>
      <c r="J919" s="248" t="s">
        <v>3332</v>
      </c>
      <c r="K919" s="245"/>
      <c r="L919" s="245"/>
      <c r="M919" s="245"/>
      <c r="N919" s="245"/>
      <c r="O919" s="245"/>
      <c r="P919" s="245"/>
      <c r="Q919" s="246"/>
      <c r="R919" s="233"/>
      <c r="S919" s="234">
        <f>IF(C919="",NA(),MATCH($B919&amp;$C919,'Smelter Reference List'!$J:$J,0))</f>
        <v>531</v>
      </c>
      <c r="T919" s="235"/>
      <c r="U919" s="235">
        <f t="shared" si="24"/>
        <v>0</v>
      </c>
      <c r="V919" s="235"/>
      <c r="W919" s="235"/>
      <c r="Y919" s="228" t="str">
        <f t="shared" si="25"/>
        <v>TungstenXiamen Tungsten (H.C.) Co., Ltd.</v>
      </c>
    </row>
    <row r="920" spans="1:25" s="228" customFormat="1" ht="20.25">
      <c r="A920" s="161" t="s">
        <v>1322</v>
      </c>
      <c r="B920" s="419" t="s">
        <v>2323</v>
      </c>
      <c r="C920" s="297" t="str">
        <f>IF(LEN(A920)=0,"",INDEX('[2]Smelter Reference List'!$C$1:$C$65536,MATCH($A920,'[2]Smelter Reference List'!$E$1:$E$65536,0)))</f>
        <v>Tanaka Kikinzoku Kogyo K.K.</v>
      </c>
      <c r="D920" s="161" t="s">
        <v>2457</v>
      </c>
      <c r="E920" s="161" t="s">
        <v>2249</v>
      </c>
      <c r="F920" s="161" t="s">
        <v>1322</v>
      </c>
      <c r="G920" s="161" t="s">
        <v>3125</v>
      </c>
      <c r="H920" s="247">
        <v>0</v>
      </c>
      <c r="I920" s="248" t="s">
        <v>3299</v>
      </c>
      <c r="J920" s="248" t="s">
        <v>3300</v>
      </c>
      <c r="K920" s="245"/>
      <c r="L920" s="245"/>
      <c r="M920" s="245"/>
      <c r="N920" s="245"/>
      <c r="O920" s="245"/>
      <c r="P920" s="245"/>
      <c r="Q920" s="246"/>
      <c r="R920" s="233"/>
      <c r="S920" s="234">
        <f>IF(C920="",NA(),MATCH($B920&amp;$C920,'Smelter Reference List'!$J:$J,0))</f>
        <v>200</v>
      </c>
      <c r="T920" s="235"/>
      <c r="U920" s="235">
        <f t="shared" si="24"/>
        <v>0</v>
      </c>
      <c r="V920" s="235"/>
      <c r="W920" s="235"/>
      <c r="Y920" s="228" t="str">
        <f t="shared" si="25"/>
        <v>GoldTanaka Kikinzoku Kogyo K.K.</v>
      </c>
    </row>
    <row r="921" spans="1:25" s="228" customFormat="1" ht="20.25">
      <c r="A921" s="161" t="s">
        <v>1406</v>
      </c>
      <c r="B921" s="418" t="s">
        <v>2324</v>
      </c>
      <c r="C921" s="297" t="str">
        <f>IF(LEN(A921)=0,"",INDEX('[2]Smelter Reference List'!$C$1:$C$65536,MATCH($A921,'[2]Smelter Reference List'!$E$1:$E$65536,0)))</f>
        <v>Yunnan Chengfeng Non-ferrous Metals Co., Ltd.</v>
      </c>
      <c r="D921" s="161" t="s">
        <v>4183</v>
      </c>
      <c r="E921" s="161" t="s">
        <v>2181</v>
      </c>
      <c r="F921" s="161" t="s">
        <v>1406</v>
      </c>
      <c r="G921" s="161" t="s">
        <v>3125</v>
      </c>
      <c r="H921" s="247">
        <v>0</v>
      </c>
      <c r="I921" s="248" t="s">
        <v>3468</v>
      </c>
      <c r="J921" s="248" t="s">
        <v>3161</v>
      </c>
      <c r="K921" s="245"/>
      <c r="L921" s="245"/>
      <c r="M921" s="245"/>
      <c r="N921" s="245"/>
      <c r="O921" s="245"/>
      <c r="P921" s="245"/>
      <c r="Q921" s="246"/>
      <c r="R921" s="233"/>
      <c r="S921" s="234">
        <f>IF(C921="",NA(),MATCH($B921&amp;$C921,'Smelter Reference List'!$J:$J,0))</f>
        <v>459</v>
      </c>
      <c r="T921" s="235"/>
      <c r="U921" s="235">
        <f t="shared" si="24"/>
        <v>0</v>
      </c>
      <c r="V921" s="235"/>
      <c r="W921" s="235"/>
      <c r="Y921" s="228" t="str">
        <f t="shared" si="25"/>
        <v>TinYunnan Chengfeng Non-ferrous Metals Co., Ltd.</v>
      </c>
    </row>
    <row r="922" spans="1:25" s="228" customFormat="1" ht="20.25">
      <c r="A922" s="161" t="s">
        <v>1239</v>
      </c>
      <c r="B922" s="419" t="s">
        <v>2323</v>
      </c>
      <c r="C922" s="297" t="str">
        <f>IF(LEN(A922)=0,"",INDEX('[2]Smelter Reference List'!$C$1:$C$65536,MATCH($A922,'[2]Smelter Reference List'!$E$1:$E$65536,0)))</f>
        <v>Asahi Pretec Corp.</v>
      </c>
      <c r="D922" s="161" t="s">
        <v>4670</v>
      </c>
      <c r="E922" s="161" t="s">
        <v>2249</v>
      </c>
      <c r="F922" s="161" t="s">
        <v>1239</v>
      </c>
      <c r="G922" s="161" t="s">
        <v>3125</v>
      </c>
      <c r="H922" s="247">
        <v>0</v>
      </c>
      <c r="I922" s="248" t="s">
        <v>3139</v>
      </c>
      <c r="J922" s="248" t="s">
        <v>3140</v>
      </c>
      <c r="K922" s="245"/>
      <c r="L922" s="245"/>
      <c r="M922" s="245"/>
      <c r="N922" s="245"/>
      <c r="O922" s="245"/>
      <c r="P922" s="245"/>
      <c r="Q922" s="246"/>
      <c r="R922" s="233"/>
      <c r="S922" s="234">
        <f>IF(C922="",NA(),MATCH($B922&amp;$C922,'Smelter Reference List'!$J:$J,0))</f>
        <v>18</v>
      </c>
      <c r="T922" s="235"/>
      <c r="U922" s="235">
        <f t="shared" si="24"/>
        <v>0</v>
      </c>
      <c r="V922" s="235"/>
      <c r="W922" s="235"/>
      <c r="Y922" s="228" t="str">
        <f t="shared" si="25"/>
        <v>GoldAsahi Pretec Corp.</v>
      </c>
    </row>
    <row r="923" spans="1:25" s="228" customFormat="1" ht="20.25">
      <c r="A923" s="161" t="s">
        <v>727</v>
      </c>
      <c r="B923" s="419" t="s">
        <v>2323</v>
      </c>
      <c r="C923" s="297" t="str">
        <f>IF(LEN(A923)=0,"",INDEX('[2]Smelter Reference List'!$C$1:$C$65536,MATCH($A923,'[2]Smelter Reference List'!$E$1:$E$65536,0)))</f>
        <v>Eco-System Recycling Co., Ltd.</v>
      </c>
      <c r="D923" s="161" t="s">
        <v>726</v>
      </c>
      <c r="E923" s="161" t="s">
        <v>2249</v>
      </c>
      <c r="F923" s="161" t="s">
        <v>727</v>
      </c>
      <c r="G923" s="161" t="s">
        <v>3125</v>
      </c>
      <c r="H923" s="247">
        <v>0</v>
      </c>
      <c r="I923" s="248" t="s">
        <v>3178</v>
      </c>
      <c r="J923" s="248" t="s">
        <v>3179</v>
      </c>
      <c r="K923" s="245"/>
      <c r="L923" s="245"/>
      <c r="M923" s="245"/>
      <c r="N923" s="245"/>
      <c r="O923" s="245"/>
      <c r="P923" s="245"/>
      <c r="Q923" s="246"/>
      <c r="R923" s="233"/>
      <c r="S923" s="234">
        <f>IF(C923="",NA(),MATCH($B923&amp;$C923,'Smelter Reference List'!$J:$J,0))</f>
        <v>54</v>
      </c>
      <c r="T923" s="235"/>
      <c r="U923" s="235">
        <f t="shared" si="24"/>
        <v>0</v>
      </c>
      <c r="V923" s="235"/>
      <c r="W923" s="235"/>
      <c r="Y923" s="228" t="str">
        <f t="shared" si="25"/>
        <v>GoldEco-System Recycling Co., Ltd.</v>
      </c>
    </row>
    <row r="924" spans="1:25" s="228" customFormat="1" ht="20.25">
      <c r="A924" s="161" t="s">
        <v>1269</v>
      </c>
      <c r="B924" s="419" t="s">
        <v>2323</v>
      </c>
      <c r="C924" s="297" t="str">
        <f>IF(LEN(A924)=0,"",INDEX('[2]Smelter Reference List'!$C$1:$C$65536,MATCH($A924,'[2]Smelter Reference List'!$E$1:$E$65536,0)))</f>
        <v>Ishifuku Metal Industry Co., Ltd.</v>
      </c>
      <c r="D924" s="161" t="s">
        <v>2452</v>
      </c>
      <c r="E924" s="161" t="s">
        <v>2249</v>
      </c>
      <c r="F924" s="161" t="s">
        <v>1269</v>
      </c>
      <c r="G924" s="161" t="s">
        <v>3125</v>
      </c>
      <c r="H924" s="247">
        <v>0</v>
      </c>
      <c r="I924" s="248" t="s">
        <v>3199</v>
      </c>
      <c r="J924" s="248" t="s">
        <v>3179</v>
      </c>
      <c r="K924" s="245"/>
      <c r="L924" s="245"/>
      <c r="M924" s="245"/>
      <c r="N924" s="245"/>
      <c r="O924" s="245"/>
      <c r="P924" s="245"/>
      <c r="Q924" s="246"/>
      <c r="R924" s="233"/>
      <c r="S924" s="234">
        <f>IF(C924="",NA(),MATCH($B924&amp;$C924,'Smelter Reference List'!$J:$J,0))</f>
        <v>82</v>
      </c>
      <c r="T924" s="235"/>
      <c r="U924" s="235">
        <f t="shared" si="24"/>
        <v>0</v>
      </c>
      <c r="V924" s="235"/>
      <c r="W924" s="235"/>
      <c r="Y924" s="228" t="str">
        <f t="shared" si="25"/>
        <v>GoldIshifuku Metal Industry Co., Ltd.</v>
      </c>
    </row>
    <row r="925" spans="1:25" s="228" customFormat="1" ht="20.25">
      <c r="A925" s="161" t="s">
        <v>1277</v>
      </c>
      <c r="B925" s="419" t="s">
        <v>2323</v>
      </c>
      <c r="C925" s="297" t="str">
        <f>IF(LEN(A925)=0,"",INDEX('[2]Smelter Reference List'!$C$1:$C$65536,MATCH($A925,'[2]Smelter Reference List'!$E$1:$E$65536,0)))</f>
        <v>JX Nippon Mining &amp; Metals Co., Ltd.</v>
      </c>
      <c r="D925" s="161" t="s">
        <v>73</v>
      </c>
      <c r="E925" s="161" t="s">
        <v>2249</v>
      </c>
      <c r="F925" s="161" t="s">
        <v>1277</v>
      </c>
      <c r="G925" s="161" t="s">
        <v>3125</v>
      </c>
      <c r="H925" s="247">
        <v>0</v>
      </c>
      <c r="I925" s="248" t="s">
        <v>4844</v>
      </c>
      <c r="J925" s="248" t="s">
        <v>4844</v>
      </c>
      <c r="K925" s="245"/>
      <c r="L925" s="245"/>
      <c r="M925" s="245"/>
      <c r="N925" s="245"/>
      <c r="O925" s="245"/>
      <c r="P925" s="245"/>
      <c r="Q925" s="246"/>
      <c r="R925" s="233"/>
      <c r="S925" s="234">
        <f>IF(C925="",NA(),MATCH($B925&amp;$C925,'Smelter Reference List'!$J:$J,0))</f>
        <v>93</v>
      </c>
      <c r="T925" s="235"/>
      <c r="U925" s="235">
        <f t="shared" si="24"/>
        <v>0</v>
      </c>
      <c r="V925" s="235"/>
      <c r="W925" s="235"/>
      <c r="Y925" s="228" t="str">
        <f t="shared" si="25"/>
        <v>GoldJX Nippon Mining &amp; Metals Co., Ltd.</v>
      </c>
    </row>
    <row r="926" spans="1:25" s="228" customFormat="1" ht="20.25">
      <c r="A926" s="161" t="s">
        <v>1290</v>
      </c>
      <c r="B926" s="419" t="s">
        <v>2323</v>
      </c>
      <c r="C926" s="297" t="str">
        <f>IF(LEN(A926)=0,"",INDEX('[2]Smelter Reference List'!$C$1:$C$65536,MATCH($A926,'[2]Smelter Reference List'!$E$1:$E$65536,0)))</f>
        <v>Matsuda Sangyo Co., Ltd.</v>
      </c>
      <c r="D926" s="161" t="s">
        <v>75</v>
      </c>
      <c r="E926" s="161" t="s">
        <v>2249</v>
      </c>
      <c r="F926" s="161" t="s">
        <v>1290</v>
      </c>
      <c r="G926" s="161" t="s">
        <v>3125</v>
      </c>
      <c r="H926" s="247">
        <v>0</v>
      </c>
      <c r="I926" s="248" t="s">
        <v>3231</v>
      </c>
      <c r="J926" s="248" t="s">
        <v>3179</v>
      </c>
      <c r="K926" s="245"/>
      <c r="L926" s="245"/>
      <c r="M926" s="245"/>
      <c r="N926" s="245"/>
      <c r="O926" s="245"/>
      <c r="P926" s="245"/>
      <c r="Q926" s="246"/>
      <c r="R926" s="233"/>
      <c r="S926" s="234">
        <f>IF(C926="",NA(),MATCH($B926&amp;$C926,'Smelter Reference List'!$J:$J,0))</f>
        <v>116</v>
      </c>
      <c r="T926" s="235"/>
      <c r="U926" s="235">
        <f t="shared" si="24"/>
        <v>0</v>
      </c>
      <c r="V926" s="235"/>
      <c r="W926" s="235"/>
      <c r="Y926" s="228" t="str">
        <f t="shared" si="25"/>
        <v>GoldMatsuda Sangyo Co., Ltd.</v>
      </c>
    </row>
    <row r="927" spans="1:25" s="228" customFormat="1" ht="20.25">
      <c r="A927" s="161" t="s">
        <v>1296</v>
      </c>
      <c r="B927" s="419" t="s">
        <v>2323</v>
      </c>
      <c r="C927" s="297" t="str">
        <f>IF(LEN(A927)=0,"",INDEX('[2]Smelter Reference List'!$C$1:$C$65536,MATCH($A927,'[2]Smelter Reference List'!$E$1:$E$65536,0)))</f>
        <v>Mitsubishi Materials Corporation</v>
      </c>
      <c r="D927" s="161" t="s">
        <v>2371</v>
      </c>
      <c r="E927" s="161" t="s">
        <v>2249</v>
      </c>
      <c r="F927" s="161" t="s">
        <v>1296</v>
      </c>
      <c r="G927" s="161" t="s">
        <v>3125</v>
      </c>
      <c r="H927" s="247">
        <v>0</v>
      </c>
      <c r="I927" s="248" t="s">
        <v>3245</v>
      </c>
      <c r="J927" s="248" t="s">
        <v>4283</v>
      </c>
      <c r="K927" s="245"/>
      <c r="L927" s="245"/>
      <c r="M927" s="245"/>
      <c r="N927" s="245"/>
      <c r="O927" s="245"/>
      <c r="P927" s="245"/>
      <c r="Q927" s="246"/>
      <c r="R927" s="233"/>
      <c r="S927" s="234">
        <f>IF(C927="",NA(),MATCH($B927&amp;$C927,'Smelter Reference List'!$J:$J,0))</f>
        <v>128</v>
      </c>
      <c r="T927" s="235"/>
      <c r="U927" s="235">
        <f t="shared" si="24"/>
        <v>0</v>
      </c>
      <c r="V927" s="235"/>
      <c r="W927" s="235"/>
      <c r="Y927" s="228" t="str">
        <f t="shared" si="25"/>
        <v>GoldMitsubishi Materials Corporation</v>
      </c>
    </row>
    <row r="928" spans="1:25" s="228" customFormat="1" ht="20.25">
      <c r="A928" s="161" t="s">
        <v>1297</v>
      </c>
      <c r="B928" s="419" t="s">
        <v>2323</v>
      </c>
      <c r="C928" s="297" t="str">
        <f>IF(LEN(A928)=0,"",INDEX('[2]Smelter Reference List'!$C$1:$C$65536,MATCH($A928,'[2]Smelter Reference List'!$E$1:$E$65536,0)))</f>
        <v>Mitsui Mining and Smelting Co., Ltd.</v>
      </c>
      <c r="D928" s="161" t="s">
        <v>2454</v>
      </c>
      <c r="E928" s="161" t="s">
        <v>2249</v>
      </c>
      <c r="F928" s="161" t="s">
        <v>1297</v>
      </c>
      <c r="G928" s="161" t="s">
        <v>3125</v>
      </c>
      <c r="H928" s="247">
        <v>0</v>
      </c>
      <c r="I928" s="248" t="s">
        <v>3247</v>
      </c>
      <c r="J928" s="248" t="s">
        <v>3246</v>
      </c>
      <c r="K928" s="245"/>
      <c r="L928" s="245"/>
      <c r="M928" s="245"/>
      <c r="N928" s="245"/>
      <c r="O928" s="245"/>
      <c r="P928" s="245"/>
      <c r="Q928" s="246"/>
      <c r="R928" s="233"/>
      <c r="S928" s="234">
        <f>IF(C928="",NA(),MATCH($B928&amp;$C928,'Smelter Reference List'!$J:$J,0))</f>
        <v>130</v>
      </c>
      <c r="T928" s="235"/>
      <c r="U928" s="235">
        <f t="shared" si="24"/>
        <v>0</v>
      </c>
      <c r="V928" s="235"/>
      <c r="W928" s="235"/>
      <c r="Y928" s="228" t="str">
        <f t="shared" si="25"/>
        <v>GoldMitsui Mining and Smelting Co., Ltd.</v>
      </c>
    </row>
    <row r="929" spans="1:25" s="228" customFormat="1" ht="20.25">
      <c r="A929" s="161" t="s">
        <v>1301</v>
      </c>
      <c r="B929" s="419" t="s">
        <v>2323</v>
      </c>
      <c r="C929" s="297" t="str">
        <f>IF(LEN(A929)=0,"",INDEX('[2]Smelter Reference List'!$C$1:$C$65536,MATCH($A929,'[2]Smelter Reference List'!$E$1:$E$65536,0)))</f>
        <v>Nihon Material Co., Ltd.</v>
      </c>
      <c r="D929" s="161" t="s">
        <v>4166</v>
      </c>
      <c r="E929" s="161" t="s">
        <v>2249</v>
      </c>
      <c r="F929" s="161" t="s">
        <v>1301</v>
      </c>
      <c r="G929" s="161" t="s">
        <v>3125</v>
      </c>
      <c r="H929" s="247">
        <v>0</v>
      </c>
      <c r="I929" s="248" t="s">
        <v>3253</v>
      </c>
      <c r="J929" s="248" t="s">
        <v>3254</v>
      </c>
      <c r="K929" s="245"/>
      <c r="L929" s="245"/>
      <c r="M929" s="245"/>
      <c r="N929" s="245"/>
      <c r="O929" s="245"/>
      <c r="P929" s="245"/>
      <c r="Q929" s="246"/>
      <c r="R929" s="233"/>
      <c r="S929" s="234">
        <f>IF(C929="",NA(),MATCH($B929&amp;$C929,'Smelter Reference List'!$J:$J,0))</f>
        <v>137</v>
      </c>
      <c r="T929" s="235"/>
      <c r="U929" s="235">
        <f t="shared" si="24"/>
        <v>0</v>
      </c>
      <c r="V929" s="235"/>
      <c r="W929" s="235"/>
      <c r="Y929" s="228" t="str">
        <f t="shared" si="25"/>
        <v>GoldNihon Material Co., Ltd.</v>
      </c>
    </row>
    <row r="930" spans="1:25" s="228" customFormat="1" ht="20.25">
      <c r="A930" s="161" t="s">
        <v>1320</v>
      </c>
      <c r="B930" s="419" t="s">
        <v>2323</v>
      </c>
      <c r="C930" s="297" t="str">
        <f>IF(LEN(A930)=0,"",INDEX('[2]Smelter Reference List'!$C$1:$C$65536,MATCH($A930,'[2]Smelter Reference List'!$E$1:$E$65536,0)))</f>
        <v>Solar Applied Materials Technology Corp.</v>
      </c>
      <c r="D930" s="161" t="s">
        <v>1797</v>
      </c>
      <c r="E930" s="161" t="s">
        <v>1753</v>
      </c>
      <c r="F930" s="161" t="s">
        <v>1320</v>
      </c>
      <c r="G930" s="161" t="s">
        <v>3125</v>
      </c>
      <c r="H930" s="247">
        <v>0</v>
      </c>
      <c r="I930" s="248" t="s">
        <v>3295</v>
      </c>
      <c r="J930" s="248" t="s">
        <v>3296</v>
      </c>
      <c r="K930" s="245"/>
      <c r="L930" s="245"/>
      <c r="M930" s="245"/>
      <c r="N930" s="245"/>
      <c r="O930" s="245"/>
      <c r="P930" s="245"/>
      <c r="Q930" s="246"/>
      <c r="R930" s="233"/>
      <c r="S930" s="234">
        <f>IF(C930="",NA(),MATCH($B930&amp;$C930,'Smelter Reference List'!$J:$J,0))</f>
        <v>185</v>
      </c>
      <c r="T930" s="235"/>
      <c r="U930" s="235">
        <f t="shared" si="24"/>
        <v>0</v>
      </c>
      <c r="V930" s="235"/>
      <c r="W930" s="235"/>
      <c r="Y930" s="228" t="str">
        <f t="shared" si="25"/>
        <v>GoldSolar Applied Materials Technology Corp.</v>
      </c>
    </row>
    <row r="931" spans="1:25" s="228" customFormat="1" ht="20.25">
      <c r="A931" s="161" t="s">
        <v>1321</v>
      </c>
      <c r="B931" s="419" t="s">
        <v>2323</v>
      </c>
      <c r="C931" s="297" t="str">
        <f>IF(LEN(A931)=0,"",INDEX('[2]Smelter Reference List'!$C$1:$C$65536,MATCH($A931,'[2]Smelter Reference List'!$E$1:$E$65536,0)))</f>
        <v>Sumitomo Metal Mining Co., Ltd.</v>
      </c>
      <c r="D931" s="161" t="s">
        <v>77</v>
      </c>
      <c r="E931" s="161" t="s">
        <v>2249</v>
      </c>
      <c r="F931" s="161" t="s">
        <v>1321</v>
      </c>
      <c r="G931" s="161" t="s">
        <v>3125</v>
      </c>
      <c r="H931" s="247">
        <v>0</v>
      </c>
      <c r="I931" s="248" t="s">
        <v>3297</v>
      </c>
      <c r="J931" s="248" t="s">
        <v>4284</v>
      </c>
      <c r="K931" s="245"/>
      <c r="L931" s="245"/>
      <c r="M931" s="245"/>
      <c r="N931" s="245"/>
      <c r="O931" s="245"/>
      <c r="P931" s="245"/>
      <c r="Q931" s="246"/>
      <c r="R931" s="233"/>
      <c r="S931" s="234">
        <f>IF(C931="",NA(),MATCH($B931&amp;$C931,'Smelter Reference List'!$J:$J,0))</f>
        <v>190</v>
      </c>
      <c r="T931" s="235"/>
      <c r="U931" s="235">
        <f t="shared" si="24"/>
        <v>0</v>
      </c>
      <c r="V931" s="235"/>
      <c r="W931" s="235"/>
      <c r="Y931" s="228" t="str">
        <f t="shared" si="25"/>
        <v>GoldSumitomo Metal Mining Co., Ltd.</v>
      </c>
    </row>
    <row r="932" spans="1:25" s="228" customFormat="1" ht="20.25">
      <c r="A932" s="161" t="s">
        <v>1322</v>
      </c>
      <c r="B932" s="419" t="s">
        <v>2323</v>
      </c>
      <c r="C932" s="297" t="str">
        <f>IF(LEN(A932)=0,"",INDEX('[2]Smelter Reference List'!$C$1:$C$65536,MATCH($A932,'[2]Smelter Reference List'!$E$1:$E$65536,0)))</f>
        <v>Tanaka Kikinzoku Kogyo K.K.</v>
      </c>
      <c r="D932" s="161" t="s">
        <v>2457</v>
      </c>
      <c r="E932" s="161" t="s">
        <v>2249</v>
      </c>
      <c r="F932" s="161" t="s">
        <v>1322</v>
      </c>
      <c r="G932" s="161" t="s">
        <v>3125</v>
      </c>
      <c r="H932" s="247">
        <v>0</v>
      </c>
      <c r="I932" s="248" t="s">
        <v>3299</v>
      </c>
      <c r="J932" s="248" t="s">
        <v>3300</v>
      </c>
      <c r="K932" s="245"/>
      <c r="L932" s="245"/>
      <c r="M932" s="245"/>
      <c r="N932" s="245"/>
      <c r="O932" s="245"/>
      <c r="P932" s="245"/>
      <c r="Q932" s="246"/>
      <c r="R932" s="233"/>
      <c r="S932" s="234">
        <f>IF(C932="",NA(),MATCH($B932&amp;$C932,'Smelter Reference List'!$J:$J,0))</f>
        <v>200</v>
      </c>
      <c r="T932" s="235"/>
      <c r="U932" s="235">
        <f t="shared" si="24"/>
        <v>0</v>
      </c>
      <c r="V932" s="235"/>
      <c r="W932" s="235"/>
      <c r="Y932" s="228" t="str">
        <f t="shared" si="25"/>
        <v>GoldTanaka Kikinzoku Kogyo K.K.</v>
      </c>
    </row>
    <row r="933" spans="1:25" s="228" customFormat="1" ht="20.25">
      <c r="A933" s="161" t="s">
        <v>1325</v>
      </c>
      <c r="B933" s="419" t="s">
        <v>2323</v>
      </c>
      <c r="C933" s="297" t="str">
        <f>IF(LEN(A933)=0,"",INDEX('[2]Smelter Reference List'!$C$1:$C$65536,MATCH($A933,'[2]Smelter Reference List'!$E$1:$E$65536,0)))</f>
        <v>Tokuriki Honten Co., Ltd.</v>
      </c>
      <c r="D933" s="161" t="s">
        <v>4178</v>
      </c>
      <c r="E933" s="161" t="s">
        <v>2249</v>
      </c>
      <c r="F933" s="161" t="s">
        <v>1325</v>
      </c>
      <c r="G933" s="161" t="s">
        <v>3125</v>
      </c>
      <c r="H933" s="247">
        <v>0</v>
      </c>
      <c r="I933" s="248" t="s">
        <v>3305</v>
      </c>
      <c r="J933" s="248" t="s">
        <v>3179</v>
      </c>
      <c r="K933" s="245"/>
      <c r="L933" s="245"/>
      <c r="M933" s="245"/>
      <c r="N933" s="245"/>
      <c r="O933" s="245"/>
      <c r="P933" s="245"/>
      <c r="Q933" s="246"/>
      <c r="R933" s="233"/>
      <c r="S933" s="234">
        <f>IF(C933="",NA(),MATCH($B933&amp;$C933,'Smelter Reference List'!$J:$J,0))</f>
        <v>205</v>
      </c>
      <c r="T933" s="235"/>
      <c r="U933" s="235">
        <f t="shared" si="24"/>
        <v>0</v>
      </c>
      <c r="V933" s="235"/>
      <c r="W933" s="235"/>
      <c r="Y933" s="228" t="str">
        <f t="shared" si="25"/>
        <v>GoldTokuriki Honten Co., Ltd.</v>
      </c>
    </row>
    <row r="934" spans="1:25" s="228" customFormat="1" ht="20.25">
      <c r="A934" s="161" t="s">
        <v>1342</v>
      </c>
      <c r="B934" s="419" t="s">
        <v>2325</v>
      </c>
      <c r="C934" s="297" t="str">
        <f>IF(LEN(A934)=0,"",INDEX('[2]Smelter Reference List'!$C$1:$C$65536,MATCH($A934,'[2]Smelter Reference List'!$E$1:$E$65536,0)))</f>
        <v>F&amp;X Electro-Materials Ltd.</v>
      </c>
      <c r="D934" s="161" t="s">
        <v>63</v>
      </c>
      <c r="E934" s="161" t="s">
        <v>2181</v>
      </c>
      <c r="F934" s="161" t="s">
        <v>1342</v>
      </c>
      <c r="G934" s="161" t="s">
        <v>3125</v>
      </c>
      <c r="H934" s="247">
        <v>0</v>
      </c>
      <c r="I934" s="248" t="s">
        <v>3374</v>
      </c>
      <c r="J934" s="248" t="s">
        <v>3335</v>
      </c>
      <c r="K934" s="245"/>
      <c r="L934" s="245"/>
      <c r="M934" s="245"/>
      <c r="N934" s="245"/>
      <c r="O934" s="245"/>
      <c r="P934" s="245"/>
      <c r="Q934" s="246"/>
      <c r="R934" s="233"/>
      <c r="S934" s="234">
        <f>IF(C934="",NA(),MATCH($B934&amp;$C934,'Smelter Reference List'!$J:$J,0))</f>
        <v>249</v>
      </c>
      <c r="T934" s="235"/>
      <c r="U934" s="235">
        <f t="shared" si="24"/>
        <v>0</v>
      </c>
      <c r="V934" s="235"/>
      <c r="W934" s="235"/>
      <c r="Y934" s="228" t="str">
        <f t="shared" si="25"/>
        <v>TantalumF&amp;X Electro-Materials Ltd.</v>
      </c>
    </row>
    <row r="935" spans="1:25" s="228" customFormat="1" ht="20.25">
      <c r="A935" s="161" t="s">
        <v>1354</v>
      </c>
      <c r="B935" s="419" t="s">
        <v>2325</v>
      </c>
      <c r="C935" s="297" t="str">
        <f>IF(LEN(A935)=0,"",INDEX('[2]Smelter Reference List'!$C$1:$C$65536,MATCH($A935,'[2]Smelter Reference List'!$E$1:$E$65536,0)))</f>
        <v>Ningxia Orient Tantalum Industry Co., Ltd.</v>
      </c>
      <c r="D935" s="161" t="s">
        <v>1950</v>
      </c>
      <c r="E935" s="161" t="s">
        <v>2181</v>
      </c>
      <c r="F935" s="161" t="s">
        <v>1354</v>
      </c>
      <c r="G935" s="161" t="s">
        <v>3125</v>
      </c>
      <c r="H935" s="247">
        <v>0</v>
      </c>
      <c r="I935" s="248" t="s">
        <v>3391</v>
      </c>
      <c r="J935" s="248" t="s">
        <v>3392</v>
      </c>
      <c r="K935" s="245"/>
      <c r="L935" s="245"/>
      <c r="M935" s="245"/>
      <c r="N935" s="245"/>
      <c r="O935" s="245"/>
      <c r="P935" s="245"/>
      <c r="Q935" s="246"/>
      <c r="R935" s="233"/>
      <c r="S935" s="234">
        <f>IF(C935="",NA(),MATCH($B935&amp;$C935,'Smelter Reference List'!$J:$J,0))</f>
        <v>278</v>
      </c>
      <c r="T935" s="235"/>
      <c r="U935" s="235">
        <f t="shared" si="24"/>
        <v>0</v>
      </c>
      <c r="V935" s="235"/>
      <c r="W935" s="235"/>
      <c r="Y935" s="228" t="str">
        <f t="shared" si="25"/>
        <v>TantalumNingxia Orient Tantalum Industry Co., Ltd.</v>
      </c>
    </row>
    <row r="936" spans="1:25" s="228" customFormat="1" ht="20.25">
      <c r="A936" s="161" t="s">
        <v>1341</v>
      </c>
      <c r="B936" s="419" t="s">
        <v>2325</v>
      </c>
      <c r="C936" s="297" t="str">
        <f>IF(LEN(A936)=0,"",INDEX('[2]Smelter Reference List'!$C$1:$C$65536,MATCH($A936,'[2]Smelter Reference List'!$E$1:$E$65536,0)))</f>
        <v>Exotech Inc.</v>
      </c>
      <c r="D936" s="161" t="s">
        <v>2307</v>
      </c>
      <c r="E936" s="161" t="s">
        <v>1759</v>
      </c>
      <c r="F936" s="161" t="s">
        <v>1341</v>
      </c>
      <c r="G936" s="161" t="s">
        <v>3125</v>
      </c>
      <c r="H936" s="247">
        <v>0</v>
      </c>
      <c r="I936" s="248" t="s">
        <v>3373</v>
      </c>
      <c r="J936" s="248" t="s">
        <v>3348</v>
      </c>
      <c r="K936" s="245"/>
      <c r="L936" s="245"/>
      <c r="M936" s="245"/>
      <c r="N936" s="245"/>
      <c r="O936" s="245"/>
      <c r="P936" s="245"/>
      <c r="Q936" s="246"/>
      <c r="R936" s="233"/>
      <c r="S936" s="234">
        <f>IF(C936="",NA(),MATCH($B936&amp;$C936,'Smelter Reference List'!$J:$J,0))</f>
        <v>247</v>
      </c>
      <c r="T936" s="235"/>
      <c r="U936" s="235">
        <f t="shared" si="24"/>
        <v>0</v>
      </c>
      <c r="V936" s="235"/>
      <c r="W936" s="235"/>
      <c r="Y936" s="228" t="str">
        <f t="shared" si="25"/>
        <v>TantalumExotech Inc.</v>
      </c>
    </row>
    <row r="937" spans="1:25" s="228" customFormat="1" ht="20.25">
      <c r="A937" s="161" t="s">
        <v>2734</v>
      </c>
      <c r="B937" s="419" t="s">
        <v>2325</v>
      </c>
      <c r="C937" s="297" t="str">
        <f>IF(LEN(A937)=0,"",INDEX('[2]Smelter Reference List'!$C$1:$C$65536,MATCH($A937,'[2]Smelter Reference List'!$E$1:$E$65536,0)))</f>
        <v>Global Advanced Metals Aizu</v>
      </c>
      <c r="D937" s="161" t="s">
        <v>2733</v>
      </c>
      <c r="E937" s="161" t="s">
        <v>2249</v>
      </c>
      <c r="F937" s="161" t="s">
        <v>2734</v>
      </c>
      <c r="G937" s="161" t="s">
        <v>3125</v>
      </c>
      <c r="H937" s="247">
        <v>0</v>
      </c>
      <c r="I937" s="248" t="s">
        <v>3429</v>
      </c>
      <c r="J937" s="248" t="s">
        <v>3143</v>
      </c>
      <c r="K937" s="245"/>
      <c r="L937" s="245"/>
      <c r="M937" s="245"/>
      <c r="N937" s="245"/>
      <c r="O937" s="245"/>
      <c r="P937" s="245"/>
      <c r="Q937" s="246"/>
      <c r="R937" s="233"/>
      <c r="S937" s="234">
        <f>IF(C937="",NA(),MATCH($B937&amp;$C937,'Smelter Reference List'!$J:$J,0))</f>
        <v>251</v>
      </c>
      <c r="T937" s="235"/>
      <c r="U937" s="235">
        <f t="shared" si="24"/>
        <v>0</v>
      </c>
      <c r="V937" s="235"/>
      <c r="W937" s="235"/>
      <c r="Y937" s="228" t="str">
        <f t="shared" si="25"/>
        <v>TantalumGlobal Advanced Metals Aizu</v>
      </c>
    </row>
    <row r="938" spans="1:25" s="228" customFormat="1" ht="20.25">
      <c r="A938" s="161" t="s">
        <v>1360</v>
      </c>
      <c r="B938" s="419" t="s">
        <v>2325</v>
      </c>
      <c r="C938" s="297" t="str">
        <f>IF(LEN(A938)=0,"",INDEX('[2]Smelter Reference List'!$C$1:$C$65536,MATCH($A938,'[2]Smelter Reference List'!$E$1:$E$65536,0)))</f>
        <v>Ulba Metallurgical Plant JSC</v>
      </c>
      <c r="D938" s="161" t="s">
        <v>3402</v>
      </c>
      <c r="E938" s="161" t="s">
        <v>2250</v>
      </c>
      <c r="F938" s="161" t="s">
        <v>1360</v>
      </c>
      <c r="G938" s="161" t="s">
        <v>3125</v>
      </c>
      <c r="H938" s="247">
        <v>0</v>
      </c>
      <c r="I938" s="248" t="s">
        <v>3214</v>
      </c>
      <c r="J938" s="248" t="s">
        <v>3403</v>
      </c>
      <c r="K938" s="245"/>
      <c r="L938" s="245"/>
      <c r="M938" s="245"/>
      <c r="N938" s="245"/>
      <c r="O938" s="245"/>
      <c r="P938" s="245"/>
      <c r="Q938" s="246"/>
      <c r="R938" s="233"/>
      <c r="S938" s="234">
        <f>IF(C938="",NA(),MATCH($B938&amp;$C938,'Smelter Reference List'!$J:$J,0))</f>
        <v>294</v>
      </c>
      <c r="T938" s="235"/>
      <c r="U938" s="235">
        <f t="shared" si="24"/>
        <v>0</v>
      </c>
      <c r="V938" s="235"/>
      <c r="W938" s="235"/>
      <c r="Y938" s="228" t="str">
        <f t="shared" si="25"/>
        <v>TantalumUlba Metallurgical Plant JSC</v>
      </c>
    </row>
    <row r="939" spans="1:25" s="228" customFormat="1" ht="20.25">
      <c r="A939" s="161" t="s">
        <v>1416</v>
      </c>
      <c r="B939" s="419" t="s">
        <v>2326</v>
      </c>
      <c r="C939" s="297" t="str">
        <f>IF(LEN(A939)=0,"",INDEX('[2]Smelter Reference List'!$C$1:$C$65536,MATCH($A939,'[2]Smelter Reference List'!$E$1:$E$65536,0)))</f>
        <v>Hunan Chunchang Nonferrous Metals Co., Ltd.</v>
      </c>
      <c r="D939" s="161" t="s">
        <v>2661</v>
      </c>
      <c r="E939" s="161" t="s">
        <v>2181</v>
      </c>
      <c r="F939" s="161" t="s">
        <v>1416</v>
      </c>
      <c r="G939" s="161" t="s">
        <v>3125</v>
      </c>
      <c r="H939" s="247">
        <v>0</v>
      </c>
      <c r="I939" s="248" t="s">
        <v>3407</v>
      </c>
      <c r="J939" s="248" t="s">
        <v>3186</v>
      </c>
      <c r="K939" s="245"/>
      <c r="L939" s="245"/>
      <c r="M939" s="245"/>
      <c r="N939" s="245"/>
      <c r="O939" s="245"/>
      <c r="P939" s="245"/>
      <c r="Q939" s="246"/>
      <c r="R939" s="233"/>
      <c r="S939" s="234">
        <f>IF(C939="",NA(),MATCH($B939&amp;$C939,'Smelter Reference List'!$J:$J,0))</f>
        <v>500</v>
      </c>
      <c r="T939" s="235"/>
      <c r="U939" s="235">
        <f t="shared" si="24"/>
        <v>0</v>
      </c>
      <c r="V939" s="235"/>
      <c r="W939" s="235"/>
      <c r="Y939" s="228" t="str">
        <f t="shared" si="25"/>
        <v>TungstenHunan Chunchang Nonferrous Metals Co., Ltd.</v>
      </c>
    </row>
    <row r="940" spans="1:25" s="228" customFormat="1" ht="20.25">
      <c r="A940" s="161" t="s">
        <v>1339</v>
      </c>
      <c r="B940" s="419" t="s">
        <v>2325</v>
      </c>
      <c r="C940" s="297" t="str">
        <f>IF(LEN(A940)=0,"",INDEX('[2]Smelter Reference List'!$C$1:$C$65536,MATCH($A940,'[2]Smelter Reference List'!$E$1:$E$65536,0)))</f>
        <v>Conghua Tantalum and Niobium Smeltry</v>
      </c>
      <c r="D940" s="161" t="s">
        <v>2374</v>
      </c>
      <c r="E940" s="161" t="s">
        <v>2181</v>
      </c>
      <c r="F940" s="161" t="s">
        <v>1339</v>
      </c>
      <c r="G940" s="161" t="s">
        <v>3125</v>
      </c>
      <c r="H940" s="247">
        <v>0</v>
      </c>
      <c r="I940" s="248" t="s">
        <v>3371</v>
      </c>
      <c r="J940" s="248" t="s">
        <v>3335</v>
      </c>
      <c r="K940" s="245"/>
      <c r="L940" s="245"/>
      <c r="M940" s="245"/>
      <c r="N940" s="245"/>
      <c r="O940" s="245"/>
      <c r="P940" s="245"/>
      <c r="Q940" s="246"/>
      <c r="R940" s="233"/>
      <c r="S940" s="234">
        <f>IF(C940="",NA(),MATCH($B940&amp;$C940,'Smelter Reference List'!$J:$J,0))</f>
        <v>242</v>
      </c>
      <c r="T940" s="235"/>
      <c r="U940" s="235">
        <f t="shared" si="24"/>
        <v>0</v>
      </c>
      <c r="V940" s="235"/>
      <c r="W940" s="235"/>
      <c r="Y940" s="228" t="str">
        <f t="shared" si="25"/>
        <v>TantalumConghua Tantalum and Niobium Smeltry</v>
      </c>
    </row>
    <row r="941" spans="1:25" s="228" customFormat="1" ht="20.25">
      <c r="A941" s="161" t="s">
        <v>1352</v>
      </c>
      <c r="B941" s="419" t="s">
        <v>2325</v>
      </c>
      <c r="C941" s="297" t="str">
        <f>IF(LEN(A941)=0,"",INDEX('[2]Smelter Reference List'!$C$1:$C$65536,MATCH($A941,'[2]Smelter Reference List'!$E$1:$E$65536,0)))</f>
        <v>Mitsui Mining &amp; Smelting</v>
      </c>
      <c r="D941" s="161" t="s">
        <v>2308</v>
      </c>
      <c r="E941" s="161" t="s">
        <v>2249</v>
      </c>
      <c r="F941" s="161" t="s">
        <v>1352</v>
      </c>
      <c r="G941" s="161" t="s">
        <v>3125</v>
      </c>
      <c r="H941" s="247">
        <v>0</v>
      </c>
      <c r="I941" s="248" t="s">
        <v>3387</v>
      </c>
      <c r="J941" s="248" t="s">
        <v>3388</v>
      </c>
      <c r="K941" s="245"/>
      <c r="L941" s="245"/>
      <c r="M941" s="245"/>
      <c r="N941" s="245"/>
      <c r="O941" s="245"/>
      <c r="P941" s="245"/>
      <c r="Q941" s="246"/>
      <c r="R941" s="233"/>
      <c r="S941" s="234">
        <f>IF(C941="",NA(),MATCH($B941&amp;$C941,'Smelter Reference List'!$J:$J,0))</f>
        <v>276</v>
      </c>
      <c r="T941" s="235"/>
      <c r="U941" s="235">
        <f t="shared" si="24"/>
        <v>0</v>
      </c>
      <c r="V941" s="235"/>
      <c r="W941" s="235"/>
      <c r="Y941" s="228" t="str">
        <f t="shared" si="25"/>
        <v>TantalumMitsui Mining &amp; Smelting</v>
      </c>
    </row>
    <row r="942" spans="1:25" s="228" customFormat="1" ht="20.25">
      <c r="A942" s="161" t="s">
        <v>2769</v>
      </c>
      <c r="B942" s="419" t="s">
        <v>2325</v>
      </c>
      <c r="C942" s="297" t="str">
        <f>IF(LEN(A942)=0,"",INDEX('[2]Smelter Reference List'!$C$1:$C$65536,MATCH($A942,'[2]Smelter Reference List'!$E$1:$E$65536,0)))</f>
        <v>KEMET Blue Powder</v>
      </c>
      <c r="D942" s="161" t="s">
        <v>2768</v>
      </c>
      <c r="E942" s="161" t="s">
        <v>1759</v>
      </c>
      <c r="F942" s="161" t="s">
        <v>2769</v>
      </c>
      <c r="G942" s="161" t="s">
        <v>3125</v>
      </c>
      <c r="H942" s="247">
        <v>0</v>
      </c>
      <c r="I942" s="248" t="s">
        <v>3430</v>
      </c>
      <c r="J942" s="248" t="s">
        <v>3431</v>
      </c>
      <c r="K942" s="245"/>
      <c r="L942" s="245"/>
      <c r="M942" s="245"/>
      <c r="N942" s="245"/>
      <c r="O942" s="245"/>
      <c r="P942" s="245"/>
      <c r="Q942" s="246"/>
      <c r="R942" s="233"/>
      <c r="S942" s="234">
        <f>IF(C942="",NA(),MATCH($B942&amp;$C942,'Smelter Reference List'!$J:$J,0))</f>
        <v>270</v>
      </c>
      <c r="T942" s="235"/>
      <c r="U942" s="235">
        <f t="shared" si="24"/>
        <v>0</v>
      </c>
      <c r="V942" s="235"/>
      <c r="W942" s="235"/>
      <c r="Y942" s="228" t="str">
        <f t="shared" si="25"/>
        <v>TantalumKEMET Blue Powder</v>
      </c>
    </row>
    <row r="943" spans="1:25" s="228" customFormat="1" ht="20.25">
      <c r="A943" s="161" t="s">
        <v>1289</v>
      </c>
      <c r="B943" s="419" t="s">
        <v>2323</v>
      </c>
      <c r="C943" s="297" t="str">
        <f>IF(LEN(A943)=0,"",INDEX('[2]Smelter Reference List'!$C$1:$C$65536,MATCH($A943,'[2]Smelter Reference List'!$E$1:$E$65536,0)))</f>
        <v>Materion</v>
      </c>
      <c r="D943" s="161" t="s">
        <v>1792</v>
      </c>
      <c r="E943" s="161" t="s">
        <v>1759</v>
      </c>
      <c r="F943" s="161" t="s">
        <v>1289</v>
      </c>
      <c r="G943" s="161" t="s">
        <v>3125</v>
      </c>
      <c r="H943" s="247">
        <v>0</v>
      </c>
      <c r="I943" s="248" t="s">
        <v>3229</v>
      </c>
      <c r="J943" s="248" t="s">
        <v>3230</v>
      </c>
      <c r="K943" s="245"/>
      <c r="L943" s="245"/>
      <c r="M943" s="245"/>
      <c r="N943" s="245"/>
      <c r="O943" s="245"/>
      <c r="P943" s="245"/>
      <c r="Q943" s="246"/>
      <c r="R943" s="233"/>
      <c r="S943" s="234">
        <f>IF(C943="",NA(),MATCH($B943&amp;$C943,'Smelter Reference List'!$J:$J,0))</f>
        <v>115</v>
      </c>
      <c r="T943" s="235"/>
      <c r="U943" s="235">
        <f t="shared" si="24"/>
        <v>0</v>
      </c>
      <c r="V943" s="235"/>
      <c r="W943" s="235"/>
      <c r="Y943" s="228" t="str">
        <f t="shared" si="25"/>
        <v>GoldMaterion</v>
      </c>
    </row>
    <row r="944" spans="1:25" s="228" customFormat="1" ht="20.25">
      <c r="A944" s="161" t="s">
        <v>1293</v>
      </c>
      <c r="B944" s="419" t="s">
        <v>2323</v>
      </c>
      <c r="C944" s="297" t="str">
        <f>IF(LEN(A944)=0,"",INDEX('[2]Smelter Reference List'!$C$1:$C$65536,MATCH($A944,'[2]Smelter Reference List'!$E$1:$E$65536,0)))</f>
        <v>Metalor Technologies S.A.</v>
      </c>
      <c r="D944" s="161" t="s">
        <v>4697</v>
      </c>
      <c r="E944" s="161" t="s">
        <v>2179</v>
      </c>
      <c r="F944" s="161" t="s">
        <v>1293</v>
      </c>
      <c r="G944" s="161" t="s">
        <v>3125</v>
      </c>
      <c r="H944" s="247">
        <v>0</v>
      </c>
      <c r="I944" s="248" t="s">
        <v>3239</v>
      </c>
      <c r="J944" s="248" t="s">
        <v>3240</v>
      </c>
      <c r="K944" s="245"/>
      <c r="L944" s="245"/>
      <c r="M944" s="245"/>
      <c r="N944" s="245"/>
      <c r="O944" s="245"/>
      <c r="P944" s="245"/>
      <c r="Q944" s="246"/>
      <c r="R944" s="233"/>
      <c r="S944" s="234">
        <f>IF(C944="",NA(),MATCH($B944&amp;$C944,'Smelter Reference List'!$J:$J,0))</f>
        <v>123</v>
      </c>
      <c r="T944" s="235"/>
      <c r="U944" s="235">
        <f t="shared" si="24"/>
        <v>0</v>
      </c>
      <c r="V944" s="235"/>
      <c r="W944" s="235"/>
      <c r="Y944" s="228" t="str">
        <f t="shared" si="25"/>
        <v>GoldMetalor Technologies S.A.</v>
      </c>
    </row>
    <row r="945" spans="1:25" s="228" customFormat="1" ht="20.25">
      <c r="A945" s="161" t="s">
        <v>1289</v>
      </c>
      <c r="B945" s="419" t="s">
        <v>2323</v>
      </c>
      <c r="C945" s="297" t="str">
        <f>IF(LEN(A945)=0,"",INDEX('[2]Smelter Reference List'!$C$1:$C$65536,MATCH($A945,'[2]Smelter Reference List'!$E$1:$E$65536,0)))</f>
        <v>Materion</v>
      </c>
      <c r="D945" s="161" t="s">
        <v>1792</v>
      </c>
      <c r="E945" s="161" t="s">
        <v>1759</v>
      </c>
      <c r="F945" s="161" t="s">
        <v>1289</v>
      </c>
      <c r="G945" s="161" t="s">
        <v>3125</v>
      </c>
      <c r="H945" s="247">
        <v>0</v>
      </c>
      <c r="I945" s="248" t="s">
        <v>3229</v>
      </c>
      <c r="J945" s="248" t="s">
        <v>3230</v>
      </c>
      <c r="K945" s="245"/>
      <c r="L945" s="245"/>
      <c r="M945" s="245"/>
      <c r="N945" s="245"/>
      <c r="O945" s="245"/>
      <c r="P945" s="245"/>
      <c r="Q945" s="246"/>
      <c r="R945" s="233"/>
      <c r="S945" s="234">
        <f>IF(C945="",NA(),MATCH($B945&amp;$C945,'Smelter Reference List'!$J:$J,0))</f>
        <v>115</v>
      </c>
      <c r="T945" s="235"/>
      <c r="U945" s="235">
        <f t="shared" si="24"/>
        <v>0</v>
      </c>
      <c r="V945" s="235"/>
      <c r="W945" s="235"/>
      <c r="Y945" s="228" t="str">
        <f t="shared" si="25"/>
        <v>GoldMaterion</v>
      </c>
    </row>
    <row r="946" spans="1:25" s="228" customFormat="1" ht="20.25">
      <c r="A946" s="161" t="s">
        <v>1414</v>
      </c>
      <c r="B946" s="419" t="s">
        <v>2326</v>
      </c>
      <c r="C946" s="297" t="str">
        <f>IF(LEN(A946)=0,"",INDEX('[2]Smelter Reference List'!$C$1:$C$65536,MATCH($A946,'[2]Smelter Reference List'!$E$1:$E$65536,0)))</f>
        <v>Global Tungsten &amp; Powders Corp.</v>
      </c>
      <c r="D946" s="161" t="s">
        <v>1</v>
      </c>
      <c r="E946" s="161" t="s">
        <v>1759</v>
      </c>
      <c r="F946" s="161" t="s">
        <v>1414</v>
      </c>
      <c r="G946" s="161" t="s">
        <v>3125</v>
      </c>
      <c r="H946" s="247">
        <v>0</v>
      </c>
      <c r="I946" s="248" t="s">
        <v>3560</v>
      </c>
      <c r="J946" s="248" t="s">
        <v>3401</v>
      </c>
      <c r="K946" s="245"/>
      <c r="L946" s="245"/>
      <c r="M946" s="245"/>
      <c r="N946" s="245"/>
      <c r="O946" s="245"/>
      <c r="P946" s="245"/>
      <c r="Q946" s="246"/>
      <c r="R946" s="233"/>
      <c r="S946" s="234">
        <f>IF(C946="",NA(),MATCH($B946&amp;$C946,'Smelter Reference List'!$J:$J,0))</f>
        <v>490</v>
      </c>
      <c r="T946" s="235"/>
      <c r="U946" s="235">
        <f t="shared" si="24"/>
        <v>0</v>
      </c>
      <c r="V946" s="235"/>
      <c r="W946" s="235"/>
      <c r="Y946" s="228" t="str">
        <f t="shared" si="25"/>
        <v>TungstenGlobal Tungsten &amp; Powders Corp.</v>
      </c>
    </row>
    <row r="947" spans="1:25" s="228" customFormat="1" ht="20.25">
      <c r="A947" s="161" t="s">
        <v>1411</v>
      </c>
      <c r="B947" s="419" t="s">
        <v>2326</v>
      </c>
      <c r="C947" s="297" t="str">
        <f>IF(LEN(A947)=0,"",INDEX('[2]Smelter Reference List'!$C$1:$C$65536,MATCH($A947,'[2]Smelter Reference List'!$E$1:$E$65536,0)))</f>
        <v>Chongyi Zhangyuan Tungsten Co., Ltd.</v>
      </c>
      <c r="D947" s="161" t="s">
        <v>2659</v>
      </c>
      <c r="E947" s="161" t="s">
        <v>2181</v>
      </c>
      <c r="F947" s="161" t="s">
        <v>1411</v>
      </c>
      <c r="G947" s="161" t="s">
        <v>3125</v>
      </c>
      <c r="H947" s="247">
        <v>0</v>
      </c>
      <c r="I947" s="248" t="s">
        <v>3471</v>
      </c>
      <c r="J947" s="248" t="s">
        <v>3204</v>
      </c>
      <c r="K947" s="245"/>
      <c r="L947" s="245"/>
      <c r="M947" s="245"/>
      <c r="N947" s="245"/>
      <c r="O947" s="245"/>
      <c r="P947" s="245"/>
      <c r="Q947" s="246"/>
      <c r="R947" s="233"/>
      <c r="S947" s="234">
        <f>IF(C947="",NA(),MATCH($B947&amp;$C947,'Smelter Reference List'!$J:$J,0))</f>
        <v>480</v>
      </c>
      <c r="T947" s="235"/>
      <c r="U947" s="235">
        <f t="shared" si="24"/>
        <v>0</v>
      </c>
      <c r="V947" s="235"/>
      <c r="W947" s="235"/>
      <c r="Y947" s="228" t="str">
        <f t="shared" si="25"/>
        <v>TungstenChongyi Zhangyuan Tungsten Co., Ltd.</v>
      </c>
    </row>
    <row r="948" spans="1:25" s="228" customFormat="1" ht="20.25">
      <c r="A948" s="161" t="s">
        <v>1419</v>
      </c>
      <c r="B948" s="419" t="s">
        <v>2326</v>
      </c>
      <c r="C948" s="297" t="str">
        <f>IF(LEN(A948)=0,"",INDEX('[2]Smelter Reference List'!$C$1:$C$65536,MATCH($A948,'[2]Smelter Reference List'!$E$1:$E$65536,0)))</f>
        <v>Ganzhou Huaxing Tungsten Products Co., Ltd.</v>
      </c>
      <c r="D948" s="161" t="s">
        <v>211</v>
      </c>
      <c r="E948" s="161" t="s">
        <v>2181</v>
      </c>
      <c r="F948" s="161" t="s">
        <v>1419</v>
      </c>
      <c r="G948" s="161" t="s">
        <v>3125</v>
      </c>
      <c r="H948" s="247">
        <v>0</v>
      </c>
      <c r="I948" s="248" t="s">
        <v>3471</v>
      </c>
      <c r="J948" s="248" t="s">
        <v>3204</v>
      </c>
      <c r="K948" s="245"/>
      <c r="L948" s="245"/>
      <c r="M948" s="245"/>
      <c r="N948" s="245"/>
      <c r="O948" s="245"/>
      <c r="P948" s="245"/>
      <c r="Q948" s="246"/>
      <c r="R948" s="233"/>
      <c r="S948" s="234">
        <f>IF(C948="",NA(),MATCH($B948&amp;$C948,'Smelter Reference List'!$J:$J,0))</f>
        <v>485</v>
      </c>
      <c r="T948" s="235"/>
      <c r="U948" s="235">
        <f t="shared" si="24"/>
        <v>0</v>
      </c>
      <c r="V948" s="235"/>
      <c r="W948" s="235"/>
      <c r="Y948" s="228" t="str">
        <f t="shared" si="25"/>
        <v>TungstenGanzhou Huaxing Tungsten Products Co., Ltd.</v>
      </c>
    </row>
    <row r="949" spans="1:25" s="228" customFormat="1" ht="20.25">
      <c r="A949" s="161" t="s">
        <v>2760</v>
      </c>
      <c r="B949" s="419" t="s">
        <v>2326</v>
      </c>
      <c r="C949" s="297" t="str">
        <f>IF(LEN(A949)=0,"",INDEX('[2]Smelter Reference List'!$C$1:$C$65536,MATCH($A949,'[2]Smelter Reference List'!$E$1:$E$65536,0)))</f>
        <v>H.C. Starck GmbH</v>
      </c>
      <c r="D949" s="161" t="s">
        <v>2759</v>
      </c>
      <c r="E949" s="161" t="s">
        <v>2195</v>
      </c>
      <c r="F949" s="161" t="s">
        <v>2760</v>
      </c>
      <c r="G949" s="161" t="s">
        <v>3125</v>
      </c>
      <c r="H949" s="247">
        <v>0</v>
      </c>
      <c r="I949" s="248" t="s">
        <v>3418</v>
      </c>
      <c r="J949" s="248" t="s">
        <v>3419</v>
      </c>
      <c r="K949" s="245"/>
      <c r="L949" s="245"/>
      <c r="M949" s="245"/>
      <c r="N949" s="245"/>
      <c r="O949" s="245"/>
      <c r="P949" s="245"/>
      <c r="Q949" s="246"/>
      <c r="R949" s="233"/>
      <c r="S949" s="234">
        <f>IF(C949="",NA(),MATCH($B949&amp;$C949,'Smelter Reference List'!$J:$J,0))</f>
        <v>493</v>
      </c>
      <c r="T949" s="235"/>
      <c r="U949" s="235">
        <f t="shared" si="24"/>
        <v>0</v>
      </c>
      <c r="V949" s="235"/>
      <c r="W949" s="235"/>
      <c r="Y949" s="228" t="str">
        <f t="shared" si="25"/>
        <v>TungstenH.C. Starck GmbH</v>
      </c>
    </row>
    <row r="950" spans="1:25" s="228" customFormat="1" ht="20.25">
      <c r="A950" s="161" t="s">
        <v>1322</v>
      </c>
      <c r="B950" s="419" t="s">
        <v>2323</v>
      </c>
      <c r="C950" s="297" t="str">
        <f>IF(LEN(A950)=0,"",INDEX('[2]Smelter Reference List'!$C$1:$C$65536,MATCH($A950,'[2]Smelter Reference List'!$E$1:$E$65536,0)))</f>
        <v>Tanaka Kikinzoku Kogyo K.K.</v>
      </c>
      <c r="D950" s="161" t="s">
        <v>2457</v>
      </c>
      <c r="E950" s="161" t="s">
        <v>2249</v>
      </c>
      <c r="F950" s="161" t="s">
        <v>1322</v>
      </c>
      <c r="G950" s="161" t="s">
        <v>3125</v>
      </c>
      <c r="H950" s="247">
        <v>0</v>
      </c>
      <c r="I950" s="248" t="s">
        <v>3299</v>
      </c>
      <c r="J950" s="248" t="s">
        <v>3300</v>
      </c>
      <c r="K950" s="245"/>
      <c r="L950" s="245"/>
      <c r="M950" s="245"/>
      <c r="N950" s="245"/>
      <c r="O950" s="245"/>
      <c r="P950" s="245"/>
      <c r="Q950" s="246"/>
      <c r="R950" s="233"/>
      <c r="S950" s="234">
        <f>IF(C950="",NA(),MATCH($B950&amp;$C950,'Smelter Reference List'!$J:$J,0))</f>
        <v>200</v>
      </c>
      <c r="T950" s="235"/>
      <c r="U950" s="235">
        <f t="shared" si="24"/>
        <v>0</v>
      </c>
      <c r="V950" s="235"/>
      <c r="W950" s="235"/>
      <c r="Y950" s="228" t="str">
        <f t="shared" si="25"/>
        <v>GoldTanaka Kikinzoku Kogyo K.K.</v>
      </c>
    </row>
    <row r="951" spans="1:25" s="228" customFormat="1" ht="20.25">
      <c r="A951" s="161" t="s">
        <v>1320</v>
      </c>
      <c r="B951" s="419" t="s">
        <v>2323</v>
      </c>
      <c r="C951" s="297" t="str">
        <f>IF(LEN(A951)=0,"",INDEX('[2]Smelter Reference List'!$C$1:$C$65536,MATCH($A951,'[2]Smelter Reference List'!$E$1:$E$65536,0)))</f>
        <v>Solar Applied Materials Technology Corp.</v>
      </c>
      <c r="D951" s="161" t="s">
        <v>1797</v>
      </c>
      <c r="E951" s="161" t="s">
        <v>1753</v>
      </c>
      <c r="F951" s="161" t="s">
        <v>1320</v>
      </c>
      <c r="G951" s="161" t="s">
        <v>3125</v>
      </c>
      <c r="H951" s="247">
        <v>0</v>
      </c>
      <c r="I951" s="248" t="s">
        <v>3295</v>
      </c>
      <c r="J951" s="248" t="s">
        <v>3296</v>
      </c>
      <c r="K951" s="245"/>
      <c r="L951" s="245"/>
      <c r="M951" s="245"/>
      <c r="N951" s="245"/>
      <c r="O951" s="245"/>
      <c r="P951" s="245"/>
      <c r="Q951" s="246"/>
      <c r="R951" s="233"/>
      <c r="S951" s="234">
        <f>IF(C951="",NA(),MATCH($B951&amp;$C951,'Smelter Reference List'!$J:$J,0))</f>
        <v>185</v>
      </c>
      <c r="T951" s="235"/>
      <c r="U951" s="235">
        <f t="shared" si="24"/>
        <v>0</v>
      </c>
      <c r="V951" s="235"/>
      <c r="W951" s="235"/>
      <c r="Y951" s="228" t="str">
        <f t="shared" si="25"/>
        <v>GoldSolar Applied Materials Technology Corp.</v>
      </c>
    </row>
    <row r="952" spans="1:25" s="228" customFormat="1" ht="20.25">
      <c r="A952" s="161" t="s">
        <v>1235</v>
      </c>
      <c r="B952" s="408" t="s">
        <v>2323</v>
      </c>
      <c r="C952" s="297" t="str">
        <f>IF(LEN(A952)=0,"",INDEX('[2]Smelter Reference List'!$C$1:$C$65536,MATCH($A952,'[2]Smelter Reference List'!$E$1:$E$65536,0)))</f>
        <v>Allgemeine Gold-und Silberscheideanstalt A.G.</v>
      </c>
      <c r="D952" s="161" t="s">
        <v>70</v>
      </c>
      <c r="E952" s="161" t="s">
        <v>2195</v>
      </c>
      <c r="F952" s="161" t="s">
        <v>1235</v>
      </c>
      <c r="G952" s="161" t="s">
        <v>3125</v>
      </c>
      <c r="H952" s="247">
        <v>0</v>
      </c>
      <c r="I952" s="248" t="s">
        <v>3130</v>
      </c>
      <c r="J952" s="248" t="s">
        <v>3131</v>
      </c>
      <c r="K952" s="245"/>
      <c r="L952" s="245"/>
      <c r="M952" s="245"/>
      <c r="N952" s="245"/>
      <c r="O952" s="245"/>
      <c r="P952" s="245"/>
      <c r="Q952" s="246"/>
      <c r="R952" s="233"/>
      <c r="S952" s="234">
        <f>IF(C952="",NA(),MATCH($B952&amp;$C952,'Smelter Reference List'!$J:$J,0))</f>
        <v>11</v>
      </c>
      <c r="T952" s="235"/>
      <c r="U952" s="235">
        <f t="shared" si="24"/>
        <v>0</v>
      </c>
      <c r="V952" s="235"/>
      <c r="W952" s="235"/>
      <c r="Y952" s="228" t="str">
        <f t="shared" si="25"/>
        <v>GoldAllgemeine Gold-und Silberscheideanstalt A.G.</v>
      </c>
    </row>
    <row r="953" spans="1:25" s="228" customFormat="1" ht="20.25">
      <c r="A953" s="161" t="s">
        <v>1238</v>
      </c>
      <c r="B953" s="408" t="s">
        <v>2323</v>
      </c>
      <c r="C953" s="297" t="str">
        <f>IF(LEN(A953)=0,"",INDEX('[2]Smelter Reference List'!$C$1:$C$65536,MATCH($A953,'[2]Smelter Reference List'!$E$1:$E$65536,0)))</f>
        <v>Argor-Heraeus S.A.</v>
      </c>
      <c r="D953" s="161" t="s">
        <v>4669</v>
      </c>
      <c r="E953" s="161" t="s">
        <v>2179</v>
      </c>
      <c r="F953" s="161" t="s">
        <v>1238</v>
      </c>
      <c r="G953" s="161" t="s">
        <v>3125</v>
      </c>
      <c r="H953" s="247">
        <v>0</v>
      </c>
      <c r="I953" s="248" t="s">
        <v>3137</v>
      </c>
      <c r="J953" s="248" t="s">
        <v>3138</v>
      </c>
      <c r="K953" s="245"/>
      <c r="L953" s="245"/>
      <c r="M953" s="245"/>
      <c r="N953" s="245"/>
      <c r="O953" s="245"/>
      <c r="P953" s="245"/>
      <c r="Q953" s="246"/>
      <c r="R953" s="233"/>
      <c r="S953" s="234">
        <f>IF(C953="",NA(),MATCH($B953&amp;$C953,'Smelter Reference List'!$J:$J,0))</f>
        <v>17</v>
      </c>
      <c r="T953" s="235"/>
      <c r="U953" s="235">
        <f t="shared" si="24"/>
        <v>0</v>
      </c>
      <c r="V953" s="235"/>
      <c r="W953" s="235"/>
      <c r="Y953" s="228" t="str">
        <f t="shared" si="25"/>
        <v>GoldArgor-Heraeus S.A.</v>
      </c>
    </row>
    <row r="954" spans="1:25" s="228" customFormat="1" ht="20.25">
      <c r="A954" s="161" t="s">
        <v>1239</v>
      </c>
      <c r="B954" s="408" t="s">
        <v>2323</v>
      </c>
      <c r="C954" s="297" t="str">
        <f>IF(LEN(A954)=0,"",INDEX('[2]Smelter Reference List'!$C$1:$C$65536,MATCH($A954,'[2]Smelter Reference List'!$E$1:$E$65536,0)))</f>
        <v>Asahi Pretec Corp.</v>
      </c>
      <c r="D954" s="161" t="s">
        <v>4670</v>
      </c>
      <c r="E954" s="161" t="s">
        <v>2249</v>
      </c>
      <c r="F954" s="161" t="s">
        <v>1239</v>
      </c>
      <c r="G954" s="161" t="s">
        <v>3125</v>
      </c>
      <c r="H954" s="247">
        <v>0</v>
      </c>
      <c r="I954" s="248" t="s">
        <v>3139</v>
      </c>
      <c r="J954" s="248" t="s">
        <v>3140</v>
      </c>
      <c r="K954" s="245"/>
      <c r="L954" s="245"/>
      <c r="M954" s="245"/>
      <c r="N954" s="245"/>
      <c r="O954" s="245"/>
      <c r="P954" s="245"/>
      <c r="Q954" s="246"/>
      <c r="R954" s="233"/>
      <c r="S954" s="234">
        <f>IF(C954="",NA(),MATCH($B954&amp;$C954,'Smelter Reference List'!$J:$J,0))</f>
        <v>18</v>
      </c>
      <c r="T954" s="235"/>
      <c r="U954" s="235">
        <f t="shared" si="24"/>
        <v>0</v>
      </c>
      <c r="V954" s="235"/>
      <c r="W954" s="235"/>
      <c r="Y954" s="228" t="str">
        <f t="shared" si="25"/>
        <v>GoldAsahi Pretec Corp.</v>
      </c>
    </row>
    <row r="955" spans="1:25" s="228" customFormat="1" ht="20.25">
      <c r="A955" s="161" t="s">
        <v>1248</v>
      </c>
      <c r="B955" s="408" t="s">
        <v>2323</v>
      </c>
      <c r="C955" s="297" t="str">
        <f>IF(LEN(A955)=0,"",INDEX('[2]Smelter Reference List'!$C$1:$C$65536,MATCH($A955,'[2]Smelter Reference List'!$E$1:$E$65536,0)))</f>
        <v>CCR Refinery - Glencore Canada Corporation</v>
      </c>
      <c r="D955" s="161" t="s">
        <v>4323</v>
      </c>
      <c r="E955" s="161" t="s">
        <v>2177</v>
      </c>
      <c r="F955" s="161" t="s">
        <v>1248</v>
      </c>
      <c r="G955" s="161" t="s">
        <v>3125</v>
      </c>
      <c r="H955" s="247">
        <v>0</v>
      </c>
      <c r="I955" s="248" t="s">
        <v>3154</v>
      </c>
      <c r="J955" s="248" t="s">
        <v>3155</v>
      </c>
      <c r="K955" s="245"/>
      <c r="L955" s="245"/>
      <c r="M955" s="245"/>
      <c r="N955" s="245"/>
      <c r="O955" s="245"/>
      <c r="P955" s="245"/>
      <c r="Q955" s="246"/>
      <c r="R955" s="233"/>
      <c r="S955" s="234">
        <f>IF(C955="",NA(),MATCH($B955&amp;$C955,'Smelter Reference List'!$J:$J,0))</f>
        <v>33</v>
      </c>
      <c r="T955" s="235"/>
      <c r="U955" s="235">
        <f t="shared" si="24"/>
        <v>0</v>
      </c>
      <c r="V955" s="235"/>
      <c r="W955" s="235"/>
      <c r="Y955" s="228" t="str">
        <f t="shared" si="25"/>
        <v>GoldCCR Refinery - Glencore Canada Corporation</v>
      </c>
    </row>
    <row r="956" spans="1:25" s="228" customFormat="1" ht="20.25">
      <c r="A956" s="161" t="s">
        <v>1258</v>
      </c>
      <c r="B956" s="408" t="s">
        <v>2323</v>
      </c>
      <c r="C956" s="297" t="str">
        <f>IF(LEN(A956)=0,"",INDEX('[2]Smelter Reference List'!$C$1:$C$65536,MATCH($A956,'[2]Smelter Reference List'!$E$1:$E$65536,0)))</f>
        <v>Dowa</v>
      </c>
      <c r="D956" s="161" t="s">
        <v>1788</v>
      </c>
      <c r="E956" s="161" t="s">
        <v>2249</v>
      </c>
      <c r="F956" s="161" t="s">
        <v>1258</v>
      </c>
      <c r="G956" s="161" t="s">
        <v>3125</v>
      </c>
      <c r="H956" s="247">
        <v>0</v>
      </c>
      <c r="I956" s="248" t="s">
        <v>3173</v>
      </c>
      <c r="J956" s="248" t="s">
        <v>3174</v>
      </c>
      <c r="K956" s="245"/>
      <c r="L956" s="245"/>
      <c r="M956" s="245"/>
      <c r="N956" s="245"/>
      <c r="O956" s="245"/>
      <c r="P956" s="245"/>
      <c r="Q956" s="246"/>
      <c r="R956" s="233"/>
      <c r="S956" s="234">
        <f>IF(C956="",NA(),MATCH($B956&amp;$C956,'Smelter Reference List'!$J:$J,0))</f>
        <v>49</v>
      </c>
      <c r="T956" s="235"/>
      <c r="U956" s="235">
        <f t="shared" si="24"/>
        <v>0</v>
      </c>
      <c r="V956" s="235"/>
      <c r="W956" s="235"/>
      <c r="Y956" s="228" t="str">
        <f t="shared" si="25"/>
        <v>GoldDowa</v>
      </c>
    </row>
    <row r="957" spans="1:25" s="228" customFormat="1" ht="20.25">
      <c r="A957" s="161" t="s">
        <v>727</v>
      </c>
      <c r="B957" s="408" t="s">
        <v>2323</v>
      </c>
      <c r="C957" s="297" t="str">
        <f>IF(LEN(A957)=0,"",INDEX('[2]Smelter Reference List'!$C$1:$C$65536,MATCH($A957,'[2]Smelter Reference List'!$E$1:$E$65536,0)))</f>
        <v>Eco-System Recycling Co., Ltd.</v>
      </c>
      <c r="D957" s="161" t="s">
        <v>726</v>
      </c>
      <c r="E957" s="161" t="s">
        <v>2249</v>
      </c>
      <c r="F957" s="161" t="s">
        <v>727</v>
      </c>
      <c r="G957" s="161" t="s">
        <v>3125</v>
      </c>
      <c r="H957" s="247">
        <v>0</v>
      </c>
      <c r="I957" s="248" t="s">
        <v>3178</v>
      </c>
      <c r="J957" s="248" t="s">
        <v>3179</v>
      </c>
      <c r="K957" s="245"/>
      <c r="L957" s="245"/>
      <c r="M957" s="245"/>
      <c r="N957" s="245"/>
      <c r="O957" s="245"/>
      <c r="P957" s="245"/>
      <c r="Q957" s="246"/>
      <c r="R957" s="233"/>
      <c r="S957" s="234">
        <f>IF(C957="",NA(),MATCH($B957&amp;$C957,'Smelter Reference List'!$J:$J,0))</f>
        <v>54</v>
      </c>
      <c r="T957" s="235"/>
      <c r="U957" s="235">
        <f t="shared" si="24"/>
        <v>0</v>
      </c>
      <c r="V957" s="235"/>
      <c r="W957" s="235"/>
      <c r="Y957" s="228" t="str">
        <f t="shared" si="25"/>
        <v>GoldEco-System Recycling Co., Ltd.</v>
      </c>
    </row>
    <row r="958" spans="1:25" s="228" customFormat="1" ht="20.25">
      <c r="A958" s="161" t="s">
        <v>1264</v>
      </c>
      <c r="B958" s="408" t="s">
        <v>2323</v>
      </c>
      <c r="C958" s="297" t="str">
        <f>IF(LEN(A958)=0,"",INDEX('[2]Smelter Reference List'!$C$1:$C$65536,MATCH($A958,'[2]Smelter Reference List'!$E$1:$E$65536,0)))</f>
        <v>Heraeus Ltd. Hong Kong</v>
      </c>
      <c r="D958" s="161" t="s">
        <v>72</v>
      </c>
      <c r="E958" s="161" t="s">
        <v>2181</v>
      </c>
      <c r="F958" s="161" t="s">
        <v>1264</v>
      </c>
      <c r="G958" s="161" t="s">
        <v>3125</v>
      </c>
      <c r="H958" s="247">
        <v>0</v>
      </c>
      <c r="I958" s="248" t="s">
        <v>3190</v>
      </c>
      <c r="J958" s="248" t="s">
        <v>3191</v>
      </c>
      <c r="K958" s="245"/>
      <c r="L958" s="245"/>
      <c r="M958" s="245"/>
      <c r="N958" s="245"/>
      <c r="O958" s="245"/>
      <c r="P958" s="245"/>
      <c r="Q958" s="246"/>
      <c r="R958" s="233"/>
      <c r="S958" s="234">
        <f>IF(C958="",NA(),MATCH($B958&amp;$C958,'Smelter Reference List'!$J:$J,0))</f>
        <v>75</v>
      </c>
      <c r="T958" s="235"/>
      <c r="U958" s="235">
        <f t="shared" si="24"/>
        <v>0</v>
      </c>
      <c r="V958" s="235"/>
      <c r="W958" s="235"/>
      <c r="Y958" s="228" t="str">
        <f t="shared" si="25"/>
        <v>GoldHeraeus Ltd. Hong Kong</v>
      </c>
    </row>
    <row r="959" spans="1:25" s="228" customFormat="1" ht="20.25">
      <c r="A959" s="161" t="s">
        <v>1265</v>
      </c>
      <c r="B959" s="408" t="s">
        <v>2323</v>
      </c>
      <c r="C959" s="297" t="str">
        <f>IF(LEN(A959)=0,"",INDEX('[2]Smelter Reference List'!$C$1:$C$65536,MATCH($A959,'[2]Smelter Reference List'!$E$1:$E$65536,0)))</f>
        <v>Heraeus Precious Metals GmbH &amp; Co. KG</v>
      </c>
      <c r="D959" s="161" t="s">
        <v>2451</v>
      </c>
      <c r="E959" s="161" t="s">
        <v>2195</v>
      </c>
      <c r="F959" s="161" t="s">
        <v>1265</v>
      </c>
      <c r="G959" s="161" t="s">
        <v>3125</v>
      </c>
      <c r="H959" s="247">
        <v>0</v>
      </c>
      <c r="I959" s="248" t="s">
        <v>3192</v>
      </c>
      <c r="J959" s="248" t="s">
        <v>3193</v>
      </c>
      <c r="K959" s="245"/>
      <c r="L959" s="245"/>
      <c r="M959" s="245"/>
      <c r="N959" s="245"/>
      <c r="O959" s="245"/>
      <c r="P959" s="245"/>
      <c r="Q959" s="246"/>
      <c r="R959" s="233"/>
      <c r="S959" s="234">
        <f>IF(C959="",NA(),MATCH($B959&amp;$C959,'Smelter Reference List'!$J:$J,0))</f>
        <v>76</v>
      </c>
      <c r="T959" s="235"/>
      <c r="U959" s="235">
        <f t="shared" si="24"/>
        <v>0</v>
      </c>
      <c r="V959" s="235"/>
      <c r="W959" s="235"/>
      <c r="Y959" s="228" t="str">
        <f t="shared" si="25"/>
        <v>GoldHeraeus Precious Metals GmbH &amp; Co. KG</v>
      </c>
    </row>
    <row r="960" spans="1:25" s="228" customFormat="1" ht="20.25">
      <c r="A960" s="161" t="s">
        <v>1269</v>
      </c>
      <c r="B960" s="408" t="s">
        <v>2323</v>
      </c>
      <c r="C960" s="297" t="str">
        <f>IF(LEN(A960)=0,"",INDEX('[2]Smelter Reference List'!$C$1:$C$65536,MATCH($A960,'[2]Smelter Reference List'!$E$1:$E$65536,0)))</f>
        <v>Ishifuku Metal Industry Co., Ltd.</v>
      </c>
      <c r="D960" s="161" t="s">
        <v>2452</v>
      </c>
      <c r="E960" s="161" t="s">
        <v>2249</v>
      </c>
      <c r="F960" s="161" t="s">
        <v>1269</v>
      </c>
      <c r="G960" s="161" t="s">
        <v>3125</v>
      </c>
      <c r="H960" s="247">
        <v>0</v>
      </c>
      <c r="I960" s="248" t="s">
        <v>3199</v>
      </c>
      <c r="J960" s="248" t="s">
        <v>3179</v>
      </c>
      <c r="K960" s="245"/>
      <c r="L960" s="245"/>
      <c r="M960" s="245"/>
      <c r="N960" s="245"/>
      <c r="O960" s="245"/>
      <c r="P960" s="245"/>
      <c r="Q960" s="246"/>
      <c r="R960" s="233"/>
      <c r="S960" s="234">
        <f>IF(C960="",NA(),MATCH($B960&amp;$C960,'Smelter Reference List'!$J:$J,0))</f>
        <v>82</v>
      </c>
      <c r="T960" s="235"/>
      <c r="U960" s="235">
        <f t="shared" si="24"/>
        <v>0</v>
      </c>
      <c r="V960" s="235"/>
      <c r="W960" s="235"/>
      <c r="Y960" s="228" t="str">
        <f t="shared" si="25"/>
        <v>GoldIshifuku Metal Industry Co., Ltd.</v>
      </c>
    </row>
    <row r="961" spans="1:25" s="228" customFormat="1" ht="20.25">
      <c r="A961" s="161" t="s">
        <v>1273</v>
      </c>
      <c r="B961" s="408" t="s">
        <v>2323</v>
      </c>
      <c r="C961" s="297" t="str">
        <f>IF(LEN(A961)=0,"",INDEX('[2]Smelter Reference List'!$C$1:$C$65536,MATCH($A961,'[2]Smelter Reference List'!$E$1:$E$65536,0)))</f>
        <v>Asahi Refining USA Inc.</v>
      </c>
      <c r="D961" s="161" t="s">
        <v>4267</v>
      </c>
      <c r="E961" s="161" t="s">
        <v>1759</v>
      </c>
      <c r="F961" s="161" t="s">
        <v>1273</v>
      </c>
      <c r="G961" s="161" t="s">
        <v>3125</v>
      </c>
      <c r="H961" s="247">
        <v>0</v>
      </c>
      <c r="I961" s="248" t="s">
        <v>3206</v>
      </c>
      <c r="J961" s="248" t="s">
        <v>3207</v>
      </c>
      <c r="K961" s="245"/>
      <c r="L961" s="245"/>
      <c r="M961" s="245"/>
      <c r="N961" s="245"/>
      <c r="O961" s="245"/>
      <c r="P961" s="245"/>
      <c r="Q961" s="246"/>
      <c r="R961" s="233"/>
      <c r="S961" s="234">
        <f>IF(C961="",NA(),MATCH($B961&amp;$C961,'Smelter Reference List'!$J:$J,0))</f>
        <v>20</v>
      </c>
      <c r="T961" s="235"/>
      <c r="U961" s="235">
        <f t="shared" si="24"/>
        <v>0</v>
      </c>
      <c r="V961" s="235"/>
      <c r="W961" s="235"/>
      <c r="Y961" s="228" t="str">
        <f t="shared" si="25"/>
        <v>GoldAsahi Refining USA Inc.</v>
      </c>
    </row>
    <row r="962" spans="1:25" s="228" customFormat="1" ht="20.25">
      <c r="A962" s="161" t="s">
        <v>1277</v>
      </c>
      <c r="B962" s="408" t="s">
        <v>2323</v>
      </c>
      <c r="C962" s="297" t="str">
        <f>IF(LEN(A962)=0,"",INDEX('[2]Smelter Reference List'!$C$1:$C$65536,MATCH($A962,'[2]Smelter Reference List'!$E$1:$E$65536,0)))</f>
        <v>JX Nippon Mining &amp; Metals Co., Ltd.</v>
      </c>
      <c r="D962" s="161" t="s">
        <v>73</v>
      </c>
      <c r="E962" s="161" t="s">
        <v>2249</v>
      </c>
      <c r="F962" s="161" t="s">
        <v>1277</v>
      </c>
      <c r="G962" s="161" t="s">
        <v>3125</v>
      </c>
      <c r="H962" s="247">
        <v>0</v>
      </c>
      <c r="I962" s="248" t="s">
        <v>4844</v>
      </c>
      <c r="J962" s="248" t="s">
        <v>4844</v>
      </c>
      <c r="K962" s="245"/>
      <c r="L962" s="245"/>
      <c r="M962" s="245"/>
      <c r="N962" s="245"/>
      <c r="O962" s="245"/>
      <c r="P962" s="245"/>
      <c r="Q962" s="246"/>
      <c r="R962" s="233"/>
      <c r="S962" s="234">
        <f>IF(C962="",NA(),MATCH($B962&amp;$C962,'Smelter Reference List'!$J:$J,0))</f>
        <v>93</v>
      </c>
      <c r="T962" s="235"/>
      <c r="U962" s="235">
        <f t="shared" si="24"/>
        <v>0</v>
      </c>
      <c r="V962" s="235"/>
      <c r="W962" s="235"/>
      <c r="Y962" s="228" t="str">
        <f t="shared" si="25"/>
        <v>GoldJX Nippon Mining &amp; Metals Co., Ltd.</v>
      </c>
    </row>
    <row r="963" spans="1:25" s="228" customFormat="1" ht="20.25">
      <c r="A963" s="161" t="s">
        <v>1280</v>
      </c>
      <c r="B963" s="408" t="s">
        <v>2323</v>
      </c>
      <c r="C963" s="297" t="str">
        <f>IF(LEN(A963)=0,"",INDEX('[2]Smelter Reference List'!$C$1:$C$65536,MATCH($A963,'[2]Smelter Reference List'!$E$1:$E$65536,0)))</f>
        <v>Kennecott Utah Copper LLC</v>
      </c>
      <c r="D963" s="161" t="s">
        <v>1279</v>
      </c>
      <c r="E963" s="161" t="s">
        <v>1759</v>
      </c>
      <c r="F963" s="161" t="s">
        <v>1280</v>
      </c>
      <c r="G963" s="161" t="s">
        <v>3125</v>
      </c>
      <c r="H963" s="247">
        <v>0</v>
      </c>
      <c r="I963" s="248" t="s">
        <v>3215</v>
      </c>
      <c r="J963" s="248" t="s">
        <v>3207</v>
      </c>
      <c r="K963" s="245"/>
      <c r="L963" s="245"/>
      <c r="M963" s="245"/>
      <c r="N963" s="245"/>
      <c r="O963" s="245"/>
      <c r="P963" s="245"/>
      <c r="Q963" s="246"/>
      <c r="R963" s="233"/>
      <c r="S963" s="234">
        <f>IF(C963="",NA(),MATCH($B963&amp;$C963,'Smelter Reference List'!$J:$J,0))</f>
        <v>97</v>
      </c>
      <c r="T963" s="235"/>
      <c r="U963" s="235">
        <f t="shared" si="24"/>
        <v>0</v>
      </c>
      <c r="V963" s="235"/>
      <c r="W963" s="235"/>
      <c r="Y963" s="228" t="str">
        <f t="shared" si="25"/>
        <v>GoldKennecott Utah Copper LLC</v>
      </c>
    </row>
    <row r="964" spans="1:25" s="228" customFormat="1" ht="20.25">
      <c r="A964" s="161" t="s">
        <v>1281</v>
      </c>
      <c r="B964" s="408" t="s">
        <v>2323</v>
      </c>
      <c r="C964" s="297" t="str">
        <f>IF(LEN(A964)=0,"",INDEX('[2]Smelter Reference List'!$C$1:$C$65536,MATCH($A964,'[2]Smelter Reference List'!$E$1:$E$65536,0)))</f>
        <v>Kojima Chemicals Co., Ltd.</v>
      </c>
      <c r="D964" s="161" t="s">
        <v>4158</v>
      </c>
      <c r="E964" s="161" t="s">
        <v>2249</v>
      </c>
      <c r="F964" s="161" t="s">
        <v>1281</v>
      </c>
      <c r="G964" s="161" t="s">
        <v>3125</v>
      </c>
      <c r="H964" s="247">
        <v>0</v>
      </c>
      <c r="I964" s="248" t="s">
        <v>3216</v>
      </c>
      <c r="J964" s="248" t="s">
        <v>3179</v>
      </c>
      <c r="K964" s="245"/>
      <c r="L964" s="245"/>
      <c r="M964" s="245"/>
      <c r="N964" s="245"/>
      <c r="O964" s="245"/>
      <c r="P964" s="245"/>
      <c r="Q964" s="246"/>
      <c r="R964" s="233"/>
      <c r="S964" s="234">
        <f>IF(C964="",NA(),MATCH($B964&amp;$C964,'Smelter Reference List'!$J:$J,0))</f>
        <v>99</v>
      </c>
      <c r="T964" s="235"/>
      <c r="U964" s="235">
        <f t="shared" si="24"/>
        <v>0</v>
      </c>
      <c r="V964" s="235"/>
      <c r="W964" s="235"/>
      <c r="Y964" s="228" t="str">
        <f t="shared" si="25"/>
        <v>GoldKojima Chemicals Co., Ltd.</v>
      </c>
    </row>
    <row r="965" spans="1:25" s="228" customFormat="1" ht="20.25">
      <c r="A965" s="161" t="s">
        <v>1286</v>
      </c>
      <c r="B965" s="408" t="s">
        <v>2323</v>
      </c>
      <c r="C965" s="297" t="str">
        <f>IF(LEN(A965)=0,"",INDEX('[2]Smelter Reference List'!$C$1:$C$65536,MATCH($A965,'[2]Smelter Reference List'!$E$1:$E$65536,0)))</f>
        <v>LS-NIKKO Copper Inc.</v>
      </c>
      <c r="D965" s="161" t="s">
        <v>74</v>
      </c>
      <c r="E965" s="161" t="s">
        <v>2256</v>
      </c>
      <c r="F965" s="161" t="s">
        <v>1286</v>
      </c>
      <c r="G965" s="161" t="s">
        <v>3125</v>
      </c>
      <c r="H965" s="247">
        <v>0</v>
      </c>
      <c r="I965" s="248" t="s">
        <v>3225</v>
      </c>
      <c r="J965" s="248" t="s">
        <v>3226</v>
      </c>
      <c r="K965" s="245"/>
      <c r="L965" s="245"/>
      <c r="M965" s="245"/>
      <c r="N965" s="245"/>
      <c r="O965" s="245"/>
      <c r="P965" s="245"/>
      <c r="Q965" s="246"/>
      <c r="R965" s="233"/>
      <c r="S965" s="234">
        <f>IF(C965="",NA(),MATCH($B965&amp;$C965,'Smelter Reference List'!$J:$J,0))</f>
        <v>111</v>
      </c>
      <c r="T965" s="235"/>
      <c r="U965" s="235">
        <f t="shared" si="24"/>
        <v>0</v>
      </c>
      <c r="V965" s="235"/>
      <c r="W965" s="235"/>
      <c r="Y965" s="228" t="str">
        <f t="shared" si="25"/>
        <v>GoldLS-NIKKO Copper Inc.</v>
      </c>
    </row>
    <row r="966" spans="1:25" s="228" customFormat="1" ht="20.25">
      <c r="A966" s="161" t="s">
        <v>1289</v>
      </c>
      <c r="B966" s="408" t="s">
        <v>2323</v>
      </c>
      <c r="C966" s="297" t="str">
        <f>IF(LEN(A966)=0,"",INDEX('[2]Smelter Reference List'!$C$1:$C$65536,MATCH($A966,'[2]Smelter Reference List'!$E$1:$E$65536,0)))</f>
        <v>Materion</v>
      </c>
      <c r="D966" s="161" t="s">
        <v>1792</v>
      </c>
      <c r="E966" s="161" t="s">
        <v>1759</v>
      </c>
      <c r="F966" s="161" t="s">
        <v>1289</v>
      </c>
      <c r="G966" s="161" t="s">
        <v>3125</v>
      </c>
      <c r="H966" s="247">
        <v>0</v>
      </c>
      <c r="I966" s="248" t="s">
        <v>3229</v>
      </c>
      <c r="J966" s="248" t="s">
        <v>3230</v>
      </c>
      <c r="K966" s="245"/>
      <c r="L966" s="245"/>
      <c r="M966" s="245"/>
      <c r="N966" s="245"/>
      <c r="O966" s="245"/>
      <c r="P966" s="245"/>
      <c r="Q966" s="246"/>
      <c r="R966" s="233"/>
      <c r="S966" s="234">
        <f>IF(C966="",NA(),MATCH($B966&amp;$C966,'Smelter Reference List'!$J:$J,0))</f>
        <v>115</v>
      </c>
      <c r="T966" s="235"/>
      <c r="U966" s="235">
        <f t="shared" ref="U966:U1029" si="26">IF(AND(C966="Smelter not listed",OR(LEN(D966)=0,LEN(E966)=0)),1,0)</f>
        <v>0</v>
      </c>
      <c r="V966" s="235"/>
      <c r="W966" s="235"/>
      <c r="Y966" s="228" t="str">
        <f t="shared" ref="Y966:Y1029" si="27">B966&amp;C966</f>
        <v>GoldMaterion</v>
      </c>
    </row>
    <row r="967" spans="1:25" s="228" customFormat="1" ht="20.25">
      <c r="A967" s="161" t="s">
        <v>1290</v>
      </c>
      <c r="B967" s="408" t="s">
        <v>2323</v>
      </c>
      <c r="C967" s="297" t="str">
        <f>IF(LEN(A967)=0,"",INDEX('[2]Smelter Reference List'!$C$1:$C$65536,MATCH($A967,'[2]Smelter Reference List'!$E$1:$E$65536,0)))</f>
        <v>Matsuda Sangyo Co., Ltd.</v>
      </c>
      <c r="D967" s="161" t="s">
        <v>75</v>
      </c>
      <c r="E967" s="161" t="s">
        <v>2249</v>
      </c>
      <c r="F967" s="161" t="s">
        <v>1290</v>
      </c>
      <c r="G967" s="161" t="s">
        <v>3125</v>
      </c>
      <c r="H967" s="247">
        <v>0</v>
      </c>
      <c r="I967" s="248" t="s">
        <v>3231</v>
      </c>
      <c r="J967" s="248" t="s">
        <v>3179</v>
      </c>
      <c r="K967" s="245"/>
      <c r="L967" s="245"/>
      <c r="M967" s="245"/>
      <c r="N967" s="245"/>
      <c r="O967" s="245"/>
      <c r="P967" s="245"/>
      <c r="Q967" s="246"/>
      <c r="R967" s="233"/>
      <c r="S967" s="234">
        <f>IF(C967="",NA(),MATCH($B967&amp;$C967,'Smelter Reference List'!$J:$J,0))</f>
        <v>116</v>
      </c>
      <c r="T967" s="235"/>
      <c r="U967" s="235">
        <f t="shared" si="26"/>
        <v>0</v>
      </c>
      <c r="V967" s="235"/>
      <c r="W967" s="235"/>
      <c r="Y967" s="228" t="str">
        <f t="shared" si="27"/>
        <v>GoldMatsuda Sangyo Co., Ltd.</v>
      </c>
    </row>
    <row r="968" spans="1:25" s="228" customFormat="1" ht="20.25">
      <c r="A968" s="161" t="s">
        <v>1291</v>
      </c>
      <c r="B968" s="408" t="s">
        <v>2323</v>
      </c>
      <c r="C968" s="297" t="str">
        <f>IF(LEN(A968)=0,"",INDEX('[2]Smelter Reference List'!$C$1:$C$65536,MATCH($A968,'[2]Smelter Reference List'!$E$1:$E$65536,0)))</f>
        <v>Metalor Technologies (Hong Kong) Ltd.</v>
      </c>
      <c r="D968" s="161" t="s">
        <v>4162</v>
      </c>
      <c r="E968" s="161" t="s">
        <v>2181</v>
      </c>
      <c r="F968" s="161" t="s">
        <v>1291</v>
      </c>
      <c r="G968" s="161" t="s">
        <v>3125</v>
      </c>
      <c r="H968" s="247">
        <v>0</v>
      </c>
      <c r="I968" s="248" t="s">
        <v>3236</v>
      </c>
      <c r="J968" s="248" t="s">
        <v>3191</v>
      </c>
      <c r="K968" s="245"/>
      <c r="L968" s="245"/>
      <c r="M968" s="245"/>
      <c r="N968" s="245"/>
      <c r="O968" s="245"/>
      <c r="P968" s="245"/>
      <c r="Q968" s="246"/>
      <c r="R968" s="233"/>
      <c r="S968" s="234">
        <f>IF(C968="",NA(),MATCH($B968&amp;$C968,'Smelter Reference List'!$J:$J,0))</f>
        <v>120</v>
      </c>
      <c r="T968" s="235"/>
      <c r="U968" s="235">
        <f t="shared" si="26"/>
        <v>0</v>
      </c>
      <c r="V968" s="235"/>
      <c r="W968" s="235"/>
      <c r="Y968" s="228" t="str">
        <f t="shared" si="27"/>
        <v>GoldMetalor Technologies (Hong Kong) Ltd.</v>
      </c>
    </row>
    <row r="969" spans="1:25" s="228" customFormat="1" ht="20.25">
      <c r="A969" s="161" t="s">
        <v>1293</v>
      </c>
      <c r="B969" s="408" t="s">
        <v>2323</v>
      </c>
      <c r="C969" s="297" t="str">
        <f>IF(LEN(A969)=0,"",INDEX('[2]Smelter Reference List'!$C$1:$C$65536,MATCH($A969,'[2]Smelter Reference List'!$E$1:$E$65536,0)))</f>
        <v>Metalor Technologies S.A.</v>
      </c>
      <c r="D969" s="161" t="s">
        <v>4697</v>
      </c>
      <c r="E969" s="161" t="s">
        <v>2179</v>
      </c>
      <c r="F969" s="161" t="s">
        <v>1293</v>
      </c>
      <c r="G969" s="161" t="s">
        <v>3125</v>
      </c>
      <c r="H969" s="247">
        <v>0</v>
      </c>
      <c r="I969" s="248" t="s">
        <v>3239</v>
      </c>
      <c r="J969" s="248" t="s">
        <v>3240</v>
      </c>
      <c r="K969" s="245"/>
      <c r="L969" s="245"/>
      <c r="M969" s="245"/>
      <c r="N969" s="245"/>
      <c r="O969" s="245"/>
      <c r="P969" s="245"/>
      <c r="Q969" s="246"/>
      <c r="R969" s="233"/>
      <c r="S969" s="234">
        <f>IF(C969="",NA(),MATCH($B969&amp;$C969,'Smelter Reference List'!$J:$J,0))</f>
        <v>123</v>
      </c>
      <c r="T969" s="235"/>
      <c r="U969" s="235">
        <f t="shared" si="26"/>
        <v>0</v>
      </c>
      <c r="V969" s="235"/>
      <c r="W969" s="235"/>
      <c r="Y969" s="228" t="str">
        <f t="shared" si="27"/>
        <v>GoldMetalor Technologies S.A.</v>
      </c>
    </row>
    <row r="970" spans="1:25" s="228" customFormat="1" ht="20.25">
      <c r="A970" s="161" t="s">
        <v>1294</v>
      </c>
      <c r="B970" s="408" t="s">
        <v>2323</v>
      </c>
      <c r="C970" s="297" t="str">
        <f>IF(LEN(A970)=0,"",INDEX('[2]Smelter Reference List'!$C$1:$C$65536,MATCH($A970,'[2]Smelter Reference List'!$E$1:$E$65536,0)))</f>
        <v>Metalor USA Refining Corporation</v>
      </c>
      <c r="D970" s="161" t="s">
        <v>2453</v>
      </c>
      <c r="E970" s="161" t="s">
        <v>1759</v>
      </c>
      <c r="F970" s="161" t="s">
        <v>1294</v>
      </c>
      <c r="G970" s="161" t="s">
        <v>3125</v>
      </c>
      <c r="H970" s="247">
        <v>0</v>
      </c>
      <c r="I970" s="248" t="s">
        <v>3241</v>
      </c>
      <c r="J970" s="248" t="s">
        <v>3242</v>
      </c>
      <c r="K970" s="245"/>
      <c r="L970" s="245"/>
      <c r="M970" s="245"/>
      <c r="N970" s="245"/>
      <c r="O970" s="245"/>
      <c r="P970" s="245"/>
      <c r="Q970" s="246"/>
      <c r="R970" s="233"/>
      <c r="S970" s="234">
        <f>IF(C970="",NA(),MATCH($B970&amp;$C970,'Smelter Reference List'!$J:$J,0))</f>
        <v>124</v>
      </c>
      <c r="T970" s="235"/>
      <c r="U970" s="235">
        <f t="shared" si="26"/>
        <v>0</v>
      </c>
      <c r="V970" s="235"/>
      <c r="W970" s="235"/>
      <c r="Y970" s="228" t="str">
        <f t="shared" si="27"/>
        <v>GoldMetalor USA Refining Corporation</v>
      </c>
    </row>
    <row r="971" spans="1:25" s="228" customFormat="1" ht="20.25">
      <c r="A971" s="161" t="s">
        <v>1296</v>
      </c>
      <c r="B971" s="408" t="s">
        <v>2323</v>
      </c>
      <c r="C971" s="297" t="str">
        <f>IF(LEN(A971)=0,"",INDEX('[2]Smelter Reference List'!$C$1:$C$65536,MATCH($A971,'[2]Smelter Reference List'!$E$1:$E$65536,0)))</f>
        <v>Mitsubishi Materials Corporation</v>
      </c>
      <c r="D971" s="161" t="s">
        <v>2371</v>
      </c>
      <c r="E971" s="161" t="s">
        <v>2249</v>
      </c>
      <c r="F971" s="161" t="s">
        <v>1296</v>
      </c>
      <c r="G971" s="161" t="s">
        <v>3125</v>
      </c>
      <c r="H971" s="247">
        <v>0</v>
      </c>
      <c r="I971" s="248" t="s">
        <v>3245</v>
      </c>
      <c r="J971" s="248" t="s">
        <v>4283</v>
      </c>
      <c r="K971" s="245"/>
      <c r="L971" s="245"/>
      <c r="M971" s="245"/>
      <c r="N971" s="245"/>
      <c r="O971" s="245"/>
      <c r="P971" s="245"/>
      <c r="Q971" s="246"/>
      <c r="R971" s="233"/>
      <c r="S971" s="234">
        <f>IF(C971="",NA(),MATCH($B971&amp;$C971,'Smelter Reference List'!$J:$J,0))</f>
        <v>128</v>
      </c>
      <c r="T971" s="235"/>
      <c r="U971" s="235">
        <f t="shared" si="26"/>
        <v>0</v>
      </c>
      <c r="V971" s="235"/>
      <c r="W971" s="235"/>
      <c r="Y971" s="228" t="str">
        <f t="shared" si="27"/>
        <v>GoldMitsubishi Materials Corporation</v>
      </c>
    </row>
    <row r="972" spans="1:25" s="228" customFormat="1" ht="20.25">
      <c r="A972" s="161" t="s">
        <v>1297</v>
      </c>
      <c r="B972" s="408" t="s">
        <v>2323</v>
      </c>
      <c r="C972" s="297" t="str">
        <f>IF(LEN(A972)=0,"",INDEX('[2]Smelter Reference List'!$C$1:$C$65536,MATCH($A972,'[2]Smelter Reference List'!$E$1:$E$65536,0)))</f>
        <v>Mitsui Mining and Smelting Co., Ltd.</v>
      </c>
      <c r="D972" s="161" t="s">
        <v>2454</v>
      </c>
      <c r="E972" s="161" t="s">
        <v>2249</v>
      </c>
      <c r="F972" s="161" t="s">
        <v>1297</v>
      </c>
      <c r="G972" s="161" t="s">
        <v>3125</v>
      </c>
      <c r="H972" s="247">
        <v>0</v>
      </c>
      <c r="I972" s="248" t="s">
        <v>3247</v>
      </c>
      <c r="J972" s="248" t="s">
        <v>3246</v>
      </c>
      <c r="K972" s="245"/>
      <c r="L972" s="245"/>
      <c r="M972" s="245"/>
      <c r="N972" s="245"/>
      <c r="O972" s="245"/>
      <c r="P972" s="245"/>
      <c r="Q972" s="246"/>
      <c r="R972" s="233"/>
      <c r="S972" s="234">
        <f>IF(C972="",NA(),MATCH($B972&amp;$C972,'Smelter Reference List'!$J:$J,0))</f>
        <v>130</v>
      </c>
      <c r="T972" s="235"/>
      <c r="U972" s="235">
        <f t="shared" si="26"/>
        <v>0</v>
      </c>
      <c r="V972" s="235"/>
      <c r="W972" s="235"/>
      <c r="Y972" s="228" t="str">
        <f t="shared" si="27"/>
        <v>GoldMitsui Mining and Smelting Co., Ltd.</v>
      </c>
    </row>
    <row r="973" spans="1:25" s="228" customFormat="1" ht="20.25">
      <c r="A973" s="161" t="s">
        <v>1301</v>
      </c>
      <c r="B973" s="408" t="s">
        <v>2323</v>
      </c>
      <c r="C973" s="297" t="str">
        <f>IF(LEN(A973)=0,"",INDEX('[2]Smelter Reference List'!$C$1:$C$65536,MATCH($A973,'[2]Smelter Reference List'!$E$1:$E$65536,0)))</f>
        <v>Nihon Material Co., Ltd.</v>
      </c>
      <c r="D973" s="161" t="s">
        <v>4166</v>
      </c>
      <c r="E973" s="161" t="s">
        <v>2249</v>
      </c>
      <c r="F973" s="161" t="s">
        <v>1301</v>
      </c>
      <c r="G973" s="161" t="s">
        <v>3125</v>
      </c>
      <c r="H973" s="247">
        <v>0</v>
      </c>
      <c r="I973" s="248" t="s">
        <v>3253</v>
      </c>
      <c r="J973" s="248" t="s">
        <v>3254</v>
      </c>
      <c r="K973" s="245"/>
      <c r="L973" s="245"/>
      <c r="M973" s="245"/>
      <c r="N973" s="245"/>
      <c r="O973" s="245"/>
      <c r="P973" s="245"/>
      <c r="Q973" s="246"/>
      <c r="R973" s="233"/>
      <c r="S973" s="234">
        <f>IF(C973="",NA(),MATCH($B973&amp;$C973,'Smelter Reference List'!$J:$J,0))</f>
        <v>137</v>
      </c>
      <c r="T973" s="235"/>
      <c r="U973" s="235">
        <f t="shared" si="26"/>
        <v>0</v>
      </c>
      <c r="V973" s="235"/>
      <c r="W973" s="235"/>
      <c r="Y973" s="228" t="str">
        <f t="shared" si="27"/>
        <v>GoldNihon Material Co., Ltd.</v>
      </c>
    </row>
    <row r="974" spans="1:25" s="228" customFormat="1" ht="20.25">
      <c r="A974" s="161" t="s">
        <v>1302</v>
      </c>
      <c r="B974" s="408" t="s">
        <v>2323</v>
      </c>
      <c r="C974" s="297" t="str">
        <f>IF(LEN(A974)=0,"",INDEX('[2]Smelter Reference List'!$C$1:$C$65536,MATCH($A974,'[2]Smelter Reference List'!$E$1:$E$65536,0)))</f>
        <v>Elemetal Refining, LLC</v>
      </c>
      <c r="D974" s="161" t="s">
        <v>4268</v>
      </c>
      <c r="E974" s="161" t="s">
        <v>1759</v>
      </c>
      <c r="F974" s="161" t="s">
        <v>1302</v>
      </c>
      <c r="G974" s="161" t="s">
        <v>3125</v>
      </c>
      <c r="H974" s="247">
        <v>0</v>
      </c>
      <c r="I974" s="248" t="s">
        <v>3255</v>
      </c>
      <c r="J974" s="248" t="s">
        <v>3256</v>
      </c>
      <c r="K974" s="245"/>
      <c r="L974" s="245"/>
      <c r="M974" s="245"/>
      <c r="N974" s="245"/>
      <c r="O974" s="245"/>
      <c r="P974" s="245"/>
      <c r="Q974" s="246"/>
      <c r="R974" s="233"/>
      <c r="S974" s="234">
        <f>IF(C974="",NA(),MATCH($B974&amp;$C974,'Smelter Reference List'!$J:$J,0))</f>
        <v>55</v>
      </c>
      <c r="T974" s="235"/>
      <c r="U974" s="235">
        <f t="shared" si="26"/>
        <v>0</v>
      </c>
      <c r="V974" s="235"/>
      <c r="W974" s="235"/>
      <c r="Y974" s="228" t="str">
        <f t="shared" si="27"/>
        <v>GoldElemetal Refining, LLC</v>
      </c>
    </row>
    <row r="975" spans="1:25" s="228" customFormat="1" ht="20.25">
      <c r="A975" s="161" t="s">
        <v>1305</v>
      </c>
      <c r="B975" s="408" t="s">
        <v>2323</v>
      </c>
      <c r="C975" s="297" t="str">
        <f>IF(LEN(A975)=0,"",INDEX('[2]Smelter Reference List'!$C$1:$C$65536,MATCH($A975,'[2]Smelter Reference List'!$E$1:$E$65536,0)))</f>
        <v>PAMP S.A.</v>
      </c>
      <c r="D975" s="161" t="s">
        <v>4705</v>
      </c>
      <c r="E975" s="161" t="s">
        <v>2179</v>
      </c>
      <c r="F975" s="161" t="s">
        <v>1305</v>
      </c>
      <c r="G975" s="161" t="s">
        <v>3125</v>
      </c>
      <c r="H975" s="247">
        <v>0</v>
      </c>
      <c r="I975" s="248" t="s">
        <v>3262</v>
      </c>
      <c r="J975" s="248" t="s">
        <v>3138</v>
      </c>
      <c r="K975" s="245"/>
      <c r="L975" s="245"/>
      <c r="M975" s="245"/>
      <c r="N975" s="245"/>
      <c r="O975" s="245"/>
      <c r="P975" s="245"/>
      <c r="Q975" s="246"/>
      <c r="R975" s="233"/>
      <c r="S975" s="234">
        <f>IF(C975="",NA(),MATCH($B975&amp;$C975,'Smelter Reference List'!$J:$J,0))</f>
        <v>146</v>
      </c>
      <c r="T975" s="235"/>
      <c r="U975" s="235">
        <f t="shared" si="26"/>
        <v>0</v>
      </c>
      <c r="V975" s="235"/>
      <c r="W975" s="235"/>
      <c r="Y975" s="228" t="str">
        <f t="shared" si="27"/>
        <v>GoldPAMP S.A.</v>
      </c>
    </row>
    <row r="976" spans="1:25" s="228" customFormat="1" ht="20.25">
      <c r="A976" s="161" t="s">
        <v>1310</v>
      </c>
      <c r="B976" s="408" t="s">
        <v>2323</v>
      </c>
      <c r="C976" s="297" t="str">
        <f>IF(LEN(A976)=0,"",INDEX('[2]Smelter Reference List'!$C$1:$C$65536,MATCH($A976,'[2]Smelter Reference List'!$E$1:$E$65536,0)))</f>
        <v>Rand Refinery (Pty) Ltd.</v>
      </c>
      <c r="D976" s="161" t="s">
        <v>4171</v>
      </c>
      <c r="E976" s="161" t="s">
        <v>1772</v>
      </c>
      <c r="F976" s="161" t="s">
        <v>1310</v>
      </c>
      <c r="G976" s="161" t="s">
        <v>3125</v>
      </c>
      <c r="H976" s="247">
        <v>0</v>
      </c>
      <c r="I976" s="248" t="s">
        <v>3270</v>
      </c>
      <c r="J976" s="248" t="s">
        <v>3271</v>
      </c>
      <c r="K976" s="245"/>
      <c r="L976" s="245"/>
      <c r="M976" s="245"/>
      <c r="N976" s="245"/>
      <c r="O976" s="245"/>
      <c r="P976" s="245"/>
      <c r="Q976" s="246"/>
      <c r="R976" s="233"/>
      <c r="S976" s="234">
        <f>IF(C976="",NA(),MATCH($B976&amp;$C976,'Smelter Reference List'!$J:$J,0))</f>
        <v>155</v>
      </c>
      <c r="T976" s="235"/>
      <c r="U976" s="235">
        <f t="shared" si="26"/>
        <v>0</v>
      </c>
      <c r="V976" s="235"/>
      <c r="W976" s="235"/>
      <c r="Y976" s="228" t="str">
        <f t="shared" si="27"/>
        <v>GoldRand Refinery (Pty) Ltd.</v>
      </c>
    </row>
    <row r="977" spans="1:25" s="228" customFormat="1" ht="20.25">
      <c r="A977" s="161" t="s">
        <v>1311</v>
      </c>
      <c r="B977" s="408" t="s">
        <v>2323</v>
      </c>
      <c r="C977" s="297" t="str">
        <f>IF(LEN(A977)=0,"",INDEX('[2]Smelter Reference List'!$C$1:$C$65536,MATCH($A977,'[2]Smelter Reference List'!$E$1:$E$65536,0)))</f>
        <v>Royal Canadian Mint</v>
      </c>
      <c r="D977" s="161" t="s">
        <v>1795</v>
      </c>
      <c r="E977" s="161" t="s">
        <v>2177</v>
      </c>
      <c r="F977" s="161" t="s">
        <v>1311</v>
      </c>
      <c r="G977" s="161" t="s">
        <v>3125</v>
      </c>
      <c r="H977" s="247">
        <v>0</v>
      </c>
      <c r="I977" s="248" t="s">
        <v>3272</v>
      </c>
      <c r="J977" s="248" t="s">
        <v>3210</v>
      </c>
      <c r="K977" s="245"/>
      <c r="L977" s="245"/>
      <c r="M977" s="245"/>
      <c r="N977" s="245"/>
      <c r="O977" s="245"/>
      <c r="P977" s="245"/>
      <c r="Q977" s="246"/>
      <c r="R977" s="233"/>
      <c r="S977" s="234">
        <f>IF(C977="",NA(),MATCH($B977&amp;$C977,'Smelter Reference List'!$J:$J,0))</f>
        <v>159</v>
      </c>
      <c r="T977" s="235"/>
      <c r="U977" s="235">
        <f t="shared" si="26"/>
        <v>0</v>
      </c>
      <c r="V977" s="235"/>
      <c r="W977" s="235"/>
      <c r="Y977" s="228" t="str">
        <f t="shared" si="27"/>
        <v>GoldRoyal Canadian Mint</v>
      </c>
    </row>
    <row r="978" spans="1:25" s="228" customFormat="1" ht="20.25">
      <c r="A978" s="161" t="s">
        <v>1316</v>
      </c>
      <c r="B978" s="408" t="s">
        <v>2323</v>
      </c>
      <c r="C978" s="297" t="str">
        <f>IF(LEN(A978)=0,"",INDEX('[2]Smelter Reference List'!$C$1:$C$65536,MATCH($A978,'[2]Smelter Reference List'!$E$1:$E$65536,0)))</f>
        <v>Shandong Zhaojin Gold &amp; Silver Refinery Co., Ltd.</v>
      </c>
      <c r="D978" s="161" t="s">
        <v>4174</v>
      </c>
      <c r="E978" s="161" t="s">
        <v>2181</v>
      </c>
      <c r="F978" s="161" t="s">
        <v>1316</v>
      </c>
      <c r="G978" s="161" t="s">
        <v>3125</v>
      </c>
      <c r="H978" s="247">
        <v>0</v>
      </c>
      <c r="I978" s="248" t="s">
        <v>3185</v>
      </c>
      <c r="J978" s="248" t="s">
        <v>3264</v>
      </c>
      <c r="K978" s="245"/>
      <c r="L978" s="245"/>
      <c r="M978" s="245"/>
      <c r="N978" s="245"/>
      <c r="O978" s="245"/>
      <c r="P978" s="245"/>
      <c r="Q978" s="246"/>
      <c r="R978" s="233"/>
      <c r="S978" s="234">
        <f>IF(C978="",NA(),MATCH($B978&amp;$C978,'Smelter Reference List'!$J:$J,0))</f>
        <v>176</v>
      </c>
      <c r="T978" s="235"/>
      <c r="U978" s="235">
        <f t="shared" si="26"/>
        <v>0</v>
      </c>
      <c r="V978" s="235"/>
      <c r="W978" s="235"/>
      <c r="Y978" s="228" t="str">
        <f t="shared" si="27"/>
        <v>GoldShandong Zhaojin Gold &amp; Silver Refinery Co., Ltd.</v>
      </c>
    </row>
    <row r="979" spans="1:25" s="228" customFormat="1" ht="20.25">
      <c r="A979" s="161" t="s">
        <v>1320</v>
      </c>
      <c r="B979" s="408" t="s">
        <v>2323</v>
      </c>
      <c r="C979" s="297" t="str">
        <f>IF(LEN(A979)=0,"",INDEX('[2]Smelter Reference List'!$C$1:$C$65536,MATCH($A979,'[2]Smelter Reference List'!$E$1:$E$65536,0)))</f>
        <v>Solar Applied Materials Technology Corp.</v>
      </c>
      <c r="D979" s="161" t="s">
        <v>1797</v>
      </c>
      <c r="E979" s="161" t="s">
        <v>1753</v>
      </c>
      <c r="F979" s="161" t="s">
        <v>1320</v>
      </c>
      <c r="G979" s="161" t="s">
        <v>3125</v>
      </c>
      <c r="H979" s="247">
        <v>0</v>
      </c>
      <c r="I979" s="248" t="s">
        <v>3295</v>
      </c>
      <c r="J979" s="248" t="s">
        <v>3296</v>
      </c>
      <c r="K979" s="245"/>
      <c r="L979" s="245"/>
      <c r="M979" s="245"/>
      <c r="N979" s="245"/>
      <c r="O979" s="245"/>
      <c r="P979" s="245"/>
      <c r="Q979" s="246"/>
      <c r="R979" s="233"/>
      <c r="S979" s="234">
        <f>IF(C979="",NA(),MATCH($B979&amp;$C979,'Smelter Reference List'!$J:$J,0))</f>
        <v>185</v>
      </c>
      <c r="T979" s="235"/>
      <c r="U979" s="235">
        <f t="shared" si="26"/>
        <v>0</v>
      </c>
      <c r="V979" s="235"/>
      <c r="W979" s="235"/>
      <c r="Y979" s="228" t="str">
        <f t="shared" si="27"/>
        <v>GoldSolar Applied Materials Technology Corp.</v>
      </c>
    </row>
    <row r="980" spans="1:25" s="228" customFormat="1" ht="20.25">
      <c r="A980" s="161" t="s">
        <v>1321</v>
      </c>
      <c r="B980" s="408" t="s">
        <v>2323</v>
      </c>
      <c r="C980" s="297" t="str">
        <f>IF(LEN(A980)=0,"",INDEX('[2]Smelter Reference List'!$C$1:$C$65536,MATCH($A980,'[2]Smelter Reference List'!$E$1:$E$65536,0)))</f>
        <v>Sumitomo Metal Mining Co., Ltd.</v>
      </c>
      <c r="D980" s="161" t="s">
        <v>77</v>
      </c>
      <c r="E980" s="161" t="s">
        <v>2249</v>
      </c>
      <c r="F980" s="161" t="s">
        <v>1321</v>
      </c>
      <c r="G980" s="161" t="s">
        <v>3125</v>
      </c>
      <c r="H980" s="247">
        <v>0</v>
      </c>
      <c r="I980" s="248" t="s">
        <v>3297</v>
      </c>
      <c r="J980" s="248" t="s">
        <v>4284</v>
      </c>
      <c r="K980" s="245"/>
      <c r="L980" s="245"/>
      <c r="M980" s="245"/>
      <c r="N980" s="245"/>
      <c r="O980" s="245"/>
      <c r="P980" s="245"/>
      <c r="Q980" s="246"/>
      <c r="R980" s="233"/>
      <c r="S980" s="234">
        <f>IF(C980="",NA(),MATCH($B980&amp;$C980,'Smelter Reference List'!$J:$J,0))</f>
        <v>190</v>
      </c>
      <c r="T980" s="235"/>
      <c r="U980" s="235">
        <f t="shared" si="26"/>
        <v>0</v>
      </c>
      <c r="V980" s="235"/>
      <c r="W980" s="235"/>
      <c r="Y980" s="228" t="str">
        <f t="shared" si="27"/>
        <v>GoldSumitomo Metal Mining Co., Ltd.</v>
      </c>
    </row>
    <row r="981" spans="1:25" s="228" customFormat="1" ht="20.25">
      <c r="A981" s="161" t="s">
        <v>1322</v>
      </c>
      <c r="B981" s="408" t="s">
        <v>2323</v>
      </c>
      <c r="C981" s="297" t="str">
        <f>IF(LEN(A981)=0,"",INDEX('[2]Smelter Reference List'!$C$1:$C$65536,MATCH($A981,'[2]Smelter Reference List'!$E$1:$E$65536,0)))</f>
        <v>Tanaka Kikinzoku Kogyo K.K.</v>
      </c>
      <c r="D981" s="161" t="s">
        <v>2457</v>
      </c>
      <c r="E981" s="161" t="s">
        <v>2249</v>
      </c>
      <c r="F981" s="161" t="s">
        <v>1322</v>
      </c>
      <c r="G981" s="161" t="s">
        <v>3125</v>
      </c>
      <c r="H981" s="247">
        <v>0</v>
      </c>
      <c r="I981" s="248" t="s">
        <v>3299</v>
      </c>
      <c r="J981" s="248" t="s">
        <v>3300</v>
      </c>
      <c r="K981" s="245"/>
      <c r="L981" s="245"/>
      <c r="M981" s="245"/>
      <c r="N981" s="245"/>
      <c r="O981" s="245"/>
      <c r="P981" s="245"/>
      <c r="Q981" s="246"/>
      <c r="R981" s="233"/>
      <c r="S981" s="234">
        <f>IF(C981="",NA(),MATCH($B981&amp;$C981,'Smelter Reference List'!$J:$J,0))</f>
        <v>200</v>
      </c>
      <c r="T981" s="235"/>
      <c r="U981" s="235">
        <f t="shared" si="26"/>
        <v>0</v>
      </c>
      <c r="V981" s="235"/>
      <c r="W981" s="235"/>
      <c r="Y981" s="228" t="str">
        <f t="shared" si="27"/>
        <v>GoldTanaka Kikinzoku Kogyo K.K.</v>
      </c>
    </row>
    <row r="982" spans="1:25" s="228" customFormat="1" ht="20.25">
      <c r="A982" s="161" t="s">
        <v>1325</v>
      </c>
      <c r="B982" s="408" t="s">
        <v>2323</v>
      </c>
      <c r="C982" s="297" t="str">
        <f>IF(LEN(A982)=0,"",INDEX('[2]Smelter Reference List'!$C$1:$C$65536,MATCH($A982,'[2]Smelter Reference List'!$E$1:$E$65536,0)))</f>
        <v>Tokuriki Honten Co., Ltd.</v>
      </c>
      <c r="D982" s="161" t="s">
        <v>4178</v>
      </c>
      <c r="E982" s="161" t="s">
        <v>2249</v>
      </c>
      <c r="F982" s="161" t="s">
        <v>1325</v>
      </c>
      <c r="G982" s="161" t="s">
        <v>3125</v>
      </c>
      <c r="H982" s="247">
        <v>0</v>
      </c>
      <c r="I982" s="248" t="s">
        <v>3305</v>
      </c>
      <c r="J982" s="248" t="s">
        <v>3179</v>
      </c>
      <c r="K982" s="245"/>
      <c r="L982" s="245"/>
      <c r="M982" s="245"/>
      <c r="N982" s="245"/>
      <c r="O982" s="245"/>
      <c r="P982" s="245"/>
      <c r="Q982" s="246"/>
      <c r="R982" s="233"/>
      <c r="S982" s="234">
        <f>IF(C982="",NA(),MATCH($B982&amp;$C982,'Smelter Reference List'!$J:$J,0))</f>
        <v>205</v>
      </c>
      <c r="T982" s="235"/>
      <c r="U982" s="235">
        <f t="shared" si="26"/>
        <v>0</v>
      </c>
      <c r="V982" s="235"/>
      <c r="W982" s="235"/>
      <c r="Y982" s="228" t="str">
        <f t="shared" si="27"/>
        <v>GoldTokuriki Honten Co., Ltd.</v>
      </c>
    </row>
    <row r="983" spans="1:25" s="228" customFormat="1" ht="20.25">
      <c r="A983" s="161" t="s">
        <v>1329</v>
      </c>
      <c r="B983" s="408" t="s">
        <v>2323</v>
      </c>
      <c r="C983" s="297" t="str">
        <f>IF(LEN(A983)=0,"",INDEX('[2]Smelter Reference List'!$C$1:$C$65536,MATCH($A983,'[2]Smelter Reference List'!$E$1:$E$65536,0)))</f>
        <v>Umicore S.A. Business Unit Precious Metals Refining</v>
      </c>
      <c r="D983" s="161" t="s">
        <v>4724</v>
      </c>
      <c r="E983" s="161" t="s">
        <v>2158</v>
      </c>
      <c r="F983" s="161" t="s">
        <v>1329</v>
      </c>
      <c r="G983" s="161" t="s">
        <v>3125</v>
      </c>
      <c r="H983" s="247">
        <v>0</v>
      </c>
      <c r="I983" s="248" t="s">
        <v>3314</v>
      </c>
      <c r="J983" s="248" t="s">
        <v>3315</v>
      </c>
      <c r="K983" s="245"/>
      <c r="L983" s="245"/>
      <c r="M983" s="245"/>
      <c r="N983" s="245"/>
      <c r="O983" s="245"/>
      <c r="P983" s="245"/>
      <c r="Q983" s="246"/>
      <c r="R983" s="233"/>
      <c r="S983" s="234">
        <f>IF(C983="",NA(),MATCH($B983&amp;$C983,'Smelter Reference List'!$J:$J,0))</f>
        <v>214</v>
      </c>
      <c r="T983" s="235"/>
      <c r="U983" s="235">
        <f t="shared" si="26"/>
        <v>0</v>
      </c>
      <c r="V983" s="235"/>
      <c r="W983" s="235"/>
      <c r="Y983" s="228" t="str">
        <f t="shared" si="27"/>
        <v>GoldUmicore S.A. Business Unit Precious Metals Refining</v>
      </c>
    </row>
    <row r="984" spans="1:25" s="228" customFormat="1" ht="20.25">
      <c r="A984" s="161" t="s">
        <v>1330</v>
      </c>
      <c r="B984" s="408" t="s">
        <v>2323</v>
      </c>
      <c r="C984" s="297" t="str">
        <f>IF(LEN(A984)=0,"",INDEX('[2]Smelter Reference List'!$C$1:$C$65536,MATCH($A984,'[2]Smelter Reference List'!$E$1:$E$65536,0)))</f>
        <v>United Precious Metal Refining, Inc.</v>
      </c>
      <c r="D984" s="161" t="s">
        <v>1470</v>
      </c>
      <c r="E984" s="161" t="s">
        <v>1759</v>
      </c>
      <c r="F984" s="161" t="s">
        <v>1330</v>
      </c>
      <c r="G984" s="161" t="s">
        <v>3125</v>
      </c>
      <c r="H984" s="247">
        <v>0</v>
      </c>
      <c r="I984" s="248" t="s">
        <v>3316</v>
      </c>
      <c r="J984" s="248" t="s">
        <v>3230</v>
      </c>
      <c r="K984" s="245"/>
      <c r="L984" s="245"/>
      <c r="M984" s="245"/>
      <c r="N984" s="245"/>
      <c r="O984" s="245"/>
      <c r="P984" s="245"/>
      <c r="Q984" s="246"/>
      <c r="R984" s="233"/>
      <c r="S984" s="234">
        <f>IF(C984="",NA(),MATCH($B984&amp;$C984,'Smelter Reference List'!$J:$J,0))</f>
        <v>215</v>
      </c>
      <c r="T984" s="235"/>
      <c r="U984" s="235">
        <f t="shared" si="26"/>
        <v>0</v>
      </c>
      <c r="V984" s="235"/>
      <c r="W984" s="235"/>
      <c r="Y984" s="228" t="str">
        <f t="shared" si="27"/>
        <v>GoldUnited Precious Metal Refining, Inc.</v>
      </c>
    </row>
    <row r="985" spans="1:25" s="228" customFormat="1" ht="20.25">
      <c r="A985" s="161" t="s">
        <v>1331</v>
      </c>
      <c r="B985" s="408" t="s">
        <v>2323</v>
      </c>
      <c r="C985" s="297" t="str">
        <f>IF(LEN(A985)=0,"",INDEX('[2]Smelter Reference List'!$C$1:$C$65536,MATCH($A985,'[2]Smelter Reference List'!$E$1:$E$65536,0)))</f>
        <v>Valcambi S.A.</v>
      </c>
      <c r="D985" s="161" t="s">
        <v>4728</v>
      </c>
      <c r="E985" s="161" t="s">
        <v>2179</v>
      </c>
      <c r="F985" s="161" t="s">
        <v>1331</v>
      </c>
      <c r="G985" s="161" t="s">
        <v>3125</v>
      </c>
      <c r="H985" s="247">
        <v>0</v>
      </c>
      <c r="I985" s="248" t="s">
        <v>3317</v>
      </c>
      <c r="J985" s="248" t="s">
        <v>3138</v>
      </c>
      <c r="K985" s="245"/>
      <c r="L985" s="245"/>
      <c r="M985" s="245"/>
      <c r="N985" s="245"/>
      <c r="O985" s="245"/>
      <c r="P985" s="245"/>
      <c r="Q985" s="246"/>
      <c r="R985" s="233"/>
      <c r="S985" s="234">
        <f>IF(C985="",NA(),MATCH($B985&amp;$C985,'Smelter Reference List'!$J:$J,0))</f>
        <v>217</v>
      </c>
      <c r="T985" s="235"/>
      <c r="U985" s="235">
        <f t="shared" si="26"/>
        <v>0</v>
      </c>
      <c r="V985" s="235"/>
      <c r="W985" s="235"/>
      <c r="Y985" s="228" t="str">
        <f t="shared" si="27"/>
        <v>GoldValcambi S.A.</v>
      </c>
    </row>
    <row r="986" spans="1:25" s="228" customFormat="1" ht="20.25">
      <c r="A986" s="161" t="s">
        <v>1332</v>
      </c>
      <c r="B986" s="408" t="s">
        <v>2323</v>
      </c>
      <c r="C986" s="297" t="str">
        <f>IF(LEN(A986)=0,"",INDEX('[2]Smelter Reference List'!$C$1:$C$65536,MATCH($A986,'[2]Smelter Reference List'!$E$1:$E$65536,0)))</f>
        <v>Western Australian Mint trading as The Perth Mint</v>
      </c>
      <c r="D986" s="161" t="s">
        <v>2322</v>
      </c>
      <c r="E986" s="161" t="s">
        <v>2154</v>
      </c>
      <c r="F986" s="161" t="s">
        <v>1332</v>
      </c>
      <c r="G986" s="161" t="s">
        <v>3125</v>
      </c>
      <c r="H986" s="247">
        <v>0</v>
      </c>
      <c r="I986" s="248" t="s">
        <v>3318</v>
      </c>
      <c r="J986" s="248" t="s">
        <v>3319</v>
      </c>
      <c r="K986" s="245"/>
      <c r="L986" s="245"/>
      <c r="M986" s="245"/>
      <c r="N986" s="245"/>
      <c r="O986" s="245"/>
      <c r="P986" s="245"/>
      <c r="Q986" s="246"/>
      <c r="R986" s="233"/>
      <c r="S986" s="234">
        <f>IF(C986="",NA(),MATCH($B986&amp;$C986,'Smelter Reference List'!$J:$J,0))</f>
        <v>218</v>
      </c>
      <c r="T986" s="235"/>
      <c r="U986" s="235">
        <f t="shared" si="26"/>
        <v>0</v>
      </c>
      <c r="V986" s="235"/>
      <c r="W986" s="235"/>
      <c r="Y986" s="228" t="str">
        <f t="shared" si="27"/>
        <v>GoldWestern Australian Mint trading as The Perth Mint</v>
      </c>
    </row>
    <row r="987" spans="1:25" s="228" customFormat="1" ht="20.25">
      <c r="A987" s="161" t="s">
        <v>2736</v>
      </c>
      <c r="B987" s="408" t="s">
        <v>2325</v>
      </c>
      <c r="C987" s="297" t="str">
        <f>IF(LEN(A987)=0,"",INDEX('[2]Smelter Reference List'!$C$1:$C$65536,MATCH($A987,'[2]Smelter Reference List'!$E$1:$E$65536,0)))</f>
        <v>Global Advanced Metals Boyertown</v>
      </c>
      <c r="D987" s="161" t="s">
        <v>2735</v>
      </c>
      <c r="E987" s="161" t="s">
        <v>1759</v>
      </c>
      <c r="F987" s="161" t="s">
        <v>2736</v>
      </c>
      <c r="G987" s="161" t="s">
        <v>3125</v>
      </c>
      <c r="H987" s="247">
        <v>0</v>
      </c>
      <c r="I987" s="248" t="s">
        <v>3428</v>
      </c>
      <c r="J987" s="248" t="s">
        <v>3401</v>
      </c>
      <c r="K987" s="245"/>
      <c r="L987" s="245"/>
      <c r="M987" s="245"/>
      <c r="N987" s="245"/>
      <c r="O987" s="245"/>
      <c r="P987" s="245"/>
      <c r="Q987" s="246"/>
      <c r="R987" s="233"/>
      <c r="S987" s="234">
        <f>IF(C987="",NA(),MATCH($B987&amp;$C987,'Smelter Reference List'!$J:$J,0))</f>
        <v>252</v>
      </c>
      <c r="T987" s="235"/>
      <c r="U987" s="235">
        <f t="shared" si="26"/>
        <v>0</v>
      </c>
      <c r="V987" s="235"/>
      <c r="W987" s="235"/>
      <c r="Y987" s="228" t="str">
        <f t="shared" si="27"/>
        <v>TantalumGlobal Advanced Metals Boyertown</v>
      </c>
    </row>
    <row r="988" spans="1:25" s="228" customFormat="1" ht="20.25">
      <c r="A988" s="161" t="s">
        <v>2738</v>
      </c>
      <c r="B988" s="408" t="s">
        <v>2325</v>
      </c>
      <c r="C988" s="297" t="str">
        <f>IF(LEN(A988)=0,"",INDEX('[2]Smelter Reference List'!$C$1:$C$65536,MATCH($A988,'[2]Smelter Reference List'!$E$1:$E$65536,0)))</f>
        <v>H.C. Starck Co., Ltd.</v>
      </c>
      <c r="D988" s="161" t="s">
        <v>2737</v>
      </c>
      <c r="E988" s="161" t="s">
        <v>1743</v>
      </c>
      <c r="F988" s="161" t="s">
        <v>2738</v>
      </c>
      <c r="G988" s="161" t="s">
        <v>3125</v>
      </c>
      <c r="H988" s="247">
        <v>0</v>
      </c>
      <c r="I988" s="248" t="s">
        <v>3416</v>
      </c>
      <c r="J988" s="248" t="s">
        <v>3417</v>
      </c>
      <c r="K988" s="245"/>
      <c r="L988" s="245"/>
      <c r="M988" s="245"/>
      <c r="N988" s="245"/>
      <c r="O988" s="245"/>
      <c r="P988" s="245"/>
      <c r="Q988" s="246"/>
      <c r="R988" s="233"/>
      <c r="S988" s="234">
        <f>IF(C988="",NA(),MATCH($B988&amp;$C988,'Smelter Reference List'!$J:$J,0))</f>
        <v>254</v>
      </c>
      <c r="T988" s="235"/>
      <c r="U988" s="235">
        <f t="shared" si="26"/>
        <v>0</v>
      </c>
      <c r="V988" s="235"/>
      <c r="W988" s="235"/>
      <c r="Y988" s="228" t="str">
        <f t="shared" si="27"/>
        <v>TantalumH.C. Starck Co., Ltd.</v>
      </c>
    </row>
    <row r="989" spans="1:25" s="228" customFormat="1" ht="20.25">
      <c r="A989" s="161" t="s">
        <v>2740</v>
      </c>
      <c r="B989" s="408" t="s">
        <v>2325</v>
      </c>
      <c r="C989" s="297" t="str">
        <f>IF(LEN(A989)=0,"",INDEX('[2]Smelter Reference List'!$C$1:$C$65536,MATCH($A989,'[2]Smelter Reference List'!$E$1:$E$65536,0)))</f>
        <v>H.C. Starck GmbH Goslar</v>
      </c>
      <c r="D989" s="161" t="s">
        <v>2739</v>
      </c>
      <c r="E989" s="161" t="s">
        <v>2195</v>
      </c>
      <c r="F989" s="161" t="s">
        <v>2740</v>
      </c>
      <c r="G989" s="161" t="s">
        <v>3125</v>
      </c>
      <c r="H989" s="247">
        <v>0</v>
      </c>
      <c r="I989" s="248" t="s">
        <v>3418</v>
      </c>
      <c r="J989" s="248" t="s">
        <v>3419</v>
      </c>
      <c r="K989" s="245"/>
      <c r="L989" s="245"/>
      <c r="M989" s="245"/>
      <c r="N989" s="245"/>
      <c r="O989" s="245"/>
      <c r="P989" s="245"/>
      <c r="Q989" s="246"/>
      <c r="R989" s="233"/>
      <c r="S989" s="234">
        <f>IF(C989="",NA(),MATCH($B989&amp;$C989,'Smelter Reference List'!$J:$J,0))</f>
        <v>255</v>
      </c>
      <c r="T989" s="235"/>
      <c r="U989" s="235">
        <f t="shared" si="26"/>
        <v>0</v>
      </c>
      <c r="V989" s="235"/>
      <c r="W989" s="235"/>
      <c r="Y989" s="228" t="str">
        <f t="shared" si="27"/>
        <v>TantalumH.C. Starck GmbH Goslar</v>
      </c>
    </row>
    <row r="990" spans="1:25" s="228" customFormat="1" ht="20.25">
      <c r="A990" s="161" t="s">
        <v>2742</v>
      </c>
      <c r="B990" s="408" t="s">
        <v>2325</v>
      </c>
      <c r="C990" s="297" t="str">
        <f>IF(LEN(A990)=0,"",INDEX('[2]Smelter Reference List'!$C$1:$C$65536,MATCH($A990,'[2]Smelter Reference List'!$E$1:$E$65536,0)))</f>
        <v>H.C. Starck GmbH Laufenburg</v>
      </c>
      <c r="D990" s="161" t="s">
        <v>2741</v>
      </c>
      <c r="E990" s="161" t="s">
        <v>2195</v>
      </c>
      <c r="F990" s="161" t="s">
        <v>2742</v>
      </c>
      <c r="G990" s="161" t="s">
        <v>3125</v>
      </c>
      <c r="H990" s="247">
        <v>0</v>
      </c>
      <c r="I990" s="248" t="s">
        <v>3420</v>
      </c>
      <c r="J990" s="248" t="s">
        <v>3131</v>
      </c>
      <c r="K990" s="245"/>
      <c r="L990" s="245"/>
      <c r="M990" s="245"/>
      <c r="N990" s="245"/>
      <c r="O990" s="245"/>
      <c r="P990" s="245"/>
      <c r="Q990" s="246"/>
      <c r="R990" s="233"/>
      <c r="S990" s="234">
        <f>IF(C990="",NA(),MATCH($B990&amp;$C990,'Smelter Reference List'!$J:$J,0))</f>
        <v>256</v>
      </c>
      <c r="T990" s="235"/>
      <c r="U990" s="235">
        <f t="shared" si="26"/>
        <v>0</v>
      </c>
      <c r="V990" s="235"/>
      <c r="W990" s="235"/>
      <c r="Y990" s="228" t="str">
        <f t="shared" si="27"/>
        <v>TantalumH.C. Starck GmbH Laufenburg</v>
      </c>
    </row>
    <row r="991" spans="1:25" s="228" customFormat="1" ht="20.25">
      <c r="A991" s="161" t="s">
        <v>2744</v>
      </c>
      <c r="B991" s="408" t="s">
        <v>2325</v>
      </c>
      <c r="C991" s="297" t="str">
        <f>IF(LEN(A991)=0,"",INDEX('[2]Smelter Reference List'!$C$1:$C$65536,MATCH($A991,'[2]Smelter Reference List'!$E$1:$E$65536,0)))</f>
        <v>H.C. Starck Hermsdorf GmbH</v>
      </c>
      <c r="D991" s="161" t="s">
        <v>2743</v>
      </c>
      <c r="E991" s="161" t="s">
        <v>2195</v>
      </c>
      <c r="F991" s="161" t="s">
        <v>2744</v>
      </c>
      <c r="G991" s="161" t="s">
        <v>3125</v>
      </c>
      <c r="H991" s="247">
        <v>0</v>
      </c>
      <c r="I991" s="248" t="s">
        <v>3421</v>
      </c>
      <c r="J991" s="248" t="s">
        <v>3422</v>
      </c>
      <c r="K991" s="245"/>
      <c r="L991" s="245"/>
      <c r="M991" s="245"/>
      <c r="N991" s="245"/>
      <c r="O991" s="245"/>
      <c r="P991" s="245"/>
      <c r="Q991" s="246"/>
      <c r="R991" s="233"/>
      <c r="S991" s="234">
        <f>IF(C991="",NA(),MATCH($B991&amp;$C991,'Smelter Reference List'!$J:$J,0))</f>
        <v>257</v>
      </c>
      <c r="T991" s="235"/>
      <c r="U991" s="235">
        <f t="shared" si="26"/>
        <v>0</v>
      </c>
      <c r="V991" s="235"/>
      <c r="W991" s="235"/>
      <c r="Y991" s="228" t="str">
        <f t="shared" si="27"/>
        <v>TantalumH.C. Starck Hermsdorf GmbH</v>
      </c>
    </row>
    <row r="992" spans="1:25" s="228" customFormat="1" ht="20.25">
      <c r="A992" s="161" t="s">
        <v>2746</v>
      </c>
      <c r="B992" s="408" t="s">
        <v>2325</v>
      </c>
      <c r="C992" s="297" t="str">
        <f>IF(LEN(A992)=0,"",INDEX('[2]Smelter Reference List'!$C$1:$C$65536,MATCH($A992,'[2]Smelter Reference List'!$E$1:$E$65536,0)))</f>
        <v>H.C. Starck Inc.</v>
      </c>
      <c r="D992" s="161" t="s">
        <v>2745</v>
      </c>
      <c r="E992" s="161" t="s">
        <v>1759</v>
      </c>
      <c r="F992" s="161" t="s">
        <v>2746</v>
      </c>
      <c r="G992" s="161" t="s">
        <v>3125</v>
      </c>
      <c r="H992" s="247">
        <v>0</v>
      </c>
      <c r="I992" s="248" t="s">
        <v>3423</v>
      </c>
      <c r="J992" s="248" t="s">
        <v>3242</v>
      </c>
      <c r="K992" s="245"/>
      <c r="L992" s="245"/>
      <c r="M992" s="245"/>
      <c r="N992" s="245"/>
      <c r="O992" s="245"/>
      <c r="P992" s="245"/>
      <c r="Q992" s="246"/>
      <c r="R992" s="233"/>
      <c r="S992" s="234">
        <f>IF(C992="",NA(),MATCH($B992&amp;$C992,'Smelter Reference List'!$J:$J,0))</f>
        <v>258</v>
      </c>
      <c r="T992" s="235"/>
      <c r="U992" s="235">
        <f t="shared" si="26"/>
        <v>0</v>
      </c>
      <c r="V992" s="235"/>
      <c r="W992" s="235"/>
      <c r="Y992" s="228" t="str">
        <f t="shared" si="27"/>
        <v>TantalumH.C. Starck Inc.</v>
      </c>
    </row>
    <row r="993" spans="1:25" s="228" customFormat="1" ht="20.25">
      <c r="A993" s="161" t="s">
        <v>2748</v>
      </c>
      <c r="B993" s="408" t="s">
        <v>2325</v>
      </c>
      <c r="C993" s="297" t="str">
        <f>IF(LEN(A993)=0,"",INDEX('[2]Smelter Reference List'!$C$1:$C$65536,MATCH($A993,'[2]Smelter Reference List'!$E$1:$E$65536,0)))</f>
        <v>H.C. Starck Ltd.</v>
      </c>
      <c r="D993" s="161" t="s">
        <v>2747</v>
      </c>
      <c r="E993" s="161" t="s">
        <v>2249</v>
      </c>
      <c r="F993" s="161" t="s">
        <v>2748</v>
      </c>
      <c r="G993" s="161" t="s">
        <v>3125</v>
      </c>
      <c r="H993" s="247">
        <v>0</v>
      </c>
      <c r="I993" s="248" t="s">
        <v>3424</v>
      </c>
      <c r="J993" s="248" t="s">
        <v>3425</v>
      </c>
      <c r="K993" s="245"/>
      <c r="L993" s="245"/>
      <c r="M993" s="245"/>
      <c r="N993" s="245"/>
      <c r="O993" s="245"/>
      <c r="P993" s="245"/>
      <c r="Q993" s="246"/>
      <c r="R993" s="233"/>
      <c r="S993" s="234">
        <f>IF(C993="",NA(),MATCH($B993&amp;$C993,'Smelter Reference List'!$J:$J,0))</f>
        <v>259</v>
      </c>
      <c r="T993" s="235"/>
      <c r="U993" s="235">
        <f t="shared" si="26"/>
        <v>0</v>
      </c>
      <c r="V993" s="235"/>
      <c r="W993" s="235"/>
      <c r="Y993" s="228" t="str">
        <f t="shared" si="27"/>
        <v>TantalumH.C. Starck Ltd.</v>
      </c>
    </row>
    <row r="994" spans="1:25" s="228" customFormat="1" ht="20.25">
      <c r="A994" s="161" t="s">
        <v>2750</v>
      </c>
      <c r="B994" s="408" t="s">
        <v>2325</v>
      </c>
      <c r="C994" s="297" t="str">
        <f>IF(LEN(A994)=0,"",INDEX('[2]Smelter Reference List'!$C$1:$C$65536,MATCH($A994,'[2]Smelter Reference List'!$E$1:$E$65536,0)))</f>
        <v>H.C. Starck Smelting GmbH &amp; Co. KG</v>
      </c>
      <c r="D994" s="161" t="s">
        <v>4729</v>
      </c>
      <c r="E994" s="161" t="s">
        <v>2195</v>
      </c>
      <c r="F994" s="161" t="s">
        <v>2750</v>
      </c>
      <c r="G994" s="161" t="s">
        <v>3125</v>
      </c>
      <c r="H994" s="247">
        <v>0</v>
      </c>
      <c r="I994" s="248" t="s">
        <v>3420</v>
      </c>
      <c r="J994" s="248" t="s">
        <v>3131</v>
      </c>
      <c r="K994" s="245"/>
      <c r="L994" s="245"/>
      <c r="M994" s="245"/>
      <c r="N994" s="245"/>
      <c r="O994" s="245"/>
      <c r="P994" s="245"/>
      <c r="Q994" s="246"/>
      <c r="R994" s="233"/>
      <c r="S994" s="234">
        <f>IF(C994="",NA(),MATCH($B994&amp;$C994,'Smelter Reference List'!$J:$J,0))</f>
        <v>260</v>
      </c>
      <c r="T994" s="235"/>
      <c r="U994" s="235">
        <f t="shared" si="26"/>
        <v>0</v>
      </c>
      <c r="V994" s="235"/>
      <c r="W994" s="235"/>
      <c r="Y994" s="228" t="str">
        <f t="shared" si="27"/>
        <v>TantalumH.C. Starck Smelting GmbH &amp; Co. KG</v>
      </c>
    </row>
    <row r="995" spans="1:25" s="228" customFormat="1" ht="20.25">
      <c r="A995" s="161" t="s">
        <v>1347</v>
      </c>
      <c r="B995" s="408" t="s">
        <v>2325</v>
      </c>
      <c r="C995" s="297" t="str">
        <f>IF(LEN(A995)=0,"",INDEX('[2]Smelter Reference List'!$C$1:$C$65536,MATCH($A995,'[2]Smelter Reference List'!$E$1:$E$65536,0)))</f>
        <v>Jiujiang Tanbre Co., Ltd.</v>
      </c>
      <c r="D995" s="161" t="s">
        <v>64</v>
      </c>
      <c r="E995" s="161" t="s">
        <v>2181</v>
      </c>
      <c r="F995" s="161" t="s">
        <v>1347</v>
      </c>
      <c r="G995" s="161" t="s">
        <v>3125</v>
      </c>
      <c r="H995" s="247">
        <v>0</v>
      </c>
      <c r="I995" s="248" t="s">
        <v>3379</v>
      </c>
      <c r="J995" s="248" t="s">
        <v>3204</v>
      </c>
      <c r="K995" s="245"/>
      <c r="L995" s="245"/>
      <c r="M995" s="245"/>
      <c r="N995" s="245"/>
      <c r="O995" s="245"/>
      <c r="P995" s="245"/>
      <c r="Q995" s="246"/>
      <c r="R995" s="233"/>
      <c r="S995" s="234">
        <f>IF(C995="",NA(),MATCH($B995&amp;$C995,'Smelter Reference List'!$J:$J,0))</f>
        <v>267</v>
      </c>
      <c r="T995" s="235"/>
      <c r="U995" s="235">
        <f t="shared" si="26"/>
        <v>0</v>
      </c>
      <c r="V995" s="235"/>
      <c r="W995" s="235"/>
      <c r="Y995" s="228" t="str">
        <f t="shared" si="27"/>
        <v>TantalumJiujiang Tanbre Co., Ltd.</v>
      </c>
    </row>
    <row r="996" spans="1:25" s="228" customFormat="1" ht="20.25">
      <c r="A996" s="161" t="s">
        <v>1352</v>
      </c>
      <c r="B996" s="408" t="s">
        <v>2325</v>
      </c>
      <c r="C996" s="297" t="str">
        <f>IF(LEN(A996)=0,"",INDEX('[2]Smelter Reference List'!$C$1:$C$65536,MATCH($A996,'[2]Smelter Reference List'!$E$1:$E$65536,0)))</f>
        <v>Mitsui Mining &amp; Smelting</v>
      </c>
      <c r="D996" s="161" t="s">
        <v>2308</v>
      </c>
      <c r="E996" s="161" t="s">
        <v>2249</v>
      </c>
      <c r="F996" s="161" t="s">
        <v>1352</v>
      </c>
      <c r="G996" s="161" t="s">
        <v>3125</v>
      </c>
      <c r="H996" s="247">
        <v>0</v>
      </c>
      <c r="I996" s="248" t="s">
        <v>3387</v>
      </c>
      <c r="J996" s="248" t="s">
        <v>3388</v>
      </c>
      <c r="K996" s="245"/>
      <c r="L996" s="245"/>
      <c r="M996" s="245"/>
      <c r="N996" s="245"/>
      <c r="O996" s="245"/>
      <c r="P996" s="245"/>
      <c r="Q996" s="246"/>
      <c r="R996" s="233"/>
      <c r="S996" s="234">
        <f>IF(C996="",NA(),MATCH($B996&amp;$C996,'Smelter Reference List'!$J:$J,0))</f>
        <v>276</v>
      </c>
      <c r="T996" s="235"/>
      <c r="U996" s="235">
        <f t="shared" si="26"/>
        <v>0</v>
      </c>
      <c r="V996" s="235"/>
      <c r="W996" s="235"/>
      <c r="Y996" s="228" t="str">
        <f t="shared" si="27"/>
        <v>TantalumMitsui Mining &amp; Smelting</v>
      </c>
    </row>
    <row r="997" spans="1:25" s="228" customFormat="1" ht="20.25">
      <c r="A997" s="161" t="s">
        <v>1354</v>
      </c>
      <c r="B997" s="408" t="s">
        <v>2325</v>
      </c>
      <c r="C997" s="297" t="str">
        <f>IF(LEN(A997)=0,"",INDEX('[2]Smelter Reference List'!$C$1:$C$65536,MATCH($A997,'[2]Smelter Reference List'!$E$1:$E$65536,0)))</f>
        <v>Ningxia Orient Tantalum Industry Co., Ltd.</v>
      </c>
      <c r="D997" s="161" t="s">
        <v>1950</v>
      </c>
      <c r="E997" s="161" t="s">
        <v>2181</v>
      </c>
      <c r="F997" s="161" t="s">
        <v>1354</v>
      </c>
      <c r="G997" s="161" t="s">
        <v>3125</v>
      </c>
      <c r="H997" s="247">
        <v>0</v>
      </c>
      <c r="I997" s="248" t="s">
        <v>3391</v>
      </c>
      <c r="J997" s="248" t="s">
        <v>3392</v>
      </c>
      <c r="K997" s="245"/>
      <c r="L997" s="245"/>
      <c r="M997" s="245"/>
      <c r="N997" s="245"/>
      <c r="O997" s="245"/>
      <c r="P997" s="245"/>
      <c r="Q997" s="246"/>
      <c r="R997" s="233"/>
      <c r="S997" s="234">
        <f>IF(C997="",NA(),MATCH($B997&amp;$C997,'Smelter Reference List'!$J:$J,0))</f>
        <v>278</v>
      </c>
      <c r="T997" s="235"/>
      <c r="U997" s="235">
        <f t="shared" si="26"/>
        <v>0</v>
      </c>
      <c r="V997" s="235"/>
      <c r="W997" s="235"/>
      <c r="Y997" s="228" t="str">
        <f t="shared" si="27"/>
        <v>TantalumNingxia Orient Tantalum Industry Co., Ltd.</v>
      </c>
    </row>
    <row r="998" spans="1:25" s="228" customFormat="1" ht="20.25">
      <c r="A998" s="161" t="s">
        <v>1358</v>
      </c>
      <c r="B998" s="408" t="s">
        <v>2325</v>
      </c>
      <c r="C998" s="297" t="str">
        <f>IF(LEN(A998)=0,"",INDEX('[2]Smelter Reference List'!$C$1:$C$65536,MATCH($A998,'[2]Smelter Reference List'!$E$1:$E$65536,0)))</f>
        <v>Taki Chemicals</v>
      </c>
      <c r="D998" s="161" t="s">
        <v>1468</v>
      </c>
      <c r="E998" s="161" t="s">
        <v>2249</v>
      </c>
      <c r="F998" s="161" t="s">
        <v>1358</v>
      </c>
      <c r="G998" s="161" t="s">
        <v>3125</v>
      </c>
      <c r="H998" s="247">
        <v>0</v>
      </c>
      <c r="I998" s="248" t="s">
        <v>3398</v>
      </c>
      <c r="J998" s="248" t="s">
        <v>3140</v>
      </c>
      <c r="K998" s="245"/>
      <c r="L998" s="245"/>
      <c r="M998" s="245"/>
      <c r="N998" s="245"/>
      <c r="O998" s="245"/>
      <c r="P998" s="245"/>
      <c r="Q998" s="246"/>
      <c r="R998" s="233"/>
      <c r="S998" s="234">
        <f>IF(C998="",NA(),MATCH($B998&amp;$C998,'Smelter Reference List'!$J:$J,0))</f>
        <v>290</v>
      </c>
      <c r="T998" s="235"/>
      <c r="U998" s="235">
        <f t="shared" si="26"/>
        <v>0</v>
      </c>
      <c r="V998" s="235"/>
      <c r="W998" s="235"/>
      <c r="Y998" s="228" t="str">
        <f t="shared" si="27"/>
        <v>TantalumTaki Chemicals</v>
      </c>
    </row>
    <row r="999" spans="1:25" s="228" customFormat="1" ht="20.25">
      <c r="A999" s="161" t="s">
        <v>1360</v>
      </c>
      <c r="B999" s="408" t="s">
        <v>2325</v>
      </c>
      <c r="C999" s="297" t="str">
        <f>IF(LEN(A999)=0,"",INDEX('[2]Smelter Reference List'!$C$1:$C$65536,MATCH($A999,'[2]Smelter Reference List'!$E$1:$E$65536,0)))</f>
        <v>Ulba Metallurgical Plant JSC</v>
      </c>
      <c r="D999" s="161" t="s">
        <v>3402</v>
      </c>
      <c r="E999" s="161" t="s">
        <v>2250</v>
      </c>
      <c r="F999" s="161" t="s">
        <v>1360</v>
      </c>
      <c r="G999" s="161" t="s">
        <v>3125</v>
      </c>
      <c r="H999" s="247">
        <v>0</v>
      </c>
      <c r="I999" s="248" t="s">
        <v>3214</v>
      </c>
      <c r="J999" s="248" t="s">
        <v>3403</v>
      </c>
      <c r="K999" s="245"/>
      <c r="L999" s="245"/>
      <c r="M999" s="245"/>
      <c r="N999" s="245"/>
      <c r="O999" s="245"/>
      <c r="P999" s="245"/>
      <c r="Q999" s="246"/>
      <c r="R999" s="233"/>
      <c r="S999" s="234">
        <f>IF(C999="",NA(),MATCH($B999&amp;$C999,'Smelter Reference List'!$J:$J,0))</f>
        <v>294</v>
      </c>
      <c r="T999" s="235"/>
      <c r="U999" s="235">
        <f t="shared" si="26"/>
        <v>0</v>
      </c>
      <c r="V999" s="235"/>
      <c r="W999" s="235"/>
      <c r="Y999" s="228" t="str">
        <f t="shared" si="27"/>
        <v>TantalumUlba Metallurgical Plant JSC</v>
      </c>
    </row>
    <row r="1000" spans="1:25" s="228" customFormat="1" ht="20.25">
      <c r="A1000" s="161" t="s">
        <v>1364</v>
      </c>
      <c r="B1000" s="408" t="s">
        <v>2324</v>
      </c>
      <c r="C1000" s="297" t="str">
        <f>IF(LEN(A1000)=0,"",INDEX('[2]Smelter Reference List'!$C$1:$C$65536,MATCH($A1000,'[2]Smelter Reference List'!$E$1:$E$65536,0)))</f>
        <v>Alpha</v>
      </c>
      <c r="D1000" s="161" t="s">
        <v>67</v>
      </c>
      <c r="E1000" s="161" t="s">
        <v>1759</v>
      </c>
      <c r="F1000" s="161" t="s">
        <v>1364</v>
      </c>
      <c r="G1000" s="161" t="s">
        <v>3125</v>
      </c>
      <c r="H1000" s="247">
        <v>0</v>
      </c>
      <c r="I1000" s="248" t="s">
        <v>3444</v>
      </c>
      <c r="J1000" s="248" t="s">
        <v>3401</v>
      </c>
      <c r="K1000" s="245"/>
      <c r="L1000" s="245"/>
      <c r="M1000" s="245"/>
      <c r="N1000" s="245"/>
      <c r="O1000" s="245"/>
      <c r="P1000" s="245"/>
      <c r="Q1000" s="246"/>
      <c r="R1000" s="233"/>
      <c r="S1000" s="234">
        <f>IF(C1000="",NA(),MATCH($B1000&amp;$C1000,'Smelter Reference List'!$J:$J,0))</f>
        <v>304</v>
      </c>
      <c r="T1000" s="235"/>
      <c r="U1000" s="235">
        <f t="shared" si="26"/>
        <v>0</v>
      </c>
      <c r="V1000" s="235"/>
      <c r="W1000" s="235"/>
      <c r="Y1000" s="228" t="str">
        <f t="shared" si="27"/>
        <v>TinAlpha</v>
      </c>
    </row>
    <row r="1001" spans="1:25" s="228" customFormat="1" ht="20.25">
      <c r="A1001" s="161" t="s">
        <v>1365</v>
      </c>
      <c r="B1001" s="408" t="s">
        <v>2324</v>
      </c>
      <c r="C1001" s="297" t="str">
        <f>IF(LEN(A1001)=0,"",INDEX('[2]Smelter Reference List'!$C$1:$C$65536,MATCH($A1001,'[2]Smelter Reference List'!$E$1:$E$65536,0)))</f>
        <v>Cooperativa Metalurgica de Rondônia Ltda.</v>
      </c>
      <c r="D1001" s="161" t="s">
        <v>3450</v>
      </c>
      <c r="E1001" s="161" t="s">
        <v>2170</v>
      </c>
      <c r="F1001" s="161" t="s">
        <v>1365</v>
      </c>
      <c r="G1001" s="161" t="s">
        <v>3125</v>
      </c>
      <c r="H1001" s="247">
        <v>0</v>
      </c>
      <c r="I1001" s="248" t="s">
        <v>3451</v>
      </c>
      <c r="J1001" s="248" t="s">
        <v>3452</v>
      </c>
      <c r="K1001" s="245"/>
      <c r="L1001" s="245"/>
      <c r="M1001" s="245"/>
      <c r="N1001" s="245"/>
      <c r="O1001" s="245"/>
      <c r="P1001" s="245"/>
      <c r="Q1001" s="246"/>
      <c r="R1001" s="233"/>
      <c r="S1001" s="234">
        <f>IF(C1001="",NA(),MATCH($B1001&amp;$C1001,'Smelter Reference List'!$J:$J,0))</f>
        <v>326</v>
      </c>
      <c r="T1001" s="235"/>
      <c r="U1001" s="235">
        <f t="shared" si="26"/>
        <v>0</v>
      </c>
      <c r="V1001" s="235"/>
      <c r="W1001" s="235"/>
      <c r="Y1001" s="228" t="str">
        <f t="shared" si="27"/>
        <v>TinCooperativa Metalurgica de Rondônia Ltda.</v>
      </c>
    </row>
    <row r="1002" spans="1:25" s="228" customFormat="1" ht="20.25">
      <c r="A1002" s="161" t="s">
        <v>1367</v>
      </c>
      <c r="B1002" s="408" t="s">
        <v>2324</v>
      </c>
      <c r="C1002" s="297" t="str">
        <f>IF(LEN(A1002)=0,"",INDEX('[2]Smelter Reference List'!$C$1:$C$65536,MATCH($A1002,'[2]Smelter Reference List'!$E$1:$E$65536,0)))</f>
        <v>CV United Smelting</v>
      </c>
      <c r="D1002" s="161" t="s">
        <v>1505</v>
      </c>
      <c r="E1002" s="161" t="s">
        <v>2238</v>
      </c>
      <c r="F1002" s="161" t="s">
        <v>1367</v>
      </c>
      <c r="G1002" s="161" t="s">
        <v>3125</v>
      </c>
      <c r="H1002" s="247">
        <v>0</v>
      </c>
      <c r="I1002" s="248" t="s">
        <v>3457</v>
      </c>
      <c r="J1002" s="248" t="s">
        <v>3454</v>
      </c>
      <c r="K1002" s="245"/>
      <c r="L1002" s="245"/>
      <c r="M1002" s="245"/>
      <c r="N1002" s="245"/>
      <c r="O1002" s="245"/>
      <c r="P1002" s="245"/>
      <c r="Q1002" s="246"/>
      <c r="R1002" s="233"/>
      <c r="S1002" s="234">
        <f>IF(C1002="",NA(),MATCH($B1002&amp;$C1002,'Smelter Reference List'!$J:$J,0))</f>
        <v>335</v>
      </c>
      <c r="T1002" s="235"/>
      <c r="U1002" s="235">
        <f t="shared" si="26"/>
        <v>0</v>
      </c>
      <c r="V1002" s="235"/>
      <c r="W1002" s="235"/>
      <c r="Y1002" s="228" t="str">
        <f t="shared" si="27"/>
        <v>TinCV United Smelting</v>
      </c>
    </row>
    <row r="1003" spans="1:25" s="228" customFormat="1" ht="20.25">
      <c r="A1003" s="161" t="s">
        <v>1368</v>
      </c>
      <c r="B1003" s="408" t="s">
        <v>2324</v>
      </c>
      <c r="C1003" s="297" t="str">
        <f>IF(LEN(A1003)=0,"",INDEX('[2]Smelter Reference List'!$C$1:$C$65536,MATCH($A1003,'[2]Smelter Reference List'!$E$1:$E$65536,0)))</f>
        <v>EM Vinto</v>
      </c>
      <c r="D1003" s="161" t="s">
        <v>1506</v>
      </c>
      <c r="E1003" s="161" t="s">
        <v>2169</v>
      </c>
      <c r="F1003" s="161" t="s">
        <v>1368</v>
      </c>
      <c r="G1003" s="161" t="s">
        <v>3125</v>
      </c>
      <c r="H1003" s="247">
        <v>0</v>
      </c>
      <c r="I1003" s="248" t="s">
        <v>3459</v>
      </c>
      <c r="J1003" s="248" t="s">
        <v>3460</v>
      </c>
      <c r="K1003" s="245"/>
      <c r="L1003" s="245"/>
      <c r="M1003" s="245"/>
      <c r="N1003" s="245"/>
      <c r="O1003" s="245"/>
      <c r="P1003" s="245"/>
      <c r="Q1003" s="246"/>
      <c r="R1003" s="233"/>
      <c r="S1003" s="234">
        <f>IF(C1003="",NA(),MATCH($B1003&amp;$C1003,'Smelter Reference List'!$J:$J,0))</f>
        <v>341</v>
      </c>
      <c r="T1003" s="235"/>
      <c r="U1003" s="235">
        <f t="shared" si="26"/>
        <v>0</v>
      </c>
      <c r="V1003" s="235"/>
      <c r="W1003" s="235"/>
      <c r="Y1003" s="228" t="str">
        <f t="shared" si="27"/>
        <v>TinEM Vinto</v>
      </c>
    </row>
    <row r="1004" spans="1:25" s="228" customFormat="1" ht="20.25">
      <c r="A1004" s="161" t="s">
        <v>1371</v>
      </c>
      <c r="B1004" s="408" t="s">
        <v>2324</v>
      </c>
      <c r="C1004" s="297" t="str">
        <f>IF(LEN(A1004)=0,"",INDEX('[2]Smelter Reference List'!$C$1:$C$65536,MATCH($A1004,'[2]Smelter Reference List'!$E$1:$E$65536,0)))</f>
        <v>Fenix Metals</v>
      </c>
      <c r="D1004" s="161" t="s">
        <v>1462</v>
      </c>
      <c r="E1004" s="161" t="s">
        <v>1708</v>
      </c>
      <c r="F1004" s="161" t="s">
        <v>1371</v>
      </c>
      <c r="G1004" s="161" t="s">
        <v>3125</v>
      </c>
      <c r="H1004" s="247">
        <v>0</v>
      </c>
      <c r="I1004" s="248" t="s">
        <v>3466</v>
      </c>
      <c r="J1004" s="248" t="s">
        <v>3467</v>
      </c>
      <c r="K1004" s="245"/>
      <c r="L1004" s="245"/>
      <c r="M1004" s="245"/>
      <c r="N1004" s="245"/>
      <c r="O1004" s="245"/>
      <c r="P1004" s="245"/>
      <c r="Q1004" s="246"/>
      <c r="R1004" s="233"/>
      <c r="S1004" s="234">
        <f>IF(C1004="",NA(),MATCH($B1004&amp;$C1004,'Smelter Reference List'!$J:$J,0))</f>
        <v>347</v>
      </c>
      <c r="T1004" s="235"/>
      <c r="U1004" s="235">
        <f t="shared" si="26"/>
        <v>0</v>
      </c>
      <c r="V1004" s="235"/>
      <c r="W1004" s="235"/>
      <c r="Y1004" s="228" t="str">
        <f t="shared" si="27"/>
        <v>TinFenix Metals</v>
      </c>
    </row>
    <row r="1005" spans="1:25" s="228" customFormat="1" ht="20.25">
      <c r="A1005" s="161" t="s">
        <v>1372</v>
      </c>
      <c r="B1005" s="408" t="s">
        <v>2324</v>
      </c>
      <c r="C1005" s="297" t="str">
        <f>IF(LEN(A1005)=0,"",INDEX('[2]Smelter Reference List'!$C$1:$C$65536,MATCH($A1005,'[2]Smelter Reference List'!$E$1:$E$65536,0)))</f>
        <v>Gejiu Non-Ferrous Metal Processing Co., Ltd.</v>
      </c>
      <c r="D1005" s="161" t="s">
        <v>4152</v>
      </c>
      <c r="E1005" s="161" t="s">
        <v>2181</v>
      </c>
      <c r="F1005" s="161" t="s">
        <v>1372</v>
      </c>
      <c r="G1005" s="161" t="s">
        <v>3125</v>
      </c>
      <c r="H1005" s="247">
        <v>0</v>
      </c>
      <c r="I1005" s="248" t="s">
        <v>3468</v>
      </c>
      <c r="J1005" s="248" t="s">
        <v>3161</v>
      </c>
      <c r="K1005" s="245"/>
      <c r="L1005" s="245"/>
      <c r="M1005" s="245"/>
      <c r="N1005" s="245"/>
      <c r="O1005" s="245"/>
      <c r="P1005" s="245"/>
      <c r="Q1005" s="246"/>
      <c r="R1005" s="233"/>
      <c r="S1005" s="234">
        <f>IF(C1005="",NA(),MATCH($B1005&amp;$C1005,'Smelter Reference List'!$J:$J,0))</f>
        <v>353</v>
      </c>
      <c r="T1005" s="235"/>
      <c r="U1005" s="235">
        <f t="shared" si="26"/>
        <v>0</v>
      </c>
      <c r="V1005" s="235"/>
      <c r="W1005" s="235"/>
      <c r="Y1005" s="228" t="str">
        <f t="shared" si="27"/>
        <v>TinGejiu Non-Ferrous Metal Processing Co., Ltd.</v>
      </c>
    </row>
    <row r="1006" spans="1:25" s="228" customFormat="1" ht="20.25">
      <c r="A1006" s="161" t="s">
        <v>1378</v>
      </c>
      <c r="B1006" s="408" t="s">
        <v>2324</v>
      </c>
      <c r="C1006" s="297" t="str">
        <f>IF(LEN(A1006)=0,"",INDEX('[2]Smelter Reference List'!$C$1:$C$65536,MATCH($A1006,'[2]Smelter Reference List'!$E$1:$E$65536,0)))</f>
        <v>Malaysia Smelting Corporation (MSC)</v>
      </c>
      <c r="D1006" s="161" t="s">
        <v>1471</v>
      </c>
      <c r="E1006" s="161" t="s">
        <v>2289</v>
      </c>
      <c r="F1006" s="161" t="s">
        <v>1378</v>
      </c>
      <c r="G1006" s="161" t="s">
        <v>3125</v>
      </c>
      <c r="H1006" s="247">
        <v>0</v>
      </c>
      <c r="I1006" s="248" t="s">
        <v>3481</v>
      </c>
      <c r="J1006" s="248" t="s">
        <v>3482</v>
      </c>
      <c r="K1006" s="245"/>
      <c r="L1006" s="245"/>
      <c r="M1006" s="245"/>
      <c r="N1006" s="245"/>
      <c r="O1006" s="245"/>
      <c r="P1006" s="245"/>
      <c r="Q1006" s="246"/>
      <c r="R1006" s="233"/>
      <c r="S1006" s="234">
        <f>IF(C1006="",NA(),MATCH($B1006&amp;$C1006,'Smelter Reference List'!$J:$J,0))</f>
        <v>377</v>
      </c>
      <c r="T1006" s="235"/>
      <c r="U1006" s="235">
        <f t="shared" si="26"/>
        <v>0</v>
      </c>
      <c r="V1006" s="235"/>
      <c r="W1006" s="235"/>
      <c r="Y1006" s="228" t="str">
        <f t="shared" si="27"/>
        <v>TinMalaysia Smelting Corporation (MSC)</v>
      </c>
    </row>
    <row r="1007" spans="1:25" s="228" customFormat="1" ht="20.25">
      <c r="A1007" s="161"/>
      <c r="B1007" s="408" t="s">
        <v>2324</v>
      </c>
      <c r="C1007" s="297" t="s">
        <v>3604</v>
      </c>
      <c r="D1007" s="161" t="s">
        <v>5676</v>
      </c>
      <c r="E1007" s="161" t="s">
        <v>2158</v>
      </c>
      <c r="F1007" s="161">
        <v>0</v>
      </c>
      <c r="G1007" s="228" t="s">
        <v>5584</v>
      </c>
      <c r="H1007" s="247" t="s">
        <v>5867</v>
      </c>
      <c r="I1007" s="248" t="s">
        <v>3548</v>
      </c>
      <c r="J1007" s="248" t="s">
        <v>3315</v>
      </c>
      <c r="K1007" s="245" t="s">
        <v>5868</v>
      </c>
      <c r="L1007" s="245" t="s">
        <v>5517</v>
      </c>
      <c r="M1007" s="245"/>
      <c r="N1007" s="245"/>
      <c r="O1007" s="245"/>
      <c r="P1007" s="245"/>
      <c r="Q1007" s="246" t="s">
        <v>5869</v>
      </c>
      <c r="R1007" s="233"/>
      <c r="S1007" s="234">
        <f>IF(C1007="",NA(),MATCH($B1007&amp;$C1007,'Smelter Reference List'!$J:$J,0))</f>
        <v>467</v>
      </c>
      <c r="T1007" s="235"/>
      <c r="U1007" s="235">
        <f t="shared" si="26"/>
        <v>0</v>
      </c>
      <c r="V1007" s="235"/>
      <c r="W1007" s="235"/>
      <c r="Y1007" s="228" t="str">
        <f t="shared" si="27"/>
        <v>TinSmelter not listed</v>
      </c>
    </row>
    <row r="1008" spans="1:25" s="228" customFormat="1" ht="20.25">
      <c r="A1008" s="161" t="s">
        <v>1379</v>
      </c>
      <c r="B1008" s="408" t="s">
        <v>2324</v>
      </c>
      <c r="C1008" s="297" t="str">
        <f>IF(LEN(A1008)=0,"",INDEX('[2]Smelter Reference List'!$C$1:$C$65536,MATCH($A1008,'[2]Smelter Reference List'!$E$1:$E$65536,0)))</f>
        <v>Mineração Taboca S.A.</v>
      </c>
      <c r="D1008" s="161" t="s">
        <v>1953</v>
      </c>
      <c r="E1008" s="161" t="s">
        <v>2170</v>
      </c>
      <c r="F1008" s="161" t="s">
        <v>1379</v>
      </c>
      <c r="G1008" s="161" t="s">
        <v>3125</v>
      </c>
      <c r="H1008" s="247">
        <v>0</v>
      </c>
      <c r="I1008" s="248" t="s">
        <v>3485</v>
      </c>
      <c r="J1008" s="248" t="s">
        <v>3313</v>
      </c>
      <c r="K1008" s="245"/>
      <c r="L1008" s="245"/>
      <c r="M1008" s="245"/>
      <c r="N1008" s="245"/>
      <c r="O1008" s="245"/>
      <c r="P1008" s="245"/>
      <c r="Q1008" s="246"/>
      <c r="R1008" s="233"/>
      <c r="S1008" s="234">
        <f>IF(C1008="",NA(),MATCH($B1008&amp;$C1008,'Smelter Reference List'!$J:$J,0))</f>
        <v>383</v>
      </c>
      <c r="T1008" s="235"/>
      <c r="U1008" s="235">
        <f t="shared" si="26"/>
        <v>0</v>
      </c>
      <c r="V1008" s="235"/>
      <c r="W1008" s="235"/>
      <c r="Y1008" s="228" t="str">
        <f t="shared" si="27"/>
        <v>TinMineração Taboca S.A.</v>
      </c>
    </row>
    <row r="1009" spans="1:25" s="228" customFormat="1" ht="20.25">
      <c r="A1009" s="161" t="s">
        <v>1380</v>
      </c>
      <c r="B1009" s="408" t="s">
        <v>2324</v>
      </c>
      <c r="C1009" s="297" t="str">
        <f>IF(LEN(A1009)=0,"",INDEX('[2]Smelter Reference List'!$C$1:$C$65536,MATCH($A1009,'[2]Smelter Reference List'!$E$1:$E$65536,0)))</f>
        <v>Minsur</v>
      </c>
      <c r="D1009" s="161" t="s">
        <v>1954</v>
      </c>
      <c r="E1009" s="161" t="s">
        <v>1704</v>
      </c>
      <c r="F1009" s="161" t="s">
        <v>1380</v>
      </c>
      <c r="G1009" s="161" t="s">
        <v>3125</v>
      </c>
      <c r="H1009" s="247">
        <v>0</v>
      </c>
      <c r="I1009" s="248" t="s">
        <v>3487</v>
      </c>
      <c r="J1009" s="248" t="s">
        <v>3488</v>
      </c>
      <c r="K1009" s="245"/>
      <c r="L1009" s="245"/>
      <c r="M1009" s="245"/>
      <c r="N1009" s="245"/>
      <c r="O1009" s="245"/>
      <c r="P1009" s="245"/>
      <c r="Q1009" s="246"/>
      <c r="R1009" s="233"/>
      <c r="S1009" s="234">
        <f>IF(C1009="",NA(),MATCH($B1009&amp;$C1009,'Smelter Reference List'!$J:$J,0))</f>
        <v>384</v>
      </c>
      <c r="T1009" s="235"/>
      <c r="U1009" s="235">
        <f t="shared" si="26"/>
        <v>0</v>
      </c>
      <c r="V1009" s="235"/>
      <c r="W1009" s="235"/>
      <c r="Y1009" s="228" t="str">
        <f t="shared" si="27"/>
        <v>TinMinsur</v>
      </c>
    </row>
    <row r="1010" spans="1:25" s="228" customFormat="1" ht="20.25">
      <c r="A1010" s="161" t="s">
        <v>1381</v>
      </c>
      <c r="B1010" s="408" t="s">
        <v>2324</v>
      </c>
      <c r="C1010" s="297" t="str">
        <f>IF(LEN(A1010)=0,"",INDEX('[2]Smelter Reference List'!$C$1:$C$65536,MATCH($A1010,'[2]Smelter Reference List'!$E$1:$E$65536,0)))</f>
        <v>Mitsubishi Materials Corporation</v>
      </c>
      <c r="D1010" s="161" t="s">
        <v>2371</v>
      </c>
      <c r="E1010" s="161" t="s">
        <v>2249</v>
      </c>
      <c r="F1010" s="161" t="s">
        <v>1381</v>
      </c>
      <c r="G1010" s="161" t="s">
        <v>3125</v>
      </c>
      <c r="H1010" s="247">
        <v>0</v>
      </c>
      <c r="I1010" s="248" t="s">
        <v>3490</v>
      </c>
      <c r="J1010" s="248" t="s">
        <v>3140</v>
      </c>
      <c r="K1010" s="245"/>
      <c r="L1010" s="245"/>
      <c r="M1010" s="245"/>
      <c r="N1010" s="245"/>
      <c r="O1010" s="245"/>
      <c r="P1010" s="245"/>
      <c r="Q1010" s="246"/>
      <c r="R1010" s="233"/>
      <c r="S1010" s="234">
        <f>IF(C1010="",NA(),MATCH($B1010&amp;$C1010,'Smelter Reference List'!$J:$J,0))</f>
        <v>385</v>
      </c>
      <c r="T1010" s="235"/>
      <c r="U1010" s="235">
        <f t="shared" si="26"/>
        <v>0</v>
      </c>
      <c r="V1010" s="235"/>
      <c r="W1010" s="235"/>
      <c r="Y1010" s="228" t="str">
        <f t="shared" si="27"/>
        <v>TinMitsubishi Materials Corporation</v>
      </c>
    </row>
    <row r="1011" spans="1:25" s="228" customFormat="1" ht="20.25">
      <c r="A1011" s="161" t="s">
        <v>1384</v>
      </c>
      <c r="B1011" s="408" t="s">
        <v>2324</v>
      </c>
      <c r="C1011" s="297" t="str">
        <f>IF(LEN(A1011)=0,"",INDEX('[2]Smelter Reference List'!$C$1:$C$65536,MATCH($A1011,'[2]Smelter Reference List'!$E$1:$E$65536,0)))</f>
        <v>Operaciones Metalurgical S.A.</v>
      </c>
      <c r="D1011" s="161" t="s">
        <v>3494</v>
      </c>
      <c r="E1011" s="161" t="s">
        <v>2169</v>
      </c>
      <c r="F1011" s="161" t="s">
        <v>1384</v>
      </c>
      <c r="G1011" s="161" t="s">
        <v>3125</v>
      </c>
      <c r="H1011" s="247">
        <v>0</v>
      </c>
      <c r="I1011" s="248" t="s">
        <v>3459</v>
      </c>
      <c r="J1011" s="248" t="s">
        <v>3460</v>
      </c>
      <c r="K1011" s="245"/>
      <c r="L1011" s="245"/>
      <c r="M1011" s="245"/>
      <c r="N1011" s="245"/>
      <c r="O1011" s="245"/>
      <c r="P1011" s="245"/>
      <c r="Q1011" s="246"/>
      <c r="R1011" s="233"/>
      <c r="S1011" s="234">
        <f>IF(C1011="",NA(),MATCH($B1011&amp;$C1011,'Smelter Reference List'!$J:$J,0))</f>
        <v>394</v>
      </c>
      <c r="T1011" s="235"/>
      <c r="U1011" s="235">
        <f t="shared" si="26"/>
        <v>0</v>
      </c>
      <c r="V1011" s="235"/>
      <c r="W1011" s="235"/>
      <c r="Y1011" s="228" t="str">
        <f t="shared" si="27"/>
        <v>TinOperaciones Metalurgical S.A.</v>
      </c>
    </row>
    <row r="1012" spans="1:25" s="228" customFormat="1" ht="20.25">
      <c r="A1012" s="161"/>
      <c r="B1012" s="408" t="s">
        <v>2324</v>
      </c>
      <c r="C1012" s="297" t="s">
        <v>3604</v>
      </c>
      <c r="D1012" s="161" t="s">
        <v>5698</v>
      </c>
      <c r="E1012" s="161" t="s">
        <v>2238</v>
      </c>
      <c r="F1012" s="161">
        <v>0</v>
      </c>
      <c r="G1012" s="228" t="s">
        <v>5584</v>
      </c>
      <c r="H1012" s="247" t="s">
        <v>5699</v>
      </c>
      <c r="I1012" s="248" t="s">
        <v>3457</v>
      </c>
      <c r="J1012" s="248" t="s">
        <v>5798</v>
      </c>
      <c r="K1012" s="245" t="s">
        <v>5701</v>
      </c>
      <c r="L1012" s="245" t="s">
        <v>5702</v>
      </c>
      <c r="M1012" s="245"/>
      <c r="N1012" s="245"/>
      <c r="O1012" s="245" t="s">
        <v>5367</v>
      </c>
      <c r="P1012" s="245"/>
      <c r="Q1012" s="246" t="s">
        <v>5869</v>
      </c>
      <c r="R1012" s="233"/>
      <c r="S1012" s="234">
        <f>IF(C1012="",NA(),MATCH($B1012&amp;$C1012,'Smelter Reference List'!$J:$J,0))</f>
        <v>467</v>
      </c>
      <c r="T1012" s="235"/>
      <c r="U1012" s="235">
        <f t="shared" si="26"/>
        <v>0</v>
      </c>
      <c r="V1012" s="235"/>
      <c r="W1012" s="235"/>
      <c r="Y1012" s="228" t="str">
        <f t="shared" si="27"/>
        <v>TinSmelter not listed</v>
      </c>
    </row>
    <row r="1013" spans="1:25" s="228" customFormat="1" ht="20.25">
      <c r="A1013" s="161" t="s">
        <v>1387</v>
      </c>
      <c r="B1013" s="408" t="s">
        <v>2324</v>
      </c>
      <c r="C1013" s="297" t="str">
        <f>IF(LEN(A1013)=0,"",INDEX('[2]Smelter Reference List'!$C$1:$C$65536,MATCH($A1013,'[2]Smelter Reference List'!$E$1:$E$65536,0)))</f>
        <v>PT Bangka Tin Industry</v>
      </c>
      <c r="D1013" s="161" t="s">
        <v>1173</v>
      </c>
      <c r="E1013" s="161" t="s">
        <v>2238</v>
      </c>
      <c r="F1013" s="161" t="s">
        <v>1387</v>
      </c>
      <c r="G1013" s="161" t="s">
        <v>3125</v>
      </c>
      <c r="H1013" s="247">
        <v>0</v>
      </c>
      <c r="I1013" s="248" t="s">
        <v>3453</v>
      </c>
      <c r="J1013" s="248" t="s">
        <v>3454</v>
      </c>
      <c r="K1013" s="245"/>
      <c r="L1013" s="245"/>
      <c r="M1013" s="245"/>
      <c r="N1013" s="245"/>
      <c r="O1013" s="245"/>
      <c r="P1013" s="245"/>
      <c r="Q1013" s="246"/>
      <c r="R1013" s="233"/>
      <c r="S1013" s="234">
        <f>IF(C1013="",NA(),MATCH($B1013&amp;$C1013,'Smelter Reference List'!$J:$J,0))</f>
        <v>405</v>
      </c>
      <c r="T1013" s="235"/>
      <c r="U1013" s="235">
        <f t="shared" si="26"/>
        <v>0</v>
      </c>
      <c r="V1013" s="235"/>
      <c r="W1013" s="235"/>
      <c r="Y1013" s="228" t="str">
        <f t="shared" si="27"/>
        <v>TinPT Bangka Tin Industry</v>
      </c>
    </row>
    <row r="1014" spans="1:25" s="228" customFormat="1" ht="20.25">
      <c r="A1014" s="161" t="s">
        <v>1389</v>
      </c>
      <c r="B1014" s="408" t="s">
        <v>2324</v>
      </c>
      <c r="C1014" s="297" t="str">
        <f>IF(LEN(A1014)=0,"",INDEX('[2]Smelter Reference List'!$C$1:$C$65536,MATCH($A1014,'[2]Smelter Reference List'!$E$1:$E$65536,0)))</f>
        <v>PT Bukit Timah</v>
      </c>
      <c r="D1014" s="161" t="s">
        <v>1194</v>
      </c>
      <c r="E1014" s="161" t="s">
        <v>2238</v>
      </c>
      <c r="F1014" s="161" t="s">
        <v>1389</v>
      </c>
      <c r="G1014" s="161" t="s">
        <v>3125</v>
      </c>
      <c r="H1014" s="247">
        <v>0</v>
      </c>
      <c r="I1014" s="248" t="s">
        <v>3457</v>
      </c>
      <c r="J1014" s="248" t="s">
        <v>3454</v>
      </c>
      <c r="K1014" s="245"/>
      <c r="L1014" s="245"/>
      <c r="M1014" s="245"/>
      <c r="N1014" s="245"/>
      <c r="O1014" s="245"/>
      <c r="P1014" s="245"/>
      <c r="Q1014" s="246"/>
      <c r="R1014" s="233"/>
      <c r="S1014" s="234">
        <f>IF(C1014="",NA(),MATCH($B1014&amp;$C1014,'Smelter Reference List'!$J:$J,0))</f>
        <v>408</v>
      </c>
      <c r="T1014" s="235"/>
      <c r="U1014" s="235">
        <f t="shared" si="26"/>
        <v>0</v>
      </c>
      <c r="V1014" s="235"/>
      <c r="W1014" s="235"/>
      <c r="Y1014" s="228" t="str">
        <f t="shared" si="27"/>
        <v>TinPT Bukit Timah</v>
      </c>
    </row>
    <row r="1015" spans="1:25" s="228" customFormat="1" ht="20.25">
      <c r="A1015" s="161" t="s">
        <v>1390</v>
      </c>
      <c r="B1015" s="408" t="s">
        <v>2324</v>
      </c>
      <c r="C1015" s="297" t="str">
        <f>IF(LEN(A1015)=0,"",INDEX('[2]Smelter Reference List'!$C$1:$C$65536,MATCH($A1015,'[2]Smelter Reference List'!$E$1:$E$65536,0)))</f>
        <v>PT DS Jaya Abadi</v>
      </c>
      <c r="D1015" s="161" t="s">
        <v>1174</v>
      </c>
      <c r="E1015" s="161" t="s">
        <v>2238</v>
      </c>
      <c r="F1015" s="161" t="s">
        <v>1390</v>
      </c>
      <c r="G1015" s="161" t="s">
        <v>3125</v>
      </c>
      <c r="H1015" s="247">
        <v>0</v>
      </c>
      <c r="I1015" s="248" t="s">
        <v>3457</v>
      </c>
      <c r="J1015" s="248" t="s">
        <v>3454</v>
      </c>
      <c r="K1015" s="245"/>
      <c r="L1015" s="245"/>
      <c r="M1015" s="245"/>
      <c r="N1015" s="245"/>
      <c r="O1015" s="245"/>
      <c r="P1015" s="245"/>
      <c r="Q1015" s="246"/>
      <c r="R1015" s="233"/>
      <c r="S1015" s="234">
        <f>IF(C1015="",NA(),MATCH($B1015&amp;$C1015,'Smelter Reference List'!$J:$J,0))</f>
        <v>410</v>
      </c>
      <c r="T1015" s="235"/>
      <c r="U1015" s="235">
        <f t="shared" si="26"/>
        <v>0</v>
      </c>
      <c r="V1015" s="235"/>
      <c r="W1015" s="235"/>
      <c r="Y1015" s="228" t="str">
        <f t="shared" si="27"/>
        <v>TinPT DS Jaya Abadi</v>
      </c>
    </row>
    <row r="1016" spans="1:25" s="228" customFormat="1" ht="20.25">
      <c r="A1016" s="161" t="s">
        <v>1391</v>
      </c>
      <c r="B1016" s="408" t="s">
        <v>2324</v>
      </c>
      <c r="C1016" s="297" t="str">
        <f>IF(LEN(A1016)=0,"",INDEX('[2]Smelter Reference List'!$C$1:$C$65536,MATCH($A1016,'[2]Smelter Reference List'!$E$1:$E$65536,0)))</f>
        <v>PT Eunindo Usaha Mandiri</v>
      </c>
      <c r="D1016" s="161" t="s">
        <v>1195</v>
      </c>
      <c r="E1016" s="161" t="s">
        <v>2238</v>
      </c>
      <c r="F1016" s="161" t="s">
        <v>1391</v>
      </c>
      <c r="G1016" s="161" t="s">
        <v>3125</v>
      </c>
      <c r="H1016" s="247">
        <v>0</v>
      </c>
      <c r="I1016" s="248" t="s">
        <v>3500</v>
      </c>
      <c r="J1016" s="248" t="s">
        <v>3499</v>
      </c>
      <c r="K1016" s="245"/>
      <c r="L1016" s="245"/>
      <c r="M1016" s="245"/>
      <c r="N1016" s="245"/>
      <c r="O1016" s="245"/>
      <c r="P1016" s="245"/>
      <c r="Q1016" s="246"/>
      <c r="R1016" s="233"/>
      <c r="S1016" s="234">
        <f>IF(C1016="",NA(),MATCH($B1016&amp;$C1016,'Smelter Reference List'!$J:$J,0))</f>
        <v>411</v>
      </c>
      <c r="T1016" s="235"/>
      <c r="U1016" s="235">
        <f t="shared" si="26"/>
        <v>0</v>
      </c>
      <c r="V1016" s="235"/>
      <c r="W1016" s="235"/>
      <c r="Y1016" s="228" t="str">
        <f t="shared" si="27"/>
        <v>TinPT Eunindo Usaha Mandiri</v>
      </c>
    </row>
    <row r="1017" spans="1:25" s="228" customFormat="1" ht="20.25">
      <c r="A1017" s="161" t="s">
        <v>1393</v>
      </c>
      <c r="B1017" s="408" t="s">
        <v>2324</v>
      </c>
      <c r="C1017" s="297" t="str">
        <f>IF(LEN(A1017)=0,"",INDEX('[2]Smelter Reference List'!$C$1:$C$65536,MATCH($A1017,'[2]Smelter Reference List'!$E$1:$E$65536,0)))</f>
        <v>PT Mitra Stania Prima</v>
      </c>
      <c r="D1017" s="161" t="s">
        <v>1196</v>
      </c>
      <c r="E1017" s="161" t="s">
        <v>2238</v>
      </c>
      <c r="F1017" s="161" t="s">
        <v>1393</v>
      </c>
      <c r="G1017" s="161" t="s">
        <v>3125</v>
      </c>
      <c r="H1017" s="247">
        <v>0</v>
      </c>
      <c r="I1017" s="248" t="s">
        <v>3453</v>
      </c>
      <c r="J1017" s="248" t="s">
        <v>3454</v>
      </c>
      <c r="K1017" s="245"/>
      <c r="L1017" s="245"/>
      <c r="M1017" s="245"/>
      <c r="N1017" s="245"/>
      <c r="O1017" s="245"/>
      <c r="P1017" s="245"/>
      <c r="Q1017" s="246"/>
      <c r="R1017" s="233"/>
      <c r="S1017" s="234">
        <f>IF(C1017="",NA(),MATCH($B1017&amp;$C1017,'Smelter Reference List'!$J:$J,0))</f>
        <v>419</v>
      </c>
      <c r="T1017" s="235"/>
      <c r="U1017" s="235">
        <f t="shared" si="26"/>
        <v>0</v>
      </c>
      <c r="V1017" s="235"/>
      <c r="W1017" s="235"/>
      <c r="Y1017" s="228" t="str">
        <f t="shared" si="27"/>
        <v>TinPT Mitra Stania Prima</v>
      </c>
    </row>
    <row r="1018" spans="1:25" s="228" customFormat="1" ht="20.25">
      <c r="A1018" s="161" t="s">
        <v>1396</v>
      </c>
      <c r="B1018" s="408" t="s">
        <v>2324</v>
      </c>
      <c r="C1018" s="297" t="str">
        <f>IF(LEN(A1018)=0,"",INDEX('[2]Smelter Reference List'!$C$1:$C$65536,MATCH($A1018,'[2]Smelter Reference List'!$E$1:$E$65536,0)))</f>
        <v>PT Refined Bangka Tin</v>
      </c>
      <c r="D1018" s="161" t="s">
        <v>4169</v>
      </c>
      <c r="E1018" s="161" t="s">
        <v>2238</v>
      </c>
      <c r="F1018" s="161" t="s">
        <v>1396</v>
      </c>
      <c r="G1018" s="161" t="s">
        <v>3125</v>
      </c>
      <c r="H1018" s="247">
        <v>0</v>
      </c>
      <c r="I1018" s="248" t="s">
        <v>3453</v>
      </c>
      <c r="J1018" s="248" t="s">
        <v>3454</v>
      </c>
      <c r="K1018" s="245"/>
      <c r="L1018" s="245"/>
      <c r="M1018" s="245"/>
      <c r="N1018" s="245"/>
      <c r="O1018" s="245"/>
      <c r="P1018" s="245"/>
      <c r="Q1018" s="246"/>
      <c r="R1018" s="233"/>
      <c r="S1018" s="234">
        <f>IF(C1018="",NA(),MATCH($B1018&amp;$C1018,'Smelter Reference List'!$J:$J,0))</f>
        <v>424</v>
      </c>
      <c r="T1018" s="235"/>
      <c r="U1018" s="235">
        <f t="shared" si="26"/>
        <v>0</v>
      </c>
      <c r="V1018" s="235"/>
      <c r="W1018" s="235"/>
      <c r="Y1018" s="228" t="str">
        <f t="shared" si="27"/>
        <v>TinPT Refined Bangka Tin</v>
      </c>
    </row>
    <row r="1019" spans="1:25" s="228" customFormat="1" ht="20.25">
      <c r="A1019" s="161" t="s">
        <v>1398</v>
      </c>
      <c r="B1019" s="408" t="s">
        <v>2324</v>
      </c>
      <c r="C1019" s="297" t="str">
        <f>IF(LEN(A1019)=0,"",INDEX('[2]Smelter Reference List'!$C$1:$C$65536,MATCH($A1019,'[2]Smelter Reference List'!$E$1:$E$65536,0)))</f>
        <v>PT Stanindo Inti Perkasa</v>
      </c>
      <c r="D1019" s="161" t="s">
        <v>2369</v>
      </c>
      <c r="E1019" s="161" t="s">
        <v>2238</v>
      </c>
      <c r="F1019" s="161" t="s">
        <v>1398</v>
      </c>
      <c r="G1019" s="161" t="s">
        <v>3125</v>
      </c>
      <c r="H1019" s="247">
        <v>0</v>
      </c>
      <c r="I1019" s="248" t="s">
        <v>3457</v>
      </c>
      <c r="J1019" s="248" t="s">
        <v>3454</v>
      </c>
      <c r="K1019" s="245"/>
      <c r="L1019" s="245"/>
      <c r="M1019" s="245"/>
      <c r="N1019" s="245"/>
      <c r="O1019" s="245"/>
      <c r="P1019" s="245"/>
      <c r="Q1019" s="246"/>
      <c r="R1019" s="233"/>
      <c r="S1019" s="234">
        <f>IF(C1019="",NA(),MATCH($B1019&amp;$C1019,'Smelter Reference List'!$J:$J,0))</f>
        <v>427</v>
      </c>
      <c r="T1019" s="235"/>
      <c r="U1019" s="235">
        <f t="shared" si="26"/>
        <v>0</v>
      </c>
      <c r="V1019" s="235"/>
      <c r="W1019" s="235"/>
      <c r="Y1019" s="228" t="str">
        <f t="shared" si="27"/>
        <v>TinPT Stanindo Inti Perkasa</v>
      </c>
    </row>
    <row r="1020" spans="1:25" s="228" customFormat="1" ht="20.25">
      <c r="A1020" s="161" t="s">
        <v>1424</v>
      </c>
      <c r="B1020" s="408" t="s">
        <v>2324</v>
      </c>
      <c r="C1020" s="297" t="str">
        <f>IF(LEN(A1020)=0,"",INDEX('[2]Smelter Reference List'!$C$1:$C$65536,MATCH($A1020,'[2]Smelter Reference List'!$E$1:$E$65536,0)))</f>
        <v>PT Timah (Persero) Tbk Kundur</v>
      </c>
      <c r="D1020" s="161" t="s">
        <v>3503</v>
      </c>
      <c r="E1020" s="161" t="s">
        <v>2238</v>
      </c>
      <c r="F1020" s="161" t="s">
        <v>1424</v>
      </c>
      <c r="G1020" s="161" t="s">
        <v>3125</v>
      </c>
      <c r="H1020" s="247">
        <v>0</v>
      </c>
      <c r="I1020" s="248" t="s">
        <v>3504</v>
      </c>
      <c r="J1020" s="248" t="s">
        <v>3505</v>
      </c>
      <c r="K1020" s="245"/>
      <c r="L1020" s="245"/>
      <c r="M1020" s="245"/>
      <c r="N1020" s="245"/>
      <c r="O1020" s="245"/>
      <c r="P1020" s="245"/>
      <c r="Q1020" s="246"/>
      <c r="R1020" s="233"/>
      <c r="S1020" s="234">
        <f>IF(C1020="",NA(),MATCH($B1020&amp;$C1020,'Smelter Reference List'!$J:$J,0))</f>
        <v>431</v>
      </c>
      <c r="T1020" s="235"/>
      <c r="U1020" s="235">
        <f t="shared" si="26"/>
        <v>0</v>
      </c>
      <c r="V1020" s="235"/>
      <c r="W1020" s="235"/>
      <c r="Y1020" s="228" t="str">
        <f t="shared" si="27"/>
        <v>TinPT Timah (Persero) Tbk Kundur</v>
      </c>
    </row>
    <row r="1021" spans="1:25" s="228" customFormat="1" ht="20.25">
      <c r="A1021" s="161" t="s">
        <v>1399</v>
      </c>
      <c r="B1021" s="408" t="s">
        <v>2324</v>
      </c>
      <c r="C1021" s="297" t="str">
        <f>IF(LEN(A1021)=0,"",INDEX('[2]Smelter Reference List'!$C$1:$C$65536,MATCH($A1021,'[2]Smelter Reference List'!$E$1:$E$65536,0)))</f>
        <v>PT Timah (Persero) Tbk Mentok</v>
      </c>
      <c r="D1021" s="161" t="s">
        <v>4266</v>
      </c>
      <c r="E1021" s="161" t="s">
        <v>2238</v>
      </c>
      <c r="F1021" s="161" t="s">
        <v>1399</v>
      </c>
      <c r="G1021" s="161" t="s">
        <v>3125</v>
      </c>
      <c r="H1021" s="247">
        <v>0</v>
      </c>
      <c r="I1021" s="248" t="s">
        <v>3507</v>
      </c>
      <c r="J1021" s="248" t="s">
        <v>3454</v>
      </c>
      <c r="K1021" s="245"/>
      <c r="L1021" s="245"/>
      <c r="M1021" s="245"/>
      <c r="N1021" s="245"/>
      <c r="O1021" s="245"/>
      <c r="P1021" s="245"/>
      <c r="Q1021" s="246"/>
      <c r="R1021" s="233"/>
      <c r="S1021" s="234">
        <f>IF(C1021="",NA(),MATCH($B1021&amp;$C1021,'Smelter Reference List'!$J:$J,0))</f>
        <v>432</v>
      </c>
      <c r="T1021" s="235"/>
      <c r="U1021" s="235">
        <f t="shared" si="26"/>
        <v>0</v>
      </c>
      <c r="V1021" s="235"/>
      <c r="W1021" s="235"/>
      <c r="Y1021" s="228" t="str">
        <f t="shared" si="27"/>
        <v>TinPT Timah (Persero) Tbk Mentok</v>
      </c>
    </row>
    <row r="1022" spans="1:25" s="228" customFormat="1" ht="20.25">
      <c r="A1022" s="161" t="s">
        <v>1400</v>
      </c>
      <c r="B1022" s="408" t="s">
        <v>2324</v>
      </c>
      <c r="C1022" s="297" t="str">
        <f>IF(LEN(A1022)=0,"",INDEX('[2]Smelter Reference List'!$C$1:$C$65536,MATCH($A1022,'[2]Smelter Reference List'!$E$1:$E$65536,0)))</f>
        <v>PT Tinindo Inter Nusa</v>
      </c>
      <c r="D1022" s="161" t="s">
        <v>972</v>
      </c>
      <c r="E1022" s="161" t="s">
        <v>2238</v>
      </c>
      <c r="F1022" s="161" t="s">
        <v>1400</v>
      </c>
      <c r="G1022" s="161" t="s">
        <v>3125</v>
      </c>
      <c r="H1022" s="247">
        <v>0</v>
      </c>
      <c r="I1022" s="248" t="s">
        <v>3457</v>
      </c>
      <c r="J1022" s="248" t="s">
        <v>3454</v>
      </c>
      <c r="K1022" s="245"/>
      <c r="L1022" s="245"/>
      <c r="M1022" s="245"/>
      <c r="N1022" s="245"/>
      <c r="O1022" s="245"/>
      <c r="P1022" s="245"/>
      <c r="Q1022" s="246"/>
      <c r="R1022" s="233"/>
      <c r="S1022" s="234">
        <f>IF(C1022="",NA(),MATCH($B1022&amp;$C1022,'Smelter Reference List'!$J:$J,0))</f>
        <v>434</v>
      </c>
      <c r="T1022" s="235"/>
      <c r="U1022" s="235">
        <f t="shared" si="26"/>
        <v>0</v>
      </c>
      <c r="V1022" s="235"/>
      <c r="W1022" s="235"/>
      <c r="Y1022" s="228" t="str">
        <f t="shared" si="27"/>
        <v>TinPT Tinindo Inter Nusa</v>
      </c>
    </row>
    <row r="1023" spans="1:25" s="228" customFormat="1" ht="20.25">
      <c r="A1023" s="161" t="s">
        <v>1404</v>
      </c>
      <c r="B1023" s="408" t="s">
        <v>2324</v>
      </c>
      <c r="C1023" s="297" t="str">
        <f>IF(LEN(A1023)=0,"",INDEX('[2]Smelter Reference List'!$C$1:$C$65536,MATCH($A1023,'[2]Smelter Reference List'!$E$1:$E$65536,0)))</f>
        <v>Thaisarco</v>
      </c>
      <c r="D1023" s="161" t="s">
        <v>1951</v>
      </c>
      <c r="E1023" s="161" t="s">
        <v>1743</v>
      </c>
      <c r="F1023" s="161" t="s">
        <v>1404</v>
      </c>
      <c r="G1023" s="161" t="s">
        <v>3125</v>
      </c>
      <c r="H1023" s="247">
        <v>0</v>
      </c>
      <c r="I1023" s="248" t="s">
        <v>3510</v>
      </c>
      <c r="J1023" s="248" t="s">
        <v>3511</v>
      </c>
      <c r="K1023" s="245"/>
      <c r="L1023" s="245"/>
      <c r="M1023" s="245"/>
      <c r="N1023" s="245"/>
      <c r="O1023" s="245"/>
      <c r="P1023" s="245"/>
      <c r="Q1023" s="246"/>
      <c r="R1023" s="233"/>
      <c r="S1023" s="234">
        <f>IF(C1023="",NA(),MATCH($B1023&amp;$C1023,'Smelter Reference List'!$J:$J,0))</f>
        <v>445</v>
      </c>
      <c r="T1023" s="235"/>
      <c r="U1023" s="235">
        <f t="shared" si="26"/>
        <v>0</v>
      </c>
      <c r="V1023" s="235"/>
      <c r="W1023" s="235"/>
      <c r="Y1023" s="228" t="str">
        <f t="shared" si="27"/>
        <v>TinThaisarco</v>
      </c>
    </row>
    <row r="1024" spans="1:25" s="228" customFormat="1" ht="20.25">
      <c r="A1024" s="161" t="s">
        <v>1405</v>
      </c>
      <c r="B1024" s="408" t="s">
        <v>2324</v>
      </c>
      <c r="C1024" s="297" t="str">
        <f>IF(LEN(A1024)=0,"",INDEX('[2]Smelter Reference List'!$C$1:$C$65536,MATCH($A1024,'[2]Smelter Reference List'!$E$1:$E$65536,0)))</f>
        <v>White Solder Metalurgia e Mineração Ltda.</v>
      </c>
      <c r="D1024" s="161" t="s">
        <v>68</v>
      </c>
      <c r="E1024" s="161" t="s">
        <v>2170</v>
      </c>
      <c r="F1024" s="161" t="s">
        <v>1405</v>
      </c>
      <c r="G1024" s="161" t="s">
        <v>3125</v>
      </c>
      <c r="H1024" s="247">
        <v>0</v>
      </c>
      <c r="I1024" s="248" t="s">
        <v>3451</v>
      </c>
      <c r="J1024" s="248" t="s">
        <v>3452</v>
      </c>
      <c r="K1024" s="245"/>
      <c r="L1024" s="245"/>
      <c r="M1024" s="245"/>
      <c r="N1024" s="245"/>
      <c r="O1024" s="245"/>
      <c r="P1024" s="245"/>
      <c r="Q1024" s="246"/>
      <c r="R1024" s="233"/>
      <c r="S1024" s="234">
        <f>IF(C1024="",NA(),MATCH($B1024&amp;$C1024,'Smelter Reference List'!$J:$J,0))</f>
        <v>452</v>
      </c>
      <c r="T1024" s="235"/>
      <c r="U1024" s="235">
        <f t="shared" si="26"/>
        <v>0</v>
      </c>
      <c r="V1024" s="235"/>
      <c r="W1024" s="235"/>
      <c r="Y1024" s="228" t="str">
        <f t="shared" si="27"/>
        <v>TinWhite Solder Metalurgia e Mineração Ltda.</v>
      </c>
    </row>
    <row r="1025" spans="1:25" s="228" customFormat="1" ht="20.25">
      <c r="A1025" s="161" t="s">
        <v>1406</v>
      </c>
      <c r="B1025" s="408" t="s">
        <v>2324</v>
      </c>
      <c r="C1025" s="297" t="str">
        <f>IF(LEN(A1025)=0,"",INDEX('[2]Smelter Reference List'!$C$1:$C$65536,MATCH($A1025,'[2]Smelter Reference List'!$E$1:$E$65536,0)))</f>
        <v>Yunnan Chengfeng Non-ferrous Metals Co., Ltd.</v>
      </c>
      <c r="D1025" s="161" t="s">
        <v>4183</v>
      </c>
      <c r="E1025" s="161" t="s">
        <v>2181</v>
      </c>
      <c r="F1025" s="161" t="s">
        <v>1406</v>
      </c>
      <c r="G1025" s="161" t="s">
        <v>3125</v>
      </c>
      <c r="H1025" s="247">
        <v>0</v>
      </c>
      <c r="I1025" s="248" t="s">
        <v>3468</v>
      </c>
      <c r="J1025" s="248" t="s">
        <v>3161</v>
      </c>
      <c r="K1025" s="245"/>
      <c r="L1025" s="245"/>
      <c r="M1025" s="245"/>
      <c r="N1025" s="245"/>
      <c r="O1025" s="245"/>
      <c r="P1025" s="245"/>
      <c r="Q1025" s="246"/>
      <c r="R1025" s="233"/>
      <c r="S1025" s="234">
        <f>IF(C1025="",NA(),MATCH($B1025&amp;$C1025,'Smelter Reference List'!$J:$J,0))</f>
        <v>459</v>
      </c>
      <c r="T1025" s="235"/>
      <c r="U1025" s="235">
        <f t="shared" si="26"/>
        <v>0</v>
      </c>
      <c r="V1025" s="235"/>
      <c r="W1025" s="235"/>
      <c r="Y1025" s="228" t="str">
        <f t="shared" si="27"/>
        <v>TinYunnan Chengfeng Non-ferrous Metals Co., Ltd.</v>
      </c>
    </row>
    <row r="1026" spans="1:25" s="228" customFormat="1" ht="20.25">
      <c r="A1026" s="161" t="s">
        <v>1407</v>
      </c>
      <c r="B1026" s="408" t="s">
        <v>2324</v>
      </c>
      <c r="C1026" s="297" t="str">
        <f>IF(LEN(A1026)=0,"",INDEX('[2]Smelter Reference List'!$C$1:$C$65536,MATCH($A1026,'[2]Smelter Reference List'!$E$1:$E$65536,0)))</f>
        <v>Yunnan Tin Company Limited</v>
      </c>
      <c r="D1026" s="161" t="s">
        <v>4749</v>
      </c>
      <c r="E1026" s="161" t="s">
        <v>2181</v>
      </c>
      <c r="F1026" s="161" t="s">
        <v>1407</v>
      </c>
      <c r="G1026" s="161" t="s">
        <v>3125</v>
      </c>
      <c r="H1026" s="247">
        <v>0</v>
      </c>
      <c r="I1026" s="248" t="s">
        <v>3468</v>
      </c>
      <c r="J1026" s="248" t="s">
        <v>3161</v>
      </c>
      <c r="K1026" s="245"/>
      <c r="L1026" s="245"/>
      <c r="M1026" s="245"/>
      <c r="N1026" s="245"/>
      <c r="O1026" s="245"/>
      <c r="P1026" s="245"/>
      <c r="Q1026" s="246"/>
      <c r="R1026" s="233"/>
      <c r="S1026" s="234">
        <f>IF(C1026="",NA(),MATCH($B1026&amp;$C1026,'Smelter Reference List'!$J:$J,0))</f>
        <v>462</v>
      </c>
      <c r="T1026" s="235"/>
      <c r="U1026" s="235">
        <f t="shared" si="26"/>
        <v>0</v>
      </c>
      <c r="V1026" s="235"/>
      <c r="W1026" s="235"/>
      <c r="Y1026" s="228" t="str">
        <f t="shared" si="27"/>
        <v>TinYunnan Tin Company Limited</v>
      </c>
    </row>
    <row r="1027" spans="1:25" s="228" customFormat="1" ht="20.25">
      <c r="A1027" s="161" t="s">
        <v>1411</v>
      </c>
      <c r="B1027" s="408" t="s">
        <v>2326</v>
      </c>
      <c r="C1027" s="297" t="str">
        <f>IF(LEN(A1027)=0,"",INDEX('[2]Smelter Reference List'!$C$1:$C$65536,MATCH($A1027,'[2]Smelter Reference List'!$E$1:$E$65536,0)))</f>
        <v>Chongyi Zhangyuan Tungsten Co., Ltd.</v>
      </c>
      <c r="D1027" s="161" t="s">
        <v>2659</v>
      </c>
      <c r="E1027" s="161" t="s">
        <v>2181</v>
      </c>
      <c r="F1027" s="161" t="s">
        <v>1411</v>
      </c>
      <c r="G1027" s="161" t="s">
        <v>3125</v>
      </c>
      <c r="H1027" s="247">
        <v>0</v>
      </c>
      <c r="I1027" s="248" t="s">
        <v>3471</v>
      </c>
      <c r="J1027" s="248" t="s">
        <v>3204</v>
      </c>
      <c r="K1027" s="245"/>
      <c r="L1027" s="245"/>
      <c r="M1027" s="245"/>
      <c r="N1027" s="245"/>
      <c r="O1027" s="245"/>
      <c r="P1027" s="245"/>
      <c r="Q1027" s="246"/>
      <c r="R1027" s="233"/>
      <c r="S1027" s="234">
        <f>IF(C1027="",NA(),MATCH($B1027&amp;$C1027,'Smelter Reference List'!$J:$J,0))</f>
        <v>480</v>
      </c>
      <c r="T1027" s="235"/>
      <c r="U1027" s="235">
        <f t="shared" si="26"/>
        <v>0</v>
      </c>
      <c r="V1027" s="235"/>
      <c r="W1027" s="235"/>
      <c r="Y1027" s="228" t="str">
        <f t="shared" si="27"/>
        <v>TungstenChongyi Zhangyuan Tungsten Co., Ltd.</v>
      </c>
    </row>
    <row r="1028" spans="1:25" s="228" customFormat="1" ht="20.25">
      <c r="A1028" s="161" t="s">
        <v>1419</v>
      </c>
      <c r="B1028" s="408" t="s">
        <v>2326</v>
      </c>
      <c r="C1028" s="297" t="str">
        <f>IF(LEN(A1028)=0,"",INDEX('[2]Smelter Reference List'!$C$1:$C$65536,MATCH($A1028,'[2]Smelter Reference List'!$E$1:$E$65536,0)))</f>
        <v>Ganzhou Huaxing Tungsten Products Co., Ltd.</v>
      </c>
      <c r="D1028" s="161" t="s">
        <v>211</v>
      </c>
      <c r="E1028" s="161" t="s">
        <v>2181</v>
      </c>
      <c r="F1028" s="161" t="s">
        <v>1419</v>
      </c>
      <c r="G1028" s="161" t="s">
        <v>3125</v>
      </c>
      <c r="H1028" s="247">
        <v>0</v>
      </c>
      <c r="I1028" s="248" t="s">
        <v>3471</v>
      </c>
      <c r="J1028" s="248" t="s">
        <v>3204</v>
      </c>
      <c r="K1028" s="245"/>
      <c r="L1028" s="245"/>
      <c r="M1028" s="245"/>
      <c r="N1028" s="245"/>
      <c r="O1028" s="245"/>
      <c r="P1028" s="245"/>
      <c r="Q1028" s="246"/>
      <c r="R1028" s="233"/>
      <c r="S1028" s="234">
        <f>IF(C1028="",NA(),MATCH($B1028&amp;$C1028,'Smelter Reference List'!$J:$J,0))</f>
        <v>485</v>
      </c>
      <c r="T1028" s="235"/>
      <c r="U1028" s="235">
        <f t="shared" si="26"/>
        <v>0</v>
      </c>
      <c r="V1028" s="235"/>
      <c r="W1028" s="235"/>
      <c r="Y1028" s="228" t="str">
        <f t="shared" si="27"/>
        <v>TungstenGanzhou Huaxing Tungsten Products Co., Ltd.</v>
      </c>
    </row>
    <row r="1029" spans="1:25" s="228" customFormat="1" ht="20.25">
      <c r="A1029" s="161" t="s">
        <v>722</v>
      </c>
      <c r="B1029" s="408" t="s">
        <v>2326</v>
      </c>
      <c r="C1029" s="297" t="str">
        <f>IF(LEN(A1029)=0,"",INDEX('[2]Smelter Reference List'!$C$1:$C$65536,MATCH($A1029,'[2]Smelter Reference List'!$E$1:$E$65536,0)))</f>
        <v>Ganzhou Seadragon W &amp; Mo Co., Ltd.</v>
      </c>
      <c r="D1029" s="161" t="s">
        <v>721</v>
      </c>
      <c r="E1029" s="161" t="s">
        <v>2181</v>
      </c>
      <c r="F1029" s="161" t="s">
        <v>722</v>
      </c>
      <c r="G1029" s="161" t="s">
        <v>3125</v>
      </c>
      <c r="H1029" s="247">
        <v>0</v>
      </c>
      <c r="I1029" s="248" t="s">
        <v>3471</v>
      </c>
      <c r="J1029" s="248" t="s">
        <v>3204</v>
      </c>
      <c r="K1029" s="245"/>
      <c r="L1029" s="245"/>
      <c r="M1029" s="245"/>
      <c r="N1029" s="245"/>
      <c r="O1029" s="245"/>
      <c r="P1029" s="245"/>
      <c r="Q1029" s="246"/>
      <c r="R1029" s="233"/>
      <c r="S1029" s="234">
        <f>IF(C1029="",NA(),MATCH($B1029&amp;$C1029,'Smelter Reference List'!$J:$J,0))</f>
        <v>488</v>
      </c>
      <c r="T1029" s="235"/>
      <c r="U1029" s="235">
        <f t="shared" si="26"/>
        <v>0</v>
      </c>
      <c r="V1029" s="235"/>
      <c r="W1029" s="235"/>
      <c r="Y1029" s="228" t="str">
        <f t="shared" si="27"/>
        <v>TungstenGanzhou Seadragon W &amp; Mo Co., Ltd.</v>
      </c>
    </row>
    <row r="1030" spans="1:25" s="228" customFormat="1" ht="20.25">
      <c r="A1030" s="161" t="s">
        <v>1414</v>
      </c>
      <c r="B1030" s="408" t="s">
        <v>2326</v>
      </c>
      <c r="C1030" s="297" t="str">
        <f>IF(LEN(A1030)=0,"",INDEX('[2]Smelter Reference List'!$C$1:$C$65536,MATCH($A1030,'[2]Smelter Reference List'!$E$1:$E$65536,0)))</f>
        <v>Global Tungsten &amp; Powders Corp.</v>
      </c>
      <c r="D1030" s="161" t="s">
        <v>1</v>
      </c>
      <c r="E1030" s="161" t="s">
        <v>1759</v>
      </c>
      <c r="F1030" s="161" t="s">
        <v>1414</v>
      </c>
      <c r="G1030" s="161" t="s">
        <v>3125</v>
      </c>
      <c r="H1030" s="247">
        <v>0</v>
      </c>
      <c r="I1030" s="248" t="s">
        <v>3560</v>
      </c>
      <c r="J1030" s="248" t="s">
        <v>3401</v>
      </c>
      <c r="K1030" s="245"/>
      <c r="L1030" s="245"/>
      <c r="M1030" s="245"/>
      <c r="N1030" s="245"/>
      <c r="O1030" s="245"/>
      <c r="P1030" s="245"/>
      <c r="Q1030" s="246"/>
      <c r="R1030" s="233"/>
      <c r="S1030" s="234">
        <f>IF(C1030="",NA(),MATCH($B1030&amp;$C1030,'Smelter Reference List'!$J:$J,0))</f>
        <v>490</v>
      </c>
      <c r="T1030" s="235"/>
      <c r="U1030" s="235">
        <f t="shared" ref="U1030:U1093" si="28">IF(AND(C1030="Smelter not listed",OR(LEN(D1030)=0,LEN(E1030)=0)),1,0)</f>
        <v>0</v>
      </c>
      <c r="V1030" s="235"/>
      <c r="W1030" s="235"/>
      <c r="Y1030" s="228" t="str">
        <f t="shared" ref="Y1030:Y1093" si="29">B1030&amp;C1030</f>
        <v>TungstenGlobal Tungsten &amp; Powders Corp.</v>
      </c>
    </row>
    <row r="1031" spans="1:25" s="228" customFormat="1" ht="20.25">
      <c r="A1031" s="161" t="s">
        <v>1410</v>
      </c>
      <c r="B1031" s="408" t="s">
        <v>2326</v>
      </c>
      <c r="C1031" s="297" t="str">
        <f>IF(LEN(A1031)=0,"",INDEX('[2]Smelter Reference List'!$C$1:$C$65536,MATCH($A1031,'[2]Smelter Reference List'!$E$1:$E$65536,0)))</f>
        <v>Guangdong Xianglu Tungsten Co., Ltd.</v>
      </c>
      <c r="D1031" s="161" t="s">
        <v>2660</v>
      </c>
      <c r="E1031" s="161" t="s">
        <v>2181</v>
      </c>
      <c r="F1031" s="161" t="s">
        <v>1410</v>
      </c>
      <c r="G1031" s="161" t="s">
        <v>3125</v>
      </c>
      <c r="H1031" s="247">
        <v>0</v>
      </c>
      <c r="I1031" s="248" t="s">
        <v>3557</v>
      </c>
      <c r="J1031" s="248" t="s">
        <v>3335</v>
      </c>
      <c r="K1031" s="245"/>
      <c r="L1031" s="245"/>
      <c r="M1031" s="245"/>
      <c r="N1031" s="245"/>
      <c r="O1031" s="245"/>
      <c r="P1031" s="245"/>
      <c r="Q1031" s="246"/>
      <c r="R1031" s="233"/>
      <c r="S1031" s="234">
        <f>IF(C1031="",NA(),MATCH($B1031&amp;$C1031,'Smelter Reference List'!$J:$J,0))</f>
        <v>492</v>
      </c>
      <c r="T1031" s="235"/>
      <c r="U1031" s="235">
        <f t="shared" si="28"/>
        <v>0</v>
      </c>
      <c r="V1031" s="235"/>
      <c r="W1031" s="235"/>
      <c r="Y1031" s="228" t="str">
        <f t="shared" si="29"/>
        <v>TungstenGuangdong Xianglu Tungsten Co., Ltd.</v>
      </c>
    </row>
    <row r="1032" spans="1:25" s="228" customFormat="1" ht="20.25">
      <c r="A1032" s="161" t="s">
        <v>1416</v>
      </c>
      <c r="B1032" s="408" t="s">
        <v>2326</v>
      </c>
      <c r="C1032" s="297" t="str">
        <f>IF(LEN(A1032)=0,"",INDEX('[2]Smelter Reference List'!$C$1:$C$65536,MATCH($A1032,'[2]Smelter Reference List'!$E$1:$E$65536,0)))</f>
        <v>Hunan Chunchang Nonferrous Metals Co., Ltd.</v>
      </c>
      <c r="D1032" s="161" t="s">
        <v>2661</v>
      </c>
      <c r="E1032" s="161" t="s">
        <v>2181</v>
      </c>
      <c r="F1032" s="161" t="s">
        <v>1416</v>
      </c>
      <c r="G1032" s="161" t="s">
        <v>3125</v>
      </c>
      <c r="H1032" s="247">
        <v>0</v>
      </c>
      <c r="I1032" s="248" t="s">
        <v>3407</v>
      </c>
      <c r="J1032" s="248" t="s">
        <v>3186</v>
      </c>
      <c r="K1032" s="245"/>
      <c r="L1032" s="245"/>
      <c r="M1032" s="245"/>
      <c r="N1032" s="245"/>
      <c r="O1032" s="245"/>
      <c r="P1032" s="245"/>
      <c r="Q1032" s="246"/>
      <c r="R1032" s="233"/>
      <c r="S1032" s="234">
        <f>IF(C1032="",NA(),MATCH($B1032&amp;$C1032,'Smelter Reference List'!$J:$J,0))</f>
        <v>500</v>
      </c>
      <c r="T1032" s="235"/>
      <c r="U1032" s="235">
        <f t="shared" si="28"/>
        <v>0</v>
      </c>
      <c r="V1032" s="235"/>
      <c r="W1032" s="235"/>
      <c r="Y1032" s="228" t="str">
        <f t="shared" si="29"/>
        <v>TungstenHunan Chunchang Nonferrous Metals Co., Ltd.</v>
      </c>
    </row>
    <row r="1033" spans="1:25" s="228" customFormat="1" ht="20.25">
      <c r="A1033" s="161" t="s">
        <v>206</v>
      </c>
      <c r="B1033" s="408" t="s">
        <v>2326</v>
      </c>
      <c r="C1033" s="297" t="str">
        <f>IF(LEN(A1033)=0,"",INDEX('[2]Smelter Reference List'!$C$1:$C$65536,MATCH($A1033,'[2]Smelter Reference List'!$E$1:$E$65536,0)))</f>
        <v>Xiamen Tungsten (H.C.) Co., Ltd.</v>
      </c>
      <c r="D1033" s="161" t="s">
        <v>218</v>
      </c>
      <c r="E1033" s="161" t="s">
        <v>2181</v>
      </c>
      <c r="F1033" s="161" t="s">
        <v>206</v>
      </c>
      <c r="G1033" s="161" t="s">
        <v>3125</v>
      </c>
      <c r="H1033" s="247">
        <v>0</v>
      </c>
      <c r="I1033" s="248" t="s">
        <v>3569</v>
      </c>
      <c r="J1033" s="248" t="s">
        <v>3332</v>
      </c>
      <c r="K1033" s="245"/>
      <c r="L1033" s="245"/>
      <c r="M1033" s="245"/>
      <c r="N1033" s="245"/>
      <c r="O1033" s="245"/>
      <c r="P1033" s="245"/>
      <c r="Q1033" s="246"/>
      <c r="R1033" s="233"/>
      <c r="S1033" s="234">
        <f>IF(C1033="",NA(),MATCH($B1033&amp;$C1033,'Smelter Reference List'!$J:$J,0))</f>
        <v>531</v>
      </c>
      <c r="T1033" s="235"/>
      <c r="U1033" s="235">
        <f t="shared" si="28"/>
        <v>0</v>
      </c>
      <c r="V1033" s="235"/>
      <c r="W1033" s="235"/>
      <c r="Y1033" s="228" t="str">
        <f t="shared" si="29"/>
        <v>TungstenXiamen Tungsten (H.C.) Co., Ltd.</v>
      </c>
    </row>
    <row r="1034" spans="1:25" s="228" customFormat="1" ht="20.25">
      <c r="A1034" s="161" t="s">
        <v>1423</v>
      </c>
      <c r="B1034" s="408" t="s">
        <v>2326</v>
      </c>
      <c r="C1034" s="297" t="str">
        <f>IF(LEN(A1034)=0,"",INDEX('[2]Smelter Reference List'!$C$1:$C$65536,MATCH($A1034,'[2]Smelter Reference List'!$E$1:$E$65536,0)))</f>
        <v>Xiamen Tungsten Co., Ltd.</v>
      </c>
      <c r="D1034" s="161" t="s">
        <v>2663</v>
      </c>
      <c r="E1034" s="161" t="s">
        <v>2181</v>
      </c>
      <c r="F1034" s="161" t="s">
        <v>1423</v>
      </c>
      <c r="G1034" s="161" t="s">
        <v>3125</v>
      </c>
      <c r="H1034" s="247">
        <v>0</v>
      </c>
      <c r="I1034" s="248" t="s">
        <v>3569</v>
      </c>
      <c r="J1034" s="248" t="s">
        <v>3332</v>
      </c>
      <c r="K1034" s="245"/>
      <c r="L1034" s="245"/>
      <c r="M1034" s="245"/>
      <c r="N1034" s="245"/>
      <c r="O1034" s="245"/>
      <c r="P1034" s="245"/>
      <c r="Q1034" s="246"/>
      <c r="R1034" s="233"/>
      <c r="S1034" s="234">
        <f>IF(C1034="",NA(),MATCH($B1034&amp;$C1034,'Smelter Reference List'!$J:$J,0))</f>
        <v>532</v>
      </c>
      <c r="T1034" s="235"/>
      <c r="U1034" s="235">
        <f t="shared" si="28"/>
        <v>0</v>
      </c>
      <c r="V1034" s="235"/>
      <c r="W1034" s="235"/>
      <c r="Y1034" s="228" t="str">
        <f t="shared" si="29"/>
        <v>TungstenXiamen Tungsten Co., Ltd.</v>
      </c>
    </row>
    <row r="1035" spans="1:25" s="228" customFormat="1" ht="20.25">
      <c r="A1035" s="161" t="s">
        <v>1406</v>
      </c>
      <c r="B1035" s="408" t="s">
        <v>2324</v>
      </c>
      <c r="C1035" s="297" t="str">
        <f>IF(LEN(A1035)=0,"",INDEX('[2]Smelter Reference List'!$C$1:$C$65536,MATCH($A1035,'[2]Smelter Reference List'!$E$1:$E$65536,0)))</f>
        <v>Yunnan Chengfeng Non-ferrous Metals Co., Ltd.</v>
      </c>
      <c r="D1035" s="161" t="s">
        <v>4183</v>
      </c>
      <c r="E1035" s="161" t="s">
        <v>2181</v>
      </c>
      <c r="F1035" s="161" t="s">
        <v>1406</v>
      </c>
      <c r="G1035" s="161" t="s">
        <v>3125</v>
      </c>
      <c r="H1035" s="247">
        <v>0</v>
      </c>
      <c r="I1035" s="248" t="s">
        <v>3468</v>
      </c>
      <c r="J1035" s="248" t="s">
        <v>3161</v>
      </c>
      <c r="K1035" s="245"/>
      <c r="L1035" s="245"/>
      <c r="M1035" s="245"/>
      <c r="N1035" s="245"/>
      <c r="O1035" s="245"/>
      <c r="P1035" s="245"/>
      <c r="Q1035" s="246"/>
      <c r="R1035" s="233"/>
      <c r="S1035" s="234">
        <f>IF(C1035="",NA(),MATCH($B1035&amp;$C1035,'Smelter Reference List'!$J:$J,0))</f>
        <v>459</v>
      </c>
      <c r="T1035" s="235"/>
      <c r="U1035" s="235">
        <f t="shared" si="28"/>
        <v>0</v>
      </c>
      <c r="V1035" s="235"/>
      <c r="W1035" s="235"/>
      <c r="Y1035" s="228" t="str">
        <f t="shared" si="29"/>
        <v>TinYunnan Chengfeng Non-ferrous Metals Co., Ltd.</v>
      </c>
    </row>
    <row r="1036" spans="1:25" s="228" customFormat="1" ht="20.25">
      <c r="A1036" s="161" t="s">
        <v>1316</v>
      </c>
      <c r="B1036" s="408" t="s">
        <v>2323</v>
      </c>
      <c r="C1036" s="297" t="str">
        <f>IF(LEN(A1036)=0,"",INDEX('[2]Smelter Reference List'!$C$1:$C$65536,MATCH($A1036,'[2]Smelter Reference List'!$E$1:$E$65536,0)))</f>
        <v>Shandong Zhaojin Gold &amp; Silver Refinery Co., Ltd.</v>
      </c>
      <c r="D1036" s="161" t="s">
        <v>4174</v>
      </c>
      <c r="E1036" s="161" t="s">
        <v>2181</v>
      </c>
      <c r="F1036" s="161" t="s">
        <v>1316</v>
      </c>
      <c r="G1036" s="161" t="s">
        <v>3125</v>
      </c>
      <c r="H1036" s="247">
        <v>0</v>
      </c>
      <c r="I1036" s="248" t="s">
        <v>3185</v>
      </c>
      <c r="J1036" s="248" t="s">
        <v>3264</v>
      </c>
      <c r="K1036" s="245"/>
      <c r="L1036" s="245"/>
      <c r="M1036" s="245"/>
      <c r="N1036" s="245"/>
      <c r="O1036" s="245"/>
      <c r="P1036" s="245"/>
      <c r="Q1036" s="246"/>
      <c r="R1036" s="233"/>
      <c r="S1036" s="234">
        <f>IF(C1036="",NA(),MATCH($B1036&amp;$C1036,'Smelter Reference List'!$J:$J,0))</f>
        <v>176</v>
      </c>
      <c r="T1036" s="235"/>
      <c r="U1036" s="235">
        <f t="shared" si="28"/>
        <v>0</v>
      </c>
      <c r="V1036" s="235"/>
      <c r="W1036" s="235"/>
      <c r="Y1036" s="228" t="str">
        <f t="shared" si="29"/>
        <v>GoldShandong Zhaojin Gold &amp; Silver Refinery Co., Ltd.</v>
      </c>
    </row>
    <row r="1037" spans="1:25" s="228" customFormat="1" ht="20.25">
      <c r="A1037" s="161" t="s">
        <v>1389</v>
      </c>
      <c r="B1037" s="408" t="s">
        <v>2324</v>
      </c>
      <c r="C1037" s="297" t="str">
        <f>IF(LEN(A1037)=0,"",INDEX('[2]Smelter Reference List'!$C$1:$C$65536,MATCH($A1037,'[2]Smelter Reference List'!$E$1:$E$65536,0)))</f>
        <v>PT Bukit Timah</v>
      </c>
      <c r="D1037" s="161" t="s">
        <v>1194</v>
      </c>
      <c r="E1037" s="161" t="s">
        <v>2238</v>
      </c>
      <c r="F1037" s="161" t="s">
        <v>1389</v>
      </c>
      <c r="G1037" s="161" t="s">
        <v>3125</v>
      </c>
      <c r="H1037" s="247">
        <v>0</v>
      </c>
      <c r="I1037" s="248" t="s">
        <v>3457</v>
      </c>
      <c r="J1037" s="248" t="s">
        <v>3454</v>
      </c>
      <c r="K1037" s="245"/>
      <c r="L1037" s="245"/>
      <c r="M1037" s="245"/>
      <c r="N1037" s="245"/>
      <c r="O1037" s="245"/>
      <c r="P1037" s="245"/>
      <c r="Q1037" s="246"/>
      <c r="R1037" s="233"/>
      <c r="S1037" s="234">
        <f>IF(C1037="",NA(),MATCH($B1037&amp;$C1037,'Smelter Reference List'!$J:$J,0))</f>
        <v>408</v>
      </c>
      <c r="T1037" s="235"/>
      <c r="U1037" s="235">
        <f t="shared" si="28"/>
        <v>0</v>
      </c>
      <c r="V1037" s="235"/>
      <c r="W1037" s="235"/>
      <c r="Y1037" s="228" t="str">
        <f t="shared" si="29"/>
        <v>TinPT Bukit Timah</v>
      </c>
    </row>
    <row r="1038" spans="1:25" s="228" customFormat="1" ht="20.25">
      <c r="A1038" s="161" t="s">
        <v>1378</v>
      </c>
      <c r="B1038" s="408" t="s">
        <v>2324</v>
      </c>
      <c r="C1038" s="297" t="str">
        <f>IF(LEN(A1038)=0,"",INDEX('[2]Smelter Reference List'!$C$1:$C$65536,MATCH($A1038,'[2]Smelter Reference List'!$E$1:$E$65536,0)))</f>
        <v>Malaysia Smelting Corporation (MSC)</v>
      </c>
      <c r="D1038" s="161" t="s">
        <v>1471</v>
      </c>
      <c r="E1038" s="161" t="s">
        <v>2289</v>
      </c>
      <c r="F1038" s="161" t="s">
        <v>1378</v>
      </c>
      <c r="G1038" s="161" t="s">
        <v>3125</v>
      </c>
      <c r="H1038" s="247">
        <v>0</v>
      </c>
      <c r="I1038" s="248" t="s">
        <v>3481</v>
      </c>
      <c r="J1038" s="248" t="s">
        <v>3482</v>
      </c>
      <c r="K1038" s="245"/>
      <c r="L1038" s="245"/>
      <c r="M1038" s="245"/>
      <c r="N1038" s="245"/>
      <c r="O1038" s="245"/>
      <c r="P1038" s="245"/>
      <c r="Q1038" s="246"/>
      <c r="R1038" s="233"/>
      <c r="S1038" s="234">
        <f>IF(C1038="",NA(),MATCH($B1038&amp;$C1038,'Smelter Reference List'!$J:$J,0))</f>
        <v>377</v>
      </c>
      <c r="T1038" s="235"/>
      <c r="U1038" s="235">
        <f t="shared" si="28"/>
        <v>0</v>
      </c>
      <c r="V1038" s="235"/>
      <c r="W1038" s="235"/>
      <c r="Y1038" s="228" t="str">
        <f t="shared" si="29"/>
        <v>TinMalaysia Smelting Corporation (MSC)</v>
      </c>
    </row>
    <row r="1039" spans="1:25" s="228" customFormat="1" ht="20.25">
      <c r="A1039" s="161" t="s">
        <v>1377</v>
      </c>
      <c r="B1039" s="408" t="s">
        <v>2324</v>
      </c>
      <c r="C1039" s="297" t="str">
        <f>IF(LEN(A1039)=0,"",INDEX('[2]Smelter Reference List'!$C$1:$C$65536,MATCH($A1039,'[2]Smelter Reference List'!$E$1:$E$65536,0)))</f>
        <v>China Tin Group Co., Ltd.</v>
      </c>
      <c r="D1039" s="161" t="s">
        <v>2578</v>
      </c>
      <c r="E1039" s="161" t="s">
        <v>2181</v>
      </c>
      <c r="F1039" s="161" t="s">
        <v>1377</v>
      </c>
      <c r="G1039" s="161" t="s">
        <v>3125</v>
      </c>
      <c r="H1039" s="247">
        <v>0</v>
      </c>
      <c r="I1039" s="248" t="s">
        <v>3476</v>
      </c>
      <c r="J1039" s="248" t="s">
        <v>3442</v>
      </c>
      <c r="K1039" s="245"/>
      <c r="L1039" s="245"/>
      <c r="M1039" s="245"/>
      <c r="N1039" s="245"/>
      <c r="O1039" s="245"/>
      <c r="P1039" s="245"/>
      <c r="Q1039" s="246"/>
      <c r="R1039" s="233"/>
      <c r="S1039" s="234">
        <f>IF(C1039="",NA(),MATCH($B1039&amp;$C1039,'Smelter Reference List'!$J:$J,0))</f>
        <v>318</v>
      </c>
      <c r="T1039" s="235"/>
      <c r="U1039" s="235">
        <f t="shared" si="28"/>
        <v>0</v>
      </c>
      <c r="V1039" s="235"/>
      <c r="W1039" s="235"/>
      <c r="Y1039" s="228" t="str">
        <f t="shared" si="29"/>
        <v>TinChina Tin Group Co., Ltd.</v>
      </c>
    </row>
    <row r="1040" spans="1:25" s="228" customFormat="1" ht="20.25">
      <c r="A1040" s="161" t="s">
        <v>1407</v>
      </c>
      <c r="B1040" s="408" t="s">
        <v>2324</v>
      </c>
      <c r="C1040" s="297" t="str">
        <f>IF(LEN(A1040)=0,"",INDEX('[2]Smelter Reference List'!$C$1:$C$65536,MATCH($A1040,'[2]Smelter Reference List'!$E$1:$E$65536,0)))</f>
        <v>Yunnan Tin Company Limited</v>
      </c>
      <c r="D1040" s="161" t="s">
        <v>4749</v>
      </c>
      <c r="E1040" s="161" t="s">
        <v>2181</v>
      </c>
      <c r="F1040" s="161" t="s">
        <v>1407</v>
      </c>
      <c r="G1040" s="161" t="s">
        <v>3125</v>
      </c>
      <c r="H1040" s="247">
        <v>0</v>
      </c>
      <c r="I1040" s="248" t="s">
        <v>3468</v>
      </c>
      <c r="J1040" s="248" t="s">
        <v>3161</v>
      </c>
      <c r="K1040" s="245"/>
      <c r="L1040" s="245"/>
      <c r="M1040" s="245"/>
      <c r="N1040" s="245"/>
      <c r="O1040" s="245"/>
      <c r="P1040" s="245"/>
      <c r="Q1040" s="246"/>
      <c r="R1040" s="233"/>
      <c r="S1040" s="234">
        <f>IF(C1040="",NA(),MATCH($B1040&amp;$C1040,'Smelter Reference List'!$J:$J,0))</f>
        <v>462</v>
      </c>
      <c r="T1040" s="235"/>
      <c r="U1040" s="235">
        <f t="shared" si="28"/>
        <v>0</v>
      </c>
      <c r="V1040" s="235"/>
      <c r="W1040" s="235"/>
      <c r="Y1040" s="228" t="str">
        <f t="shared" si="29"/>
        <v>TinYunnan Tin Company Limited</v>
      </c>
    </row>
    <row r="1041" spans="1:25" s="228" customFormat="1" ht="20.25">
      <c r="A1041" s="161" t="s">
        <v>1264</v>
      </c>
      <c r="B1041" s="408" t="s">
        <v>2323</v>
      </c>
      <c r="C1041" s="297" t="str">
        <f>IF(LEN(A1041)=0,"",INDEX('[2]Smelter Reference List'!$C$1:$C$65536,MATCH($A1041,'[2]Smelter Reference List'!$E$1:$E$65536,0)))</f>
        <v>Heraeus Ltd. Hong Kong</v>
      </c>
      <c r="D1041" s="161" t="s">
        <v>72</v>
      </c>
      <c r="E1041" s="161" t="s">
        <v>2181</v>
      </c>
      <c r="F1041" s="161" t="s">
        <v>1264</v>
      </c>
      <c r="G1041" s="161" t="s">
        <v>3125</v>
      </c>
      <c r="H1041" s="247">
        <v>0</v>
      </c>
      <c r="I1041" s="248" t="s">
        <v>3190</v>
      </c>
      <c r="J1041" s="248" t="s">
        <v>3191</v>
      </c>
      <c r="K1041" s="245"/>
      <c r="L1041" s="245"/>
      <c r="M1041" s="245"/>
      <c r="N1041" s="245"/>
      <c r="O1041" s="245"/>
      <c r="P1041" s="245"/>
      <c r="Q1041" s="246"/>
      <c r="R1041" s="233"/>
      <c r="S1041" s="234">
        <f>IF(C1041="",NA(),MATCH($B1041&amp;$C1041,'Smelter Reference List'!$J:$J,0))</f>
        <v>75</v>
      </c>
      <c r="T1041" s="235"/>
      <c r="U1041" s="235">
        <f t="shared" si="28"/>
        <v>0</v>
      </c>
      <c r="V1041" s="235"/>
      <c r="W1041" s="235"/>
      <c r="Y1041" s="228" t="str">
        <f t="shared" si="29"/>
        <v>GoldHeraeus Ltd. Hong Kong</v>
      </c>
    </row>
    <row r="1042" spans="1:25" s="228" customFormat="1" ht="20.25">
      <c r="A1042" s="161" t="s">
        <v>1336</v>
      </c>
      <c r="B1042" s="408" t="s">
        <v>2323</v>
      </c>
      <c r="C1042" s="297" t="str">
        <f>IF(LEN(A1042)=0,"",INDEX('[2]Smelter Reference List'!$C$1:$C$65536,MATCH($A1042,'[2]Smelter Reference List'!$E$1:$E$65536,0)))</f>
        <v>Zhongyuan Gold Smelter of Zhongjin Gold Corporation</v>
      </c>
      <c r="D1042" s="161" t="s">
        <v>2575</v>
      </c>
      <c r="E1042" s="161" t="s">
        <v>2181</v>
      </c>
      <c r="F1042" s="161" t="s">
        <v>1336</v>
      </c>
      <c r="G1042" s="161" t="s">
        <v>3125</v>
      </c>
      <c r="H1042" s="247">
        <v>0</v>
      </c>
      <c r="I1042" s="248" t="s">
        <v>3326</v>
      </c>
      <c r="J1042" s="248" t="s">
        <v>3224</v>
      </c>
      <c r="K1042" s="245"/>
      <c r="L1042" s="245"/>
      <c r="M1042" s="245"/>
      <c r="N1042" s="245"/>
      <c r="O1042" s="245"/>
      <c r="P1042" s="245"/>
      <c r="Q1042" s="246"/>
      <c r="R1042" s="233"/>
      <c r="S1042" s="234">
        <f>IF(C1042="",NA(),MATCH($B1042&amp;$C1042,'Smelter Reference List'!$J:$J,0))</f>
        <v>234</v>
      </c>
      <c r="T1042" s="235"/>
      <c r="U1042" s="235">
        <f t="shared" si="28"/>
        <v>0</v>
      </c>
      <c r="V1042" s="235"/>
      <c r="W1042" s="235"/>
      <c r="Y1042" s="228" t="str">
        <f t="shared" si="29"/>
        <v>GoldZhongyuan Gold Smelter of Zhongjin Gold Corporation</v>
      </c>
    </row>
    <row r="1043" spans="1:25" s="228" customFormat="1" ht="20.25">
      <c r="A1043" s="161" t="s">
        <v>1316</v>
      </c>
      <c r="B1043" s="408" t="s">
        <v>2323</v>
      </c>
      <c r="C1043" s="297" t="str">
        <f>IF(LEN(A1043)=0,"",INDEX('[2]Smelter Reference List'!$C$1:$C$65536,MATCH($A1043,'[2]Smelter Reference List'!$E$1:$E$65536,0)))</f>
        <v>Shandong Zhaojin Gold &amp; Silver Refinery Co., Ltd.</v>
      </c>
      <c r="D1043" s="161" t="s">
        <v>4174</v>
      </c>
      <c r="E1043" s="161" t="s">
        <v>2181</v>
      </c>
      <c r="F1043" s="161" t="s">
        <v>1316</v>
      </c>
      <c r="G1043" s="161" t="s">
        <v>3125</v>
      </c>
      <c r="H1043" s="247">
        <v>0</v>
      </c>
      <c r="I1043" s="248" t="s">
        <v>3185</v>
      </c>
      <c r="J1043" s="248" t="s">
        <v>3264</v>
      </c>
      <c r="K1043" s="245"/>
      <c r="L1043" s="245"/>
      <c r="M1043" s="245"/>
      <c r="N1043" s="245"/>
      <c r="O1043" s="245"/>
      <c r="P1043" s="245"/>
      <c r="Q1043" s="246"/>
      <c r="R1043" s="233"/>
      <c r="S1043" s="234">
        <f>IF(C1043="",NA(),MATCH($B1043&amp;$C1043,'Smelter Reference List'!$J:$J,0))</f>
        <v>176</v>
      </c>
      <c r="T1043" s="235"/>
      <c r="U1043" s="235">
        <f t="shared" si="28"/>
        <v>0</v>
      </c>
      <c r="V1043" s="235"/>
      <c r="W1043" s="235"/>
      <c r="Y1043" s="228" t="str">
        <f t="shared" si="29"/>
        <v>GoldShandong Zhaojin Gold &amp; Silver Refinery Co., Ltd.</v>
      </c>
    </row>
    <row r="1044" spans="1:25" s="228" customFormat="1" ht="20.25">
      <c r="A1044" s="161" t="s">
        <v>1324</v>
      </c>
      <c r="B1044" s="408" t="s">
        <v>2323</v>
      </c>
      <c r="C1044" s="297" t="str">
        <f>IF(LEN(A1044)=0,"",INDEX('[2]Smelter Reference List'!$C$1:$C$65536,MATCH($A1044,'[2]Smelter Reference List'!$E$1:$E$65536,0)))</f>
        <v>The Refinery of Shandong Gold Mining Co., Ltd.</v>
      </c>
      <c r="D1044" s="161" t="s">
        <v>4177</v>
      </c>
      <c r="E1044" s="161" t="s">
        <v>2181</v>
      </c>
      <c r="F1044" s="161" t="s">
        <v>1324</v>
      </c>
      <c r="G1044" s="161" t="s">
        <v>3125</v>
      </c>
      <c r="H1044" s="247">
        <v>0</v>
      </c>
      <c r="I1044" s="248" t="s">
        <v>3286</v>
      </c>
      <c r="J1044" s="248" t="s">
        <v>3263</v>
      </c>
      <c r="K1044" s="245"/>
      <c r="L1044" s="245"/>
      <c r="M1044" s="245"/>
      <c r="N1044" s="245"/>
      <c r="O1044" s="245"/>
      <c r="P1044" s="245"/>
      <c r="Q1044" s="246"/>
      <c r="R1044" s="233"/>
      <c r="S1044" s="234">
        <f>IF(C1044="",NA(),MATCH($B1044&amp;$C1044,'Smelter Reference List'!$J:$J,0))</f>
        <v>204</v>
      </c>
      <c r="T1044" s="235"/>
      <c r="U1044" s="235">
        <f t="shared" si="28"/>
        <v>0</v>
      </c>
      <c r="V1044" s="235"/>
      <c r="W1044" s="235"/>
      <c r="Y1044" s="228" t="str">
        <f t="shared" si="29"/>
        <v>GoldThe Refinery of Shandong Gold Mining Co., Ltd.</v>
      </c>
    </row>
    <row r="1045" spans="1:25" s="228" customFormat="1" ht="20.25">
      <c r="A1045" s="161" t="s">
        <v>1235</v>
      </c>
      <c r="B1045" s="420" t="s">
        <v>2323</v>
      </c>
      <c r="C1045" s="297" t="str">
        <f>IF(LEN(A1045)=0,"",INDEX('[2]Smelter Reference List'!$C$1:$C$65536,MATCH($A1045,'[2]Smelter Reference List'!$E$1:$E$65536,0)))</f>
        <v>Allgemeine Gold-und Silberscheideanstalt A.G.</v>
      </c>
      <c r="D1045" s="161" t="s">
        <v>70</v>
      </c>
      <c r="E1045" s="161" t="s">
        <v>2195</v>
      </c>
      <c r="F1045" s="161" t="s">
        <v>1235</v>
      </c>
      <c r="G1045" s="161" t="s">
        <v>3125</v>
      </c>
      <c r="H1045" s="247">
        <v>0</v>
      </c>
      <c r="I1045" s="248" t="s">
        <v>3130</v>
      </c>
      <c r="J1045" s="248" t="s">
        <v>3131</v>
      </c>
      <c r="K1045" s="245"/>
      <c r="L1045" s="245"/>
      <c r="M1045" s="245"/>
      <c r="N1045" s="245"/>
      <c r="O1045" s="245"/>
      <c r="P1045" s="245"/>
      <c r="Q1045" s="246"/>
      <c r="R1045" s="233"/>
      <c r="S1045" s="234">
        <f>IF(C1045="",NA(),MATCH($B1045&amp;$C1045,'Smelter Reference List'!$J:$J,0))</f>
        <v>11</v>
      </c>
      <c r="T1045" s="235"/>
      <c r="U1045" s="235">
        <f t="shared" si="28"/>
        <v>0</v>
      </c>
      <c r="V1045" s="235"/>
      <c r="W1045" s="235"/>
      <c r="Y1045" s="228" t="str">
        <f t="shared" si="29"/>
        <v>GoldAllgemeine Gold-und Silberscheideanstalt A.G.</v>
      </c>
    </row>
    <row r="1046" spans="1:25" s="228" customFormat="1" ht="20.25">
      <c r="A1046" s="161" t="s">
        <v>1238</v>
      </c>
      <c r="B1046" s="420" t="s">
        <v>2323</v>
      </c>
      <c r="C1046" s="297" t="str">
        <f>IF(LEN(A1046)=0,"",INDEX('[2]Smelter Reference List'!$C$1:$C$65536,MATCH($A1046,'[2]Smelter Reference List'!$E$1:$E$65536,0)))</f>
        <v>Argor-Heraeus S.A.</v>
      </c>
      <c r="D1046" s="161" t="s">
        <v>4669</v>
      </c>
      <c r="E1046" s="161" t="s">
        <v>2179</v>
      </c>
      <c r="F1046" s="161" t="s">
        <v>1238</v>
      </c>
      <c r="G1046" s="161" t="s">
        <v>3125</v>
      </c>
      <c r="H1046" s="247">
        <v>0</v>
      </c>
      <c r="I1046" s="248" t="s">
        <v>3137</v>
      </c>
      <c r="J1046" s="248" t="s">
        <v>3138</v>
      </c>
      <c r="K1046" s="245"/>
      <c r="L1046" s="245"/>
      <c r="M1046" s="245"/>
      <c r="N1046" s="245"/>
      <c r="O1046" s="245"/>
      <c r="P1046" s="245"/>
      <c r="Q1046" s="246"/>
      <c r="R1046" s="233"/>
      <c r="S1046" s="234">
        <f>IF(C1046="",NA(),MATCH($B1046&amp;$C1046,'Smelter Reference List'!$J:$J,0))</f>
        <v>17</v>
      </c>
      <c r="T1046" s="235"/>
      <c r="U1046" s="235">
        <f t="shared" si="28"/>
        <v>0</v>
      </c>
      <c r="V1046" s="235"/>
      <c r="W1046" s="235"/>
      <c r="Y1046" s="228" t="str">
        <f t="shared" si="29"/>
        <v>GoldArgor-Heraeus S.A.</v>
      </c>
    </row>
    <row r="1047" spans="1:25" s="228" customFormat="1" ht="20.25">
      <c r="A1047" s="161" t="s">
        <v>1239</v>
      </c>
      <c r="B1047" s="420" t="s">
        <v>2323</v>
      </c>
      <c r="C1047" s="297" t="str">
        <f>IF(LEN(A1047)=0,"",INDEX('[2]Smelter Reference List'!$C$1:$C$65536,MATCH($A1047,'[2]Smelter Reference List'!$E$1:$E$65536,0)))</f>
        <v>Asahi Pretec Corp.</v>
      </c>
      <c r="D1047" s="161" t="s">
        <v>4670</v>
      </c>
      <c r="E1047" s="161" t="s">
        <v>2249</v>
      </c>
      <c r="F1047" s="161" t="s">
        <v>1239</v>
      </c>
      <c r="G1047" s="161" t="s">
        <v>3125</v>
      </c>
      <c r="H1047" s="247">
        <v>0</v>
      </c>
      <c r="I1047" s="248" t="s">
        <v>3139</v>
      </c>
      <c r="J1047" s="248" t="s">
        <v>3140</v>
      </c>
      <c r="K1047" s="245"/>
      <c r="L1047" s="245"/>
      <c r="M1047" s="245"/>
      <c r="N1047" s="245"/>
      <c r="O1047" s="245"/>
      <c r="P1047" s="245"/>
      <c r="Q1047" s="246"/>
      <c r="R1047" s="233"/>
      <c r="S1047" s="234">
        <f>IF(C1047="",NA(),MATCH($B1047&amp;$C1047,'Smelter Reference List'!$J:$J,0))</f>
        <v>18</v>
      </c>
      <c r="T1047" s="235"/>
      <c r="U1047" s="235">
        <f t="shared" si="28"/>
        <v>0</v>
      </c>
      <c r="V1047" s="235"/>
      <c r="W1047" s="235"/>
      <c r="Y1047" s="228" t="str">
        <f t="shared" si="29"/>
        <v>GoldAsahi Pretec Corp.</v>
      </c>
    </row>
    <row r="1048" spans="1:25" s="228" customFormat="1" ht="20.25">
      <c r="A1048" s="161" t="s">
        <v>727</v>
      </c>
      <c r="B1048" s="420" t="s">
        <v>2323</v>
      </c>
      <c r="C1048" s="297" t="str">
        <f>IF(LEN(A1048)=0,"",INDEX('[2]Smelter Reference List'!$C$1:$C$65536,MATCH($A1048,'[2]Smelter Reference List'!$E$1:$E$65536,0)))</f>
        <v>Eco-System Recycling Co., Ltd.</v>
      </c>
      <c r="D1048" s="161" t="s">
        <v>726</v>
      </c>
      <c r="E1048" s="161" t="s">
        <v>2249</v>
      </c>
      <c r="F1048" s="161" t="s">
        <v>727</v>
      </c>
      <c r="G1048" s="161" t="s">
        <v>3125</v>
      </c>
      <c r="H1048" s="247">
        <v>0</v>
      </c>
      <c r="I1048" s="248" t="s">
        <v>3178</v>
      </c>
      <c r="J1048" s="248" t="s">
        <v>3179</v>
      </c>
      <c r="K1048" s="245"/>
      <c r="L1048" s="245"/>
      <c r="M1048" s="245"/>
      <c r="N1048" s="245"/>
      <c r="O1048" s="245"/>
      <c r="P1048" s="245"/>
      <c r="Q1048" s="246"/>
      <c r="R1048" s="233"/>
      <c r="S1048" s="234">
        <f>IF(C1048="",NA(),MATCH($B1048&amp;$C1048,'Smelter Reference List'!$J:$J,0))</f>
        <v>54</v>
      </c>
      <c r="T1048" s="235"/>
      <c r="U1048" s="235">
        <f t="shared" si="28"/>
        <v>0</v>
      </c>
      <c r="V1048" s="235"/>
      <c r="W1048" s="235"/>
      <c r="Y1048" s="228" t="str">
        <f t="shared" si="29"/>
        <v>GoldEco-System Recycling Co., Ltd.</v>
      </c>
    </row>
    <row r="1049" spans="1:25" s="228" customFormat="1" ht="20.25">
      <c r="A1049" s="161" t="s">
        <v>1269</v>
      </c>
      <c r="B1049" s="420" t="s">
        <v>2323</v>
      </c>
      <c r="C1049" s="297" t="str">
        <f>IF(LEN(A1049)=0,"",INDEX('[2]Smelter Reference List'!$C$1:$C$65536,MATCH($A1049,'[2]Smelter Reference List'!$E$1:$E$65536,0)))</f>
        <v>Ishifuku Metal Industry Co., Ltd.</v>
      </c>
      <c r="D1049" s="161" t="s">
        <v>2452</v>
      </c>
      <c r="E1049" s="161" t="s">
        <v>2249</v>
      </c>
      <c r="F1049" s="161" t="s">
        <v>1269</v>
      </c>
      <c r="G1049" s="161" t="s">
        <v>3125</v>
      </c>
      <c r="H1049" s="247">
        <v>0</v>
      </c>
      <c r="I1049" s="248" t="s">
        <v>3199</v>
      </c>
      <c r="J1049" s="248" t="s">
        <v>3179</v>
      </c>
      <c r="K1049" s="245"/>
      <c r="L1049" s="245"/>
      <c r="M1049" s="245"/>
      <c r="N1049" s="245"/>
      <c r="O1049" s="245"/>
      <c r="P1049" s="245"/>
      <c r="Q1049" s="246"/>
      <c r="R1049" s="233"/>
      <c r="S1049" s="234">
        <f>IF(C1049="",NA(),MATCH($B1049&amp;$C1049,'Smelter Reference List'!$J:$J,0))</f>
        <v>82</v>
      </c>
      <c r="T1049" s="235"/>
      <c r="U1049" s="235">
        <f t="shared" si="28"/>
        <v>0</v>
      </c>
      <c r="V1049" s="235"/>
      <c r="W1049" s="235"/>
      <c r="Y1049" s="228" t="str">
        <f t="shared" si="29"/>
        <v>GoldIshifuku Metal Industry Co., Ltd.</v>
      </c>
    </row>
    <row r="1050" spans="1:25" s="228" customFormat="1" ht="20.25">
      <c r="A1050" s="161" t="s">
        <v>1280</v>
      </c>
      <c r="B1050" s="420" t="s">
        <v>2323</v>
      </c>
      <c r="C1050" s="297" t="str">
        <f>IF(LEN(A1050)=0,"",INDEX('[2]Smelter Reference List'!$C$1:$C$65536,MATCH($A1050,'[2]Smelter Reference List'!$E$1:$E$65536,0)))</f>
        <v>Kennecott Utah Copper LLC</v>
      </c>
      <c r="D1050" s="161" t="s">
        <v>1279</v>
      </c>
      <c r="E1050" s="161" t="s">
        <v>1759</v>
      </c>
      <c r="F1050" s="161" t="s">
        <v>1280</v>
      </c>
      <c r="G1050" s="161" t="s">
        <v>3125</v>
      </c>
      <c r="H1050" s="247">
        <v>0</v>
      </c>
      <c r="I1050" s="248" t="s">
        <v>3215</v>
      </c>
      <c r="J1050" s="248" t="s">
        <v>3207</v>
      </c>
      <c r="K1050" s="245"/>
      <c r="L1050" s="245"/>
      <c r="M1050" s="245"/>
      <c r="N1050" s="245"/>
      <c r="O1050" s="245"/>
      <c r="P1050" s="245"/>
      <c r="Q1050" s="246"/>
      <c r="R1050" s="233"/>
      <c r="S1050" s="234">
        <f>IF(C1050="",NA(),MATCH($B1050&amp;$C1050,'Smelter Reference List'!$J:$J,0))</f>
        <v>97</v>
      </c>
      <c r="T1050" s="235"/>
      <c r="U1050" s="235">
        <f t="shared" si="28"/>
        <v>0</v>
      </c>
      <c r="V1050" s="235"/>
      <c r="W1050" s="235"/>
      <c r="Y1050" s="228" t="str">
        <f t="shared" si="29"/>
        <v>GoldKennecott Utah Copper LLC</v>
      </c>
    </row>
    <row r="1051" spans="1:25" s="228" customFormat="1" ht="20.25">
      <c r="A1051" s="161" t="s">
        <v>1281</v>
      </c>
      <c r="B1051" s="420" t="s">
        <v>2323</v>
      </c>
      <c r="C1051" s="297" t="str">
        <f>IF(LEN(A1051)=0,"",INDEX('[2]Smelter Reference List'!$C$1:$C$65536,MATCH($A1051,'[2]Smelter Reference List'!$E$1:$E$65536,0)))</f>
        <v>Kojima Chemicals Co., Ltd.</v>
      </c>
      <c r="D1051" s="161" t="s">
        <v>4158</v>
      </c>
      <c r="E1051" s="161" t="s">
        <v>2249</v>
      </c>
      <c r="F1051" s="161" t="s">
        <v>1281</v>
      </c>
      <c r="G1051" s="161" t="s">
        <v>3125</v>
      </c>
      <c r="H1051" s="247">
        <v>0</v>
      </c>
      <c r="I1051" s="248" t="s">
        <v>3216</v>
      </c>
      <c r="J1051" s="248" t="s">
        <v>3179</v>
      </c>
      <c r="K1051" s="245"/>
      <c r="L1051" s="245"/>
      <c r="M1051" s="245"/>
      <c r="N1051" s="245"/>
      <c r="O1051" s="245"/>
      <c r="P1051" s="245"/>
      <c r="Q1051" s="246"/>
      <c r="R1051" s="233"/>
      <c r="S1051" s="234">
        <f>IF(C1051="",NA(),MATCH($B1051&amp;$C1051,'Smelter Reference List'!$J:$J,0))</f>
        <v>99</v>
      </c>
      <c r="T1051" s="235"/>
      <c r="U1051" s="235">
        <f t="shared" si="28"/>
        <v>0</v>
      </c>
      <c r="V1051" s="235"/>
      <c r="W1051" s="235"/>
      <c r="Y1051" s="228" t="str">
        <f t="shared" si="29"/>
        <v>GoldKojima Chemicals Co., Ltd.</v>
      </c>
    </row>
    <row r="1052" spans="1:25" s="228" customFormat="1" ht="20.25">
      <c r="A1052" s="161" t="s">
        <v>1290</v>
      </c>
      <c r="B1052" s="420" t="s">
        <v>2323</v>
      </c>
      <c r="C1052" s="297" t="str">
        <f>IF(LEN(A1052)=0,"",INDEX('[2]Smelter Reference List'!$C$1:$C$65536,MATCH($A1052,'[2]Smelter Reference List'!$E$1:$E$65536,0)))</f>
        <v>Matsuda Sangyo Co., Ltd.</v>
      </c>
      <c r="D1052" s="161" t="s">
        <v>75</v>
      </c>
      <c r="E1052" s="161" t="s">
        <v>2249</v>
      </c>
      <c r="F1052" s="161" t="s">
        <v>1290</v>
      </c>
      <c r="G1052" s="161" t="s">
        <v>3125</v>
      </c>
      <c r="H1052" s="247">
        <v>0</v>
      </c>
      <c r="I1052" s="248" t="s">
        <v>3231</v>
      </c>
      <c r="J1052" s="248" t="s">
        <v>3179</v>
      </c>
      <c r="K1052" s="245"/>
      <c r="L1052" s="245"/>
      <c r="M1052" s="245"/>
      <c r="N1052" s="245"/>
      <c r="O1052" s="245"/>
      <c r="P1052" s="245"/>
      <c r="Q1052" s="246"/>
      <c r="R1052" s="233"/>
      <c r="S1052" s="234">
        <f>IF(C1052="",NA(),MATCH($B1052&amp;$C1052,'Smelter Reference List'!$J:$J,0))</f>
        <v>116</v>
      </c>
      <c r="T1052" s="235"/>
      <c r="U1052" s="235">
        <f t="shared" si="28"/>
        <v>0</v>
      </c>
      <c r="V1052" s="235"/>
      <c r="W1052" s="235"/>
      <c r="Y1052" s="228" t="str">
        <f t="shared" si="29"/>
        <v>GoldMatsuda Sangyo Co., Ltd.</v>
      </c>
    </row>
    <row r="1053" spans="1:25" s="228" customFormat="1" ht="20.25">
      <c r="A1053" s="161" t="s">
        <v>1294</v>
      </c>
      <c r="B1053" s="420" t="s">
        <v>2323</v>
      </c>
      <c r="C1053" s="297" t="str">
        <f>IF(LEN(A1053)=0,"",INDEX('[2]Smelter Reference List'!$C$1:$C$65536,MATCH($A1053,'[2]Smelter Reference List'!$E$1:$E$65536,0)))</f>
        <v>Metalor USA Refining Corporation</v>
      </c>
      <c r="D1053" s="161" t="s">
        <v>2453</v>
      </c>
      <c r="E1053" s="161" t="s">
        <v>1759</v>
      </c>
      <c r="F1053" s="161" t="s">
        <v>1294</v>
      </c>
      <c r="G1053" s="161" t="s">
        <v>3125</v>
      </c>
      <c r="H1053" s="247">
        <v>0</v>
      </c>
      <c r="I1053" s="248" t="s">
        <v>3241</v>
      </c>
      <c r="J1053" s="248" t="s">
        <v>3242</v>
      </c>
      <c r="K1053" s="245"/>
      <c r="L1053" s="245"/>
      <c r="M1053" s="245"/>
      <c r="N1053" s="245"/>
      <c r="O1053" s="245"/>
      <c r="P1053" s="245"/>
      <c r="Q1053" s="246"/>
      <c r="R1053" s="233"/>
      <c r="S1053" s="234">
        <f>IF(C1053="",NA(),MATCH($B1053&amp;$C1053,'Smelter Reference List'!$J:$J,0))</f>
        <v>124</v>
      </c>
      <c r="T1053" s="235"/>
      <c r="U1053" s="235">
        <f t="shared" si="28"/>
        <v>0</v>
      </c>
      <c r="V1053" s="235"/>
      <c r="W1053" s="235"/>
      <c r="Y1053" s="228" t="str">
        <f t="shared" si="29"/>
        <v>GoldMetalor USA Refining Corporation</v>
      </c>
    </row>
    <row r="1054" spans="1:25" s="228" customFormat="1" ht="20.25">
      <c r="A1054" s="161" t="s">
        <v>1289</v>
      </c>
      <c r="B1054" s="420" t="s">
        <v>2323</v>
      </c>
      <c r="C1054" s="297" t="str">
        <f>IF(LEN(A1054)=0,"",INDEX('[2]Smelter Reference List'!$C$1:$C$65536,MATCH($A1054,'[2]Smelter Reference List'!$E$1:$E$65536,0)))</f>
        <v>Materion</v>
      </c>
      <c r="D1054" s="161" t="s">
        <v>1792</v>
      </c>
      <c r="E1054" s="161" t="s">
        <v>1759</v>
      </c>
      <c r="F1054" s="161" t="s">
        <v>1289</v>
      </c>
      <c r="G1054" s="161" t="s">
        <v>3125</v>
      </c>
      <c r="H1054" s="247">
        <v>0</v>
      </c>
      <c r="I1054" s="248" t="s">
        <v>3229</v>
      </c>
      <c r="J1054" s="248" t="s">
        <v>3230</v>
      </c>
      <c r="K1054" s="245"/>
      <c r="L1054" s="245"/>
      <c r="M1054" s="245"/>
      <c r="N1054" s="245"/>
      <c r="O1054" s="245"/>
      <c r="P1054" s="245"/>
      <c r="Q1054" s="246"/>
      <c r="R1054" s="233"/>
      <c r="S1054" s="234">
        <f>IF(C1054="",NA(),MATCH($B1054&amp;$C1054,'Smelter Reference List'!$J:$J,0))</f>
        <v>115</v>
      </c>
      <c r="T1054" s="235"/>
      <c r="U1054" s="235">
        <f t="shared" si="28"/>
        <v>0</v>
      </c>
      <c r="V1054" s="235"/>
      <c r="W1054" s="235"/>
      <c r="Y1054" s="228" t="str">
        <f t="shared" si="29"/>
        <v>GoldMaterion</v>
      </c>
    </row>
    <row r="1055" spans="1:25" s="228" customFormat="1" ht="20.25">
      <c r="A1055" s="161" t="s">
        <v>1301</v>
      </c>
      <c r="B1055" s="420" t="s">
        <v>2323</v>
      </c>
      <c r="C1055" s="297" t="str">
        <f>IF(LEN(A1055)=0,"",INDEX('[2]Smelter Reference List'!$C$1:$C$65536,MATCH($A1055,'[2]Smelter Reference List'!$E$1:$E$65536,0)))</f>
        <v>Nihon Material Co., Ltd.</v>
      </c>
      <c r="D1055" s="161" t="s">
        <v>4166</v>
      </c>
      <c r="E1055" s="161" t="s">
        <v>2249</v>
      </c>
      <c r="F1055" s="161" t="s">
        <v>1301</v>
      </c>
      <c r="G1055" s="161" t="s">
        <v>3125</v>
      </c>
      <c r="H1055" s="247">
        <v>0</v>
      </c>
      <c r="I1055" s="248" t="s">
        <v>3253</v>
      </c>
      <c r="J1055" s="248" t="s">
        <v>3254</v>
      </c>
      <c r="K1055" s="245"/>
      <c r="L1055" s="245"/>
      <c r="M1055" s="245"/>
      <c r="N1055" s="245"/>
      <c r="O1055" s="245"/>
      <c r="P1055" s="245"/>
      <c r="Q1055" s="246"/>
      <c r="R1055" s="233"/>
      <c r="S1055" s="234">
        <f>IF(C1055="",NA(),MATCH($B1055&amp;$C1055,'Smelter Reference List'!$J:$J,0))</f>
        <v>137</v>
      </c>
      <c r="T1055" s="235"/>
      <c r="U1055" s="235">
        <f t="shared" si="28"/>
        <v>0</v>
      </c>
      <c r="V1055" s="235"/>
      <c r="W1055" s="235"/>
      <c r="Y1055" s="228" t="str">
        <f t="shared" si="29"/>
        <v>GoldNihon Material Co., Ltd.</v>
      </c>
    </row>
    <row r="1056" spans="1:25" s="228" customFormat="1" ht="20.25">
      <c r="A1056" s="161" t="s">
        <v>1302</v>
      </c>
      <c r="B1056" s="420" t="s">
        <v>2323</v>
      </c>
      <c r="C1056" s="297" t="str">
        <f>IF(LEN(A1056)=0,"",INDEX('[2]Smelter Reference List'!$C$1:$C$65536,MATCH($A1056,'[2]Smelter Reference List'!$E$1:$E$65536,0)))</f>
        <v>Elemetal Refining, LLC</v>
      </c>
      <c r="D1056" s="161" t="s">
        <v>4268</v>
      </c>
      <c r="E1056" s="161" t="s">
        <v>1759</v>
      </c>
      <c r="F1056" s="161" t="s">
        <v>1302</v>
      </c>
      <c r="G1056" s="161" t="s">
        <v>3125</v>
      </c>
      <c r="H1056" s="247">
        <v>0</v>
      </c>
      <c r="I1056" s="248" t="s">
        <v>3255</v>
      </c>
      <c r="J1056" s="248" t="s">
        <v>3256</v>
      </c>
      <c r="K1056" s="245"/>
      <c r="L1056" s="245"/>
      <c r="M1056" s="245"/>
      <c r="N1056" s="245"/>
      <c r="O1056" s="245"/>
      <c r="P1056" s="245"/>
      <c r="Q1056" s="246"/>
      <c r="R1056" s="233"/>
      <c r="S1056" s="234">
        <f>IF(C1056="",NA(),MATCH($B1056&amp;$C1056,'Smelter Reference List'!$J:$J,0))</f>
        <v>55</v>
      </c>
      <c r="T1056" s="235"/>
      <c r="U1056" s="235">
        <f t="shared" si="28"/>
        <v>0</v>
      </c>
      <c r="V1056" s="235"/>
      <c r="W1056" s="235"/>
      <c r="Y1056" s="228" t="str">
        <f t="shared" si="29"/>
        <v>GoldElemetal Refining, LLC</v>
      </c>
    </row>
    <row r="1057" spans="1:25" s="228" customFormat="1" ht="20.25">
      <c r="A1057" s="161" t="s">
        <v>1305</v>
      </c>
      <c r="B1057" s="420" t="s">
        <v>2323</v>
      </c>
      <c r="C1057" s="297" t="str">
        <f>IF(LEN(A1057)=0,"",INDEX('[2]Smelter Reference List'!$C$1:$C$65536,MATCH($A1057,'[2]Smelter Reference List'!$E$1:$E$65536,0)))</f>
        <v>PAMP S.A.</v>
      </c>
      <c r="D1057" s="161" t="s">
        <v>4705</v>
      </c>
      <c r="E1057" s="161" t="s">
        <v>2179</v>
      </c>
      <c r="F1057" s="161" t="s">
        <v>1305</v>
      </c>
      <c r="G1057" s="161" t="s">
        <v>3125</v>
      </c>
      <c r="H1057" s="247">
        <v>0</v>
      </c>
      <c r="I1057" s="248" t="s">
        <v>3262</v>
      </c>
      <c r="J1057" s="248" t="s">
        <v>3138</v>
      </c>
      <c r="K1057" s="245"/>
      <c r="L1057" s="245"/>
      <c r="M1057" s="245"/>
      <c r="N1057" s="245"/>
      <c r="O1057" s="245"/>
      <c r="P1057" s="245"/>
      <c r="Q1057" s="246"/>
      <c r="R1057" s="233"/>
      <c r="S1057" s="234">
        <f>IF(C1057="",NA(),MATCH($B1057&amp;$C1057,'Smelter Reference List'!$J:$J,0))</f>
        <v>146</v>
      </c>
      <c r="T1057" s="235"/>
      <c r="U1057" s="235">
        <f t="shared" si="28"/>
        <v>0</v>
      </c>
      <c r="V1057" s="235"/>
      <c r="W1057" s="235"/>
      <c r="Y1057" s="228" t="str">
        <f t="shared" si="29"/>
        <v>GoldPAMP S.A.</v>
      </c>
    </row>
    <row r="1058" spans="1:25" s="228" customFormat="1" ht="20.25">
      <c r="A1058" s="161" t="s">
        <v>1311</v>
      </c>
      <c r="B1058" s="420" t="s">
        <v>2323</v>
      </c>
      <c r="C1058" s="297" t="str">
        <f>IF(LEN(A1058)=0,"",INDEX('[2]Smelter Reference List'!$C$1:$C$65536,MATCH($A1058,'[2]Smelter Reference List'!$E$1:$E$65536,0)))</f>
        <v>Royal Canadian Mint</v>
      </c>
      <c r="D1058" s="161" t="s">
        <v>1795</v>
      </c>
      <c r="E1058" s="161" t="s">
        <v>2177</v>
      </c>
      <c r="F1058" s="161" t="s">
        <v>1311</v>
      </c>
      <c r="G1058" s="161" t="s">
        <v>3125</v>
      </c>
      <c r="H1058" s="247">
        <v>0</v>
      </c>
      <c r="I1058" s="248" t="s">
        <v>3272</v>
      </c>
      <c r="J1058" s="248" t="s">
        <v>3210</v>
      </c>
      <c r="K1058" s="245"/>
      <c r="L1058" s="245"/>
      <c r="M1058" s="245"/>
      <c r="N1058" s="245"/>
      <c r="O1058" s="245"/>
      <c r="P1058" s="245"/>
      <c r="Q1058" s="246"/>
      <c r="R1058" s="233"/>
      <c r="S1058" s="234">
        <f>IF(C1058="",NA(),MATCH($B1058&amp;$C1058,'Smelter Reference List'!$J:$J,0))</f>
        <v>159</v>
      </c>
      <c r="T1058" s="235"/>
      <c r="U1058" s="235">
        <f t="shared" si="28"/>
        <v>0</v>
      </c>
      <c r="V1058" s="235"/>
      <c r="W1058" s="235"/>
      <c r="Y1058" s="228" t="str">
        <f t="shared" si="29"/>
        <v>GoldRoyal Canadian Mint</v>
      </c>
    </row>
    <row r="1059" spans="1:25" s="228" customFormat="1" ht="20.25">
      <c r="A1059" s="161" t="s">
        <v>1320</v>
      </c>
      <c r="B1059" s="420" t="s">
        <v>2323</v>
      </c>
      <c r="C1059" s="297" t="str">
        <f>IF(LEN(A1059)=0,"",INDEX('[2]Smelter Reference List'!$C$1:$C$65536,MATCH($A1059,'[2]Smelter Reference List'!$E$1:$E$65536,0)))</f>
        <v>Solar Applied Materials Technology Corp.</v>
      </c>
      <c r="D1059" s="161" t="s">
        <v>1797</v>
      </c>
      <c r="E1059" s="161" t="s">
        <v>1753</v>
      </c>
      <c r="F1059" s="161" t="s">
        <v>1320</v>
      </c>
      <c r="G1059" s="161" t="s">
        <v>3125</v>
      </c>
      <c r="H1059" s="247">
        <v>0</v>
      </c>
      <c r="I1059" s="248" t="s">
        <v>3295</v>
      </c>
      <c r="J1059" s="248" t="s">
        <v>3296</v>
      </c>
      <c r="K1059" s="245"/>
      <c r="L1059" s="245"/>
      <c r="M1059" s="245"/>
      <c r="N1059" s="245"/>
      <c r="O1059" s="245"/>
      <c r="P1059" s="245"/>
      <c r="Q1059" s="246"/>
      <c r="R1059" s="233"/>
      <c r="S1059" s="234">
        <f>IF(C1059="",NA(),MATCH($B1059&amp;$C1059,'Smelter Reference List'!$J:$J,0))</f>
        <v>185</v>
      </c>
      <c r="T1059" s="235"/>
      <c r="U1059" s="235">
        <f t="shared" si="28"/>
        <v>0</v>
      </c>
      <c r="V1059" s="235"/>
      <c r="W1059" s="235"/>
      <c r="Y1059" s="228" t="str">
        <f t="shared" si="29"/>
        <v>GoldSolar Applied Materials Technology Corp.</v>
      </c>
    </row>
    <row r="1060" spans="1:25" s="228" customFormat="1" ht="20.25">
      <c r="A1060" s="161" t="s">
        <v>1325</v>
      </c>
      <c r="B1060" s="420" t="s">
        <v>2323</v>
      </c>
      <c r="C1060" s="297" t="str">
        <f>IF(LEN(A1060)=0,"",INDEX('[2]Smelter Reference List'!$C$1:$C$65536,MATCH($A1060,'[2]Smelter Reference List'!$E$1:$E$65536,0)))</f>
        <v>Tokuriki Honten Co., Ltd.</v>
      </c>
      <c r="D1060" s="161" t="s">
        <v>4178</v>
      </c>
      <c r="E1060" s="161" t="s">
        <v>2249</v>
      </c>
      <c r="F1060" s="161" t="s">
        <v>1325</v>
      </c>
      <c r="G1060" s="161" t="s">
        <v>3125</v>
      </c>
      <c r="H1060" s="247">
        <v>0</v>
      </c>
      <c r="I1060" s="248" t="s">
        <v>3305</v>
      </c>
      <c r="J1060" s="248" t="s">
        <v>3179</v>
      </c>
      <c r="K1060" s="245"/>
      <c r="L1060" s="245"/>
      <c r="M1060" s="245"/>
      <c r="N1060" s="245"/>
      <c r="O1060" s="245"/>
      <c r="P1060" s="245"/>
      <c r="Q1060" s="246"/>
      <c r="R1060" s="233"/>
      <c r="S1060" s="234">
        <f>IF(C1060="",NA(),MATCH($B1060&amp;$C1060,'Smelter Reference List'!$J:$J,0))</f>
        <v>205</v>
      </c>
      <c r="T1060" s="235"/>
      <c r="U1060" s="235">
        <f t="shared" si="28"/>
        <v>0</v>
      </c>
      <c r="V1060" s="235"/>
      <c r="W1060" s="235"/>
      <c r="Y1060" s="228" t="str">
        <f t="shared" si="29"/>
        <v>GoldTokuriki Honten Co., Ltd.</v>
      </c>
    </row>
    <row r="1061" spans="1:25" s="228" customFormat="1" ht="20.25">
      <c r="A1061" s="161" t="s">
        <v>1329</v>
      </c>
      <c r="B1061" s="420" t="s">
        <v>2323</v>
      </c>
      <c r="C1061" s="297" t="str">
        <f>IF(LEN(A1061)=0,"",INDEX('[2]Smelter Reference List'!$C$1:$C$65536,MATCH($A1061,'[2]Smelter Reference List'!$E$1:$E$65536,0)))</f>
        <v>Umicore S.A. Business Unit Precious Metals Refining</v>
      </c>
      <c r="D1061" s="161" t="s">
        <v>4724</v>
      </c>
      <c r="E1061" s="161" t="s">
        <v>2158</v>
      </c>
      <c r="F1061" s="161" t="s">
        <v>1329</v>
      </c>
      <c r="G1061" s="161" t="s">
        <v>3125</v>
      </c>
      <c r="H1061" s="247">
        <v>0</v>
      </c>
      <c r="I1061" s="248" t="s">
        <v>3314</v>
      </c>
      <c r="J1061" s="248" t="s">
        <v>3315</v>
      </c>
      <c r="K1061" s="245"/>
      <c r="L1061" s="245"/>
      <c r="M1061" s="245"/>
      <c r="N1061" s="245"/>
      <c r="O1061" s="245"/>
      <c r="P1061" s="245"/>
      <c r="Q1061" s="246"/>
      <c r="R1061" s="233"/>
      <c r="S1061" s="234">
        <f>IF(C1061="",NA(),MATCH($B1061&amp;$C1061,'Smelter Reference List'!$J:$J,0))</f>
        <v>214</v>
      </c>
      <c r="T1061" s="235"/>
      <c r="U1061" s="235">
        <f t="shared" si="28"/>
        <v>0</v>
      </c>
      <c r="V1061" s="235"/>
      <c r="W1061" s="235"/>
      <c r="Y1061" s="228" t="str">
        <f t="shared" si="29"/>
        <v>GoldUmicore S.A. Business Unit Precious Metals Refining</v>
      </c>
    </row>
    <row r="1062" spans="1:25" s="228" customFormat="1" ht="20.25">
      <c r="A1062" s="161" t="s">
        <v>1330</v>
      </c>
      <c r="B1062" s="421" t="s">
        <v>2323</v>
      </c>
      <c r="C1062" s="297" t="str">
        <f>IF(LEN(A1062)=0,"",INDEX('[2]Smelter Reference List'!$C$1:$C$65536,MATCH($A1062,'[2]Smelter Reference List'!$E$1:$E$65536,0)))</f>
        <v>United Precious Metal Refining, Inc.</v>
      </c>
      <c r="D1062" s="161" t="s">
        <v>1470</v>
      </c>
      <c r="E1062" s="161" t="s">
        <v>1759</v>
      </c>
      <c r="F1062" s="161" t="s">
        <v>1330</v>
      </c>
      <c r="G1062" s="161" t="s">
        <v>3125</v>
      </c>
      <c r="H1062" s="247">
        <v>0</v>
      </c>
      <c r="I1062" s="248" t="s">
        <v>3316</v>
      </c>
      <c r="J1062" s="248" t="s">
        <v>3230</v>
      </c>
      <c r="K1062" s="245"/>
      <c r="L1062" s="245"/>
      <c r="M1062" s="245"/>
      <c r="N1062" s="245"/>
      <c r="O1062" s="245"/>
      <c r="P1062" s="245"/>
      <c r="Q1062" s="246"/>
      <c r="R1062" s="233"/>
      <c r="S1062" s="234">
        <f>IF(C1062="",NA(),MATCH($B1062&amp;$C1062,'Smelter Reference List'!$J:$J,0))</f>
        <v>215</v>
      </c>
      <c r="T1062" s="235"/>
      <c r="U1062" s="235">
        <f t="shared" si="28"/>
        <v>0</v>
      </c>
      <c r="V1062" s="235"/>
      <c r="W1062" s="235"/>
      <c r="Y1062" s="228" t="str">
        <f t="shared" si="29"/>
        <v>GoldUnited Precious Metal Refining, Inc.</v>
      </c>
    </row>
    <row r="1063" spans="1:25" s="228" customFormat="1" ht="20.25">
      <c r="A1063" s="161" t="s">
        <v>1332</v>
      </c>
      <c r="B1063" s="420" t="s">
        <v>2323</v>
      </c>
      <c r="C1063" s="297" t="str">
        <f>IF(LEN(A1063)=0,"",INDEX('[2]Smelter Reference List'!$C$1:$C$65536,MATCH($A1063,'[2]Smelter Reference List'!$E$1:$E$65536,0)))</f>
        <v>Western Australian Mint trading as The Perth Mint</v>
      </c>
      <c r="D1063" s="161" t="s">
        <v>2322</v>
      </c>
      <c r="E1063" s="161" t="s">
        <v>2154</v>
      </c>
      <c r="F1063" s="161" t="s">
        <v>1332</v>
      </c>
      <c r="G1063" s="161" t="s">
        <v>3125</v>
      </c>
      <c r="H1063" s="247">
        <v>0</v>
      </c>
      <c r="I1063" s="248" t="s">
        <v>3318</v>
      </c>
      <c r="J1063" s="248" t="s">
        <v>3319</v>
      </c>
      <c r="K1063" s="245"/>
      <c r="L1063" s="245"/>
      <c r="M1063" s="245"/>
      <c r="N1063" s="245"/>
      <c r="O1063" s="245"/>
      <c r="P1063" s="245"/>
      <c r="Q1063" s="246"/>
      <c r="R1063" s="233"/>
      <c r="S1063" s="234">
        <f>IF(C1063="",NA(),MATCH($B1063&amp;$C1063,'Smelter Reference List'!$J:$J,0))</f>
        <v>218</v>
      </c>
      <c r="T1063" s="235"/>
      <c r="U1063" s="235">
        <f t="shared" si="28"/>
        <v>0</v>
      </c>
      <c r="V1063" s="235"/>
      <c r="W1063" s="235"/>
      <c r="Y1063" s="228" t="str">
        <f t="shared" si="29"/>
        <v>GoldWestern Australian Mint trading as The Perth Mint</v>
      </c>
    </row>
    <row r="1064" spans="1:25" s="228" customFormat="1" ht="20.25">
      <c r="A1064" s="161" t="s">
        <v>1248</v>
      </c>
      <c r="B1064" s="420" t="s">
        <v>2323</v>
      </c>
      <c r="C1064" s="297" t="str">
        <f>IF(LEN(A1064)=0,"",INDEX('[2]Smelter Reference List'!$C$1:$C$65536,MATCH($A1064,'[2]Smelter Reference List'!$E$1:$E$65536,0)))</f>
        <v>CCR Refinery - Glencore Canada Corporation</v>
      </c>
      <c r="D1064" s="161" t="s">
        <v>4323</v>
      </c>
      <c r="E1064" s="161" t="s">
        <v>2177</v>
      </c>
      <c r="F1064" s="161" t="s">
        <v>1248</v>
      </c>
      <c r="G1064" s="161" t="s">
        <v>3125</v>
      </c>
      <c r="H1064" s="247">
        <v>0</v>
      </c>
      <c r="I1064" s="248" t="s">
        <v>3154</v>
      </c>
      <c r="J1064" s="248" t="s">
        <v>3155</v>
      </c>
      <c r="K1064" s="245"/>
      <c r="L1064" s="245"/>
      <c r="M1064" s="245"/>
      <c r="N1064" s="245"/>
      <c r="O1064" s="245"/>
      <c r="P1064" s="245"/>
      <c r="Q1064" s="246"/>
      <c r="R1064" s="233"/>
      <c r="S1064" s="234">
        <f>IF(C1064="",NA(),MATCH($B1064&amp;$C1064,'Smelter Reference List'!$J:$J,0))</f>
        <v>33</v>
      </c>
      <c r="T1064" s="235"/>
      <c r="U1064" s="235">
        <f t="shared" si="28"/>
        <v>0</v>
      </c>
      <c r="V1064" s="235"/>
      <c r="W1064" s="235"/>
      <c r="Y1064" s="228" t="str">
        <f t="shared" si="29"/>
        <v>GoldCCR Refinery - Glencore Canada Corporation</v>
      </c>
    </row>
    <row r="1065" spans="1:25" s="228" customFormat="1" ht="20.25">
      <c r="A1065" s="161" t="s">
        <v>1258</v>
      </c>
      <c r="B1065" s="420" t="s">
        <v>2323</v>
      </c>
      <c r="C1065" s="297" t="str">
        <f>IF(LEN(A1065)=0,"",INDEX('[2]Smelter Reference List'!$C$1:$C$65536,MATCH($A1065,'[2]Smelter Reference List'!$E$1:$E$65536,0)))</f>
        <v>Dowa</v>
      </c>
      <c r="D1065" s="161" t="s">
        <v>1788</v>
      </c>
      <c r="E1065" s="161" t="s">
        <v>2249</v>
      </c>
      <c r="F1065" s="161" t="s">
        <v>1258</v>
      </c>
      <c r="G1065" s="161" t="s">
        <v>3125</v>
      </c>
      <c r="H1065" s="247">
        <v>0</v>
      </c>
      <c r="I1065" s="248" t="s">
        <v>3173</v>
      </c>
      <c r="J1065" s="248" t="s">
        <v>3174</v>
      </c>
      <c r="K1065" s="245"/>
      <c r="L1065" s="245"/>
      <c r="M1065" s="245"/>
      <c r="N1065" s="245"/>
      <c r="O1065" s="245"/>
      <c r="P1065" s="245"/>
      <c r="Q1065" s="246"/>
      <c r="R1065" s="233"/>
      <c r="S1065" s="234">
        <f>IF(C1065="",NA(),MATCH($B1065&amp;$C1065,'Smelter Reference List'!$J:$J,0))</f>
        <v>49</v>
      </c>
      <c r="T1065" s="235"/>
      <c r="U1065" s="235">
        <f t="shared" si="28"/>
        <v>0</v>
      </c>
      <c r="V1065" s="235"/>
      <c r="W1065" s="235"/>
      <c r="Y1065" s="228" t="str">
        <f t="shared" si="29"/>
        <v>GoldDowa</v>
      </c>
    </row>
    <row r="1066" spans="1:25" s="228" customFormat="1" ht="20.25">
      <c r="A1066" s="161" t="s">
        <v>1273</v>
      </c>
      <c r="B1066" s="420" t="s">
        <v>2323</v>
      </c>
      <c r="C1066" s="297" t="str">
        <f>IF(LEN(A1066)=0,"",INDEX('[2]Smelter Reference List'!$C$1:$C$65536,MATCH($A1066,'[2]Smelter Reference List'!$E$1:$E$65536,0)))</f>
        <v>Asahi Refining USA Inc.</v>
      </c>
      <c r="D1066" s="161" t="s">
        <v>4267</v>
      </c>
      <c r="E1066" s="161" t="s">
        <v>1759</v>
      </c>
      <c r="F1066" s="161" t="s">
        <v>1273</v>
      </c>
      <c r="G1066" s="161" t="s">
        <v>3125</v>
      </c>
      <c r="H1066" s="247">
        <v>0</v>
      </c>
      <c r="I1066" s="248" t="s">
        <v>3206</v>
      </c>
      <c r="J1066" s="248" t="s">
        <v>3207</v>
      </c>
      <c r="K1066" s="245"/>
      <c r="L1066" s="245"/>
      <c r="M1066" s="245"/>
      <c r="N1066" s="245"/>
      <c r="O1066" s="245"/>
      <c r="P1066" s="245"/>
      <c r="Q1066" s="246"/>
      <c r="R1066" s="233"/>
      <c r="S1066" s="234">
        <f>IF(C1066="",NA(),MATCH($B1066&amp;$C1066,'Smelter Reference List'!$J:$J,0))</f>
        <v>20</v>
      </c>
      <c r="T1066" s="235"/>
      <c r="U1066" s="235">
        <f t="shared" si="28"/>
        <v>0</v>
      </c>
      <c r="V1066" s="235"/>
      <c r="W1066" s="235"/>
      <c r="Y1066" s="228" t="str">
        <f t="shared" si="29"/>
        <v>GoldAsahi Refining USA Inc.</v>
      </c>
    </row>
    <row r="1067" spans="1:25" s="228" customFormat="1" ht="20.25">
      <c r="A1067" s="161" t="s">
        <v>1296</v>
      </c>
      <c r="B1067" s="420" t="s">
        <v>2323</v>
      </c>
      <c r="C1067" s="297" t="str">
        <f>IF(LEN(A1067)=0,"",INDEX('[2]Smelter Reference List'!$C$1:$C$65536,MATCH($A1067,'[2]Smelter Reference List'!$E$1:$E$65536,0)))</f>
        <v>Mitsubishi Materials Corporation</v>
      </c>
      <c r="D1067" s="161" t="s">
        <v>2371</v>
      </c>
      <c r="E1067" s="161" t="s">
        <v>2249</v>
      </c>
      <c r="F1067" s="161" t="s">
        <v>1296</v>
      </c>
      <c r="G1067" s="161" t="s">
        <v>3125</v>
      </c>
      <c r="H1067" s="247">
        <v>0</v>
      </c>
      <c r="I1067" s="248" t="s">
        <v>3245</v>
      </c>
      <c r="J1067" s="248" t="s">
        <v>4283</v>
      </c>
      <c r="K1067" s="245"/>
      <c r="L1067" s="245"/>
      <c r="M1067" s="245"/>
      <c r="N1067" s="245"/>
      <c r="O1067" s="245"/>
      <c r="P1067" s="245"/>
      <c r="Q1067" s="246"/>
      <c r="R1067" s="233"/>
      <c r="S1067" s="234">
        <f>IF(C1067="",NA(),MATCH($B1067&amp;$C1067,'Smelter Reference List'!$J:$J,0))</f>
        <v>128</v>
      </c>
      <c r="T1067" s="235"/>
      <c r="U1067" s="235">
        <f t="shared" si="28"/>
        <v>0</v>
      </c>
      <c r="V1067" s="235"/>
      <c r="W1067" s="235"/>
      <c r="Y1067" s="228" t="str">
        <f t="shared" si="29"/>
        <v>GoldMitsubishi Materials Corporation</v>
      </c>
    </row>
    <row r="1068" spans="1:25" s="228" customFormat="1" ht="20.25">
      <c r="A1068" s="161" t="s">
        <v>1297</v>
      </c>
      <c r="B1068" s="420" t="s">
        <v>2323</v>
      </c>
      <c r="C1068" s="297" t="str">
        <f>IF(LEN(A1068)=0,"",INDEX('[2]Smelter Reference List'!$C$1:$C$65536,MATCH($A1068,'[2]Smelter Reference List'!$E$1:$E$65536,0)))</f>
        <v>Mitsui Mining and Smelting Co., Ltd.</v>
      </c>
      <c r="D1068" s="161" t="s">
        <v>2454</v>
      </c>
      <c r="E1068" s="161" t="s">
        <v>2249</v>
      </c>
      <c r="F1068" s="161" t="s">
        <v>1297</v>
      </c>
      <c r="G1068" s="161" t="s">
        <v>3125</v>
      </c>
      <c r="H1068" s="247">
        <v>0</v>
      </c>
      <c r="I1068" s="248" t="s">
        <v>3247</v>
      </c>
      <c r="J1068" s="248" t="s">
        <v>3246</v>
      </c>
      <c r="K1068" s="245"/>
      <c r="L1068" s="245"/>
      <c r="M1068" s="245"/>
      <c r="N1068" s="245"/>
      <c r="O1068" s="245"/>
      <c r="P1068" s="245"/>
      <c r="Q1068" s="246"/>
      <c r="R1068" s="233"/>
      <c r="S1068" s="234">
        <f>IF(C1068="",NA(),MATCH($B1068&amp;$C1068,'Smelter Reference List'!$J:$J,0))</f>
        <v>130</v>
      </c>
      <c r="T1068" s="235"/>
      <c r="U1068" s="235">
        <f t="shared" si="28"/>
        <v>0</v>
      </c>
      <c r="V1068" s="235"/>
      <c r="W1068" s="235"/>
      <c r="Y1068" s="228" t="str">
        <f t="shared" si="29"/>
        <v>GoldMitsui Mining and Smelting Co., Ltd.</v>
      </c>
    </row>
    <row r="1069" spans="1:25" s="228" customFormat="1" ht="20.25">
      <c r="A1069" s="161" t="s">
        <v>1321</v>
      </c>
      <c r="B1069" s="420" t="s">
        <v>2323</v>
      </c>
      <c r="C1069" s="297" t="str">
        <f>IF(LEN(A1069)=0,"",INDEX('[2]Smelter Reference List'!$C$1:$C$65536,MATCH($A1069,'[2]Smelter Reference List'!$E$1:$E$65536,0)))</f>
        <v>Sumitomo Metal Mining Co., Ltd.</v>
      </c>
      <c r="D1069" s="161" t="s">
        <v>77</v>
      </c>
      <c r="E1069" s="161" t="s">
        <v>2249</v>
      </c>
      <c r="F1069" s="161" t="s">
        <v>1321</v>
      </c>
      <c r="G1069" s="161" t="s">
        <v>3125</v>
      </c>
      <c r="H1069" s="247">
        <v>0</v>
      </c>
      <c r="I1069" s="248" t="s">
        <v>3297</v>
      </c>
      <c r="J1069" s="248" t="s">
        <v>4284</v>
      </c>
      <c r="K1069" s="245"/>
      <c r="L1069" s="245"/>
      <c r="M1069" s="245"/>
      <c r="N1069" s="245"/>
      <c r="O1069" s="245"/>
      <c r="P1069" s="245"/>
      <c r="Q1069" s="246"/>
      <c r="R1069" s="233"/>
      <c r="S1069" s="234">
        <f>IF(C1069="",NA(),MATCH($B1069&amp;$C1069,'Smelter Reference List'!$J:$J,0))</f>
        <v>190</v>
      </c>
      <c r="T1069" s="235"/>
      <c r="U1069" s="235">
        <f t="shared" si="28"/>
        <v>0</v>
      </c>
      <c r="V1069" s="235"/>
      <c r="W1069" s="235"/>
      <c r="Y1069" s="228" t="str">
        <f t="shared" si="29"/>
        <v>GoldSumitomo Metal Mining Co., Ltd.</v>
      </c>
    </row>
    <row r="1070" spans="1:25" s="228" customFormat="1" ht="20.25">
      <c r="A1070" s="161" t="s">
        <v>1265</v>
      </c>
      <c r="B1070" s="420" t="s">
        <v>2323</v>
      </c>
      <c r="C1070" s="297" t="str">
        <f>IF(LEN(A1070)=0,"",INDEX('[2]Smelter Reference List'!$C$1:$C$65536,MATCH($A1070,'[2]Smelter Reference List'!$E$1:$E$65536,0)))</f>
        <v>Heraeus Precious Metals GmbH &amp; Co. KG</v>
      </c>
      <c r="D1070" s="161" t="s">
        <v>2451</v>
      </c>
      <c r="E1070" s="161" t="s">
        <v>2195</v>
      </c>
      <c r="F1070" s="161" t="s">
        <v>1265</v>
      </c>
      <c r="G1070" s="161" t="s">
        <v>3125</v>
      </c>
      <c r="H1070" s="247">
        <v>0</v>
      </c>
      <c r="I1070" s="248" t="s">
        <v>3192</v>
      </c>
      <c r="J1070" s="248" t="s">
        <v>3193</v>
      </c>
      <c r="K1070" s="245"/>
      <c r="L1070" s="245"/>
      <c r="M1070" s="245"/>
      <c r="N1070" s="245"/>
      <c r="O1070" s="245"/>
      <c r="P1070" s="245"/>
      <c r="Q1070" s="246"/>
      <c r="R1070" s="233"/>
      <c r="S1070" s="234">
        <f>IF(C1070="",NA(),MATCH($B1070&amp;$C1070,'Smelter Reference List'!$J:$J,0))</f>
        <v>76</v>
      </c>
      <c r="T1070" s="235"/>
      <c r="U1070" s="235">
        <f t="shared" si="28"/>
        <v>0</v>
      </c>
      <c r="V1070" s="235"/>
      <c r="W1070" s="235"/>
      <c r="Y1070" s="228" t="str">
        <f t="shared" si="29"/>
        <v>GoldHeraeus Precious Metals GmbH &amp; Co. KG</v>
      </c>
    </row>
    <row r="1071" spans="1:25" s="228" customFormat="1" ht="20.25">
      <c r="A1071" s="161" t="s">
        <v>1277</v>
      </c>
      <c r="B1071" s="420" t="s">
        <v>2323</v>
      </c>
      <c r="C1071" s="297" t="str">
        <f>IF(LEN(A1071)=0,"",INDEX('[2]Smelter Reference List'!$C$1:$C$65536,MATCH($A1071,'[2]Smelter Reference List'!$E$1:$E$65536,0)))</f>
        <v>JX Nippon Mining &amp; Metals Co., Ltd.</v>
      </c>
      <c r="D1071" s="161" t="s">
        <v>73</v>
      </c>
      <c r="E1071" s="161" t="s">
        <v>2249</v>
      </c>
      <c r="F1071" s="161" t="s">
        <v>1277</v>
      </c>
      <c r="G1071" s="161" t="s">
        <v>3125</v>
      </c>
      <c r="H1071" s="247">
        <v>0</v>
      </c>
      <c r="I1071" s="248" t="s">
        <v>4844</v>
      </c>
      <c r="J1071" s="248" t="s">
        <v>4844</v>
      </c>
      <c r="K1071" s="245"/>
      <c r="L1071" s="245"/>
      <c r="M1071" s="245"/>
      <c r="N1071" s="245"/>
      <c r="O1071" s="245"/>
      <c r="P1071" s="245"/>
      <c r="Q1071" s="246"/>
      <c r="R1071" s="233"/>
      <c r="S1071" s="234">
        <f>IF(C1071="",NA(),MATCH($B1071&amp;$C1071,'Smelter Reference List'!$J:$J,0))</f>
        <v>93</v>
      </c>
      <c r="T1071" s="235"/>
      <c r="U1071" s="235">
        <f t="shared" si="28"/>
        <v>0</v>
      </c>
      <c r="V1071" s="235"/>
      <c r="W1071" s="235"/>
      <c r="Y1071" s="228" t="str">
        <f t="shared" si="29"/>
        <v>GoldJX Nippon Mining &amp; Metals Co., Ltd.</v>
      </c>
    </row>
    <row r="1072" spans="1:25" s="228" customFormat="1" ht="20.25">
      <c r="A1072" s="161" t="s">
        <v>1310</v>
      </c>
      <c r="B1072" s="420" t="s">
        <v>2323</v>
      </c>
      <c r="C1072" s="297" t="str">
        <f>IF(LEN(A1072)=0,"",INDEX('[2]Smelter Reference List'!$C$1:$C$65536,MATCH($A1072,'[2]Smelter Reference List'!$E$1:$E$65536,0)))</f>
        <v>Rand Refinery (Pty) Ltd.</v>
      </c>
      <c r="D1072" s="161" t="s">
        <v>4171</v>
      </c>
      <c r="E1072" s="161" t="s">
        <v>1772</v>
      </c>
      <c r="F1072" s="161" t="s">
        <v>1310</v>
      </c>
      <c r="G1072" s="161" t="s">
        <v>3125</v>
      </c>
      <c r="H1072" s="247">
        <v>0</v>
      </c>
      <c r="I1072" s="248" t="s">
        <v>3270</v>
      </c>
      <c r="J1072" s="248" t="s">
        <v>3271</v>
      </c>
      <c r="K1072" s="245"/>
      <c r="L1072" s="245"/>
      <c r="M1072" s="245"/>
      <c r="N1072" s="245"/>
      <c r="O1072" s="245"/>
      <c r="P1072" s="245"/>
      <c r="Q1072" s="246"/>
      <c r="R1072" s="233"/>
      <c r="S1072" s="234">
        <f>IF(C1072="",NA(),MATCH($B1072&amp;$C1072,'Smelter Reference List'!$J:$J,0))</f>
        <v>155</v>
      </c>
      <c r="T1072" s="235"/>
      <c r="U1072" s="235">
        <f t="shared" si="28"/>
        <v>0</v>
      </c>
      <c r="V1072" s="235"/>
      <c r="W1072" s="235"/>
      <c r="Y1072" s="228" t="str">
        <f t="shared" si="29"/>
        <v>GoldRand Refinery (Pty) Ltd.</v>
      </c>
    </row>
    <row r="1073" spans="1:25" s="228" customFormat="1" ht="20.25">
      <c r="A1073" s="161" t="s">
        <v>1291</v>
      </c>
      <c r="B1073" s="420" t="s">
        <v>2323</v>
      </c>
      <c r="C1073" s="297" t="str">
        <f>IF(LEN(A1073)=0,"",INDEX('[2]Smelter Reference List'!$C$1:$C$65536,MATCH($A1073,'[2]Smelter Reference List'!$E$1:$E$65536,0)))</f>
        <v>Metalor Technologies (Hong Kong) Ltd.</v>
      </c>
      <c r="D1073" s="161" t="s">
        <v>4162</v>
      </c>
      <c r="E1073" s="161" t="s">
        <v>2181</v>
      </c>
      <c r="F1073" s="161" t="s">
        <v>1291</v>
      </c>
      <c r="G1073" s="161" t="s">
        <v>3125</v>
      </c>
      <c r="H1073" s="247">
        <v>0</v>
      </c>
      <c r="I1073" s="248" t="s">
        <v>3236</v>
      </c>
      <c r="J1073" s="248" t="s">
        <v>3191</v>
      </c>
      <c r="K1073" s="245"/>
      <c r="L1073" s="245"/>
      <c r="M1073" s="245"/>
      <c r="N1073" s="245"/>
      <c r="O1073" s="245"/>
      <c r="P1073" s="245"/>
      <c r="Q1073" s="246"/>
      <c r="R1073" s="233"/>
      <c r="S1073" s="234">
        <f>IF(C1073="",NA(),MATCH($B1073&amp;$C1073,'Smelter Reference List'!$J:$J,0))</f>
        <v>120</v>
      </c>
      <c r="T1073" s="235"/>
      <c r="U1073" s="235">
        <f t="shared" si="28"/>
        <v>0</v>
      </c>
      <c r="V1073" s="235"/>
      <c r="W1073" s="235"/>
      <c r="Y1073" s="228" t="str">
        <f t="shared" si="29"/>
        <v>GoldMetalor Technologies (Hong Kong) Ltd.</v>
      </c>
    </row>
    <row r="1074" spans="1:25" s="228" customFormat="1" ht="20.25">
      <c r="A1074" s="161" t="s">
        <v>1322</v>
      </c>
      <c r="B1074" s="420" t="s">
        <v>2323</v>
      </c>
      <c r="C1074" s="297" t="str">
        <f>IF(LEN(A1074)=0,"",INDEX('[2]Smelter Reference List'!$C$1:$C$65536,MATCH($A1074,'[2]Smelter Reference List'!$E$1:$E$65536,0)))</f>
        <v>Tanaka Kikinzoku Kogyo K.K.</v>
      </c>
      <c r="D1074" s="161" t="s">
        <v>2457</v>
      </c>
      <c r="E1074" s="161" t="s">
        <v>2249</v>
      </c>
      <c r="F1074" s="161" t="s">
        <v>1322</v>
      </c>
      <c r="G1074" s="161" t="s">
        <v>3125</v>
      </c>
      <c r="H1074" s="247">
        <v>0</v>
      </c>
      <c r="I1074" s="248" t="s">
        <v>3299</v>
      </c>
      <c r="J1074" s="248" t="s">
        <v>3300</v>
      </c>
      <c r="K1074" s="245"/>
      <c r="L1074" s="245"/>
      <c r="M1074" s="245"/>
      <c r="N1074" s="245"/>
      <c r="O1074" s="245"/>
      <c r="P1074" s="245"/>
      <c r="Q1074" s="246"/>
      <c r="R1074" s="233"/>
      <c r="S1074" s="234">
        <f>IF(C1074="",NA(),MATCH($B1074&amp;$C1074,'Smelter Reference List'!$J:$J,0))</f>
        <v>200</v>
      </c>
      <c r="T1074" s="235"/>
      <c r="U1074" s="235">
        <f t="shared" si="28"/>
        <v>0</v>
      </c>
      <c r="V1074" s="235"/>
      <c r="W1074" s="235"/>
      <c r="Y1074" s="228" t="str">
        <f t="shared" si="29"/>
        <v>GoldTanaka Kikinzoku Kogyo K.K.</v>
      </c>
    </row>
    <row r="1075" spans="1:25" s="228" customFormat="1" ht="20.25">
      <c r="A1075" s="161" t="s">
        <v>1286</v>
      </c>
      <c r="B1075" s="420" t="s">
        <v>2323</v>
      </c>
      <c r="C1075" s="297" t="str">
        <f>IF(LEN(A1075)=0,"",INDEX('[2]Smelter Reference List'!$C$1:$C$65536,MATCH($A1075,'[2]Smelter Reference List'!$E$1:$E$65536,0)))</f>
        <v>LS-NIKKO Copper Inc.</v>
      </c>
      <c r="D1075" s="161" t="s">
        <v>74</v>
      </c>
      <c r="E1075" s="161" t="s">
        <v>2256</v>
      </c>
      <c r="F1075" s="161" t="s">
        <v>1286</v>
      </c>
      <c r="G1075" s="161" t="s">
        <v>3125</v>
      </c>
      <c r="H1075" s="247">
        <v>0</v>
      </c>
      <c r="I1075" s="248" t="s">
        <v>3225</v>
      </c>
      <c r="J1075" s="248" t="s">
        <v>3226</v>
      </c>
      <c r="K1075" s="245"/>
      <c r="L1075" s="245"/>
      <c r="M1075" s="245"/>
      <c r="N1075" s="245"/>
      <c r="O1075" s="245"/>
      <c r="P1075" s="245"/>
      <c r="Q1075" s="246"/>
      <c r="R1075" s="233"/>
      <c r="S1075" s="234">
        <f>IF(C1075="",NA(),MATCH($B1075&amp;$C1075,'Smelter Reference List'!$J:$J,0))</f>
        <v>111</v>
      </c>
      <c r="T1075" s="235"/>
      <c r="U1075" s="235">
        <f t="shared" si="28"/>
        <v>0</v>
      </c>
      <c r="V1075" s="235"/>
      <c r="W1075" s="235"/>
      <c r="Y1075" s="228" t="str">
        <f t="shared" si="29"/>
        <v>GoldLS-NIKKO Copper Inc.</v>
      </c>
    </row>
    <row r="1076" spans="1:25" s="228" customFormat="1" ht="20.25">
      <c r="A1076" s="161" t="s">
        <v>1264</v>
      </c>
      <c r="B1076" s="420" t="s">
        <v>2323</v>
      </c>
      <c r="C1076" s="297" t="str">
        <f>IF(LEN(A1076)=0,"",INDEX('[2]Smelter Reference List'!$C$1:$C$65536,MATCH($A1076,'[2]Smelter Reference List'!$E$1:$E$65536,0)))</f>
        <v>Heraeus Ltd. Hong Kong</v>
      </c>
      <c r="D1076" s="161" t="s">
        <v>72</v>
      </c>
      <c r="E1076" s="161" t="s">
        <v>2181</v>
      </c>
      <c r="F1076" s="161" t="s">
        <v>1264</v>
      </c>
      <c r="G1076" s="161" t="s">
        <v>3125</v>
      </c>
      <c r="H1076" s="247">
        <v>0</v>
      </c>
      <c r="I1076" s="248" t="s">
        <v>3190</v>
      </c>
      <c r="J1076" s="248" t="s">
        <v>3191</v>
      </c>
      <c r="K1076" s="245"/>
      <c r="L1076" s="245"/>
      <c r="M1076" s="245"/>
      <c r="N1076" s="245"/>
      <c r="O1076" s="245"/>
      <c r="P1076" s="245"/>
      <c r="Q1076" s="246"/>
      <c r="R1076" s="233"/>
      <c r="S1076" s="234">
        <f>IF(C1076="",NA(),MATCH($B1076&amp;$C1076,'Smelter Reference List'!$J:$J,0))</f>
        <v>75</v>
      </c>
      <c r="T1076" s="235"/>
      <c r="U1076" s="235">
        <f t="shared" si="28"/>
        <v>0</v>
      </c>
      <c r="V1076" s="235"/>
      <c r="W1076" s="235"/>
      <c r="Y1076" s="228" t="str">
        <f t="shared" si="29"/>
        <v>GoldHeraeus Ltd. Hong Kong</v>
      </c>
    </row>
    <row r="1077" spans="1:25" s="228" customFormat="1" ht="20.25">
      <c r="A1077" s="161" t="s">
        <v>1293</v>
      </c>
      <c r="B1077" s="420" t="s">
        <v>2323</v>
      </c>
      <c r="C1077" s="297" t="str">
        <f>IF(LEN(A1077)=0,"",INDEX('[2]Smelter Reference List'!$C$1:$C$65536,MATCH($A1077,'[2]Smelter Reference List'!$E$1:$E$65536,0)))</f>
        <v>Metalor Technologies S.A.</v>
      </c>
      <c r="D1077" s="161" t="s">
        <v>4697</v>
      </c>
      <c r="E1077" s="161" t="s">
        <v>2179</v>
      </c>
      <c r="F1077" s="161" t="s">
        <v>1293</v>
      </c>
      <c r="G1077" s="161" t="s">
        <v>3125</v>
      </c>
      <c r="H1077" s="247">
        <v>0</v>
      </c>
      <c r="I1077" s="248" t="s">
        <v>3239</v>
      </c>
      <c r="J1077" s="248" t="s">
        <v>3240</v>
      </c>
      <c r="K1077" s="245"/>
      <c r="L1077" s="245"/>
      <c r="M1077" s="245"/>
      <c r="N1077" s="245"/>
      <c r="O1077" s="245"/>
      <c r="P1077" s="245"/>
      <c r="Q1077" s="246"/>
      <c r="R1077" s="233"/>
      <c r="S1077" s="234">
        <f>IF(C1077="",NA(),MATCH($B1077&amp;$C1077,'Smelter Reference List'!$J:$J,0))</f>
        <v>123</v>
      </c>
      <c r="T1077" s="235"/>
      <c r="U1077" s="235">
        <f t="shared" si="28"/>
        <v>0</v>
      </c>
      <c r="V1077" s="235"/>
      <c r="W1077" s="235"/>
      <c r="Y1077" s="228" t="str">
        <f t="shared" si="29"/>
        <v>GoldMetalor Technologies S.A.</v>
      </c>
    </row>
    <row r="1078" spans="1:25" s="228" customFormat="1" ht="20.25">
      <c r="A1078" s="161" t="s">
        <v>1364</v>
      </c>
      <c r="B1078" s="422" t="s">
        <v>2324</v>
      </c>
      <c r="C1078" s="297" t="str">
        <f>IF(LEN(A1078)=0,"",INDEX('[2]Smelter Reference List'!$C$1:$C$65536,MATCH($A1078,'[2]Smelter Reference List'!$E$1:$E$65536,0)))</f>
        <v>Alpha</v>
      </c>
      <c r="D1078" s="161" t="s">
        <v>67</v>
      </c>
      <c r="E1078" s="161" t="s">
        <v>1759</v>
      </c>
      <c r="F1078" s="161" t="s">
        <v>1364</v>
      </c>
      <c r="G1078" s="161" t="s">
        <v>3125</v>
      </c>
      <c r="H1078" s="247">
        <v>0</v>
      </c>
      <c r="I1078" s="248" t="s">
        <v>3444</v>
      </c>
      <c r="J1078" s="248" t="s">
        <v>3401</v>
      </c>
      <c r="K1078" s="245"/>
      <c r="L1078" s="245"/>
      <c r="M1078" s="245"/>
      <c r="N1078" s="245"/>
      <c r="O1078" s="245"/>
      <c r="P1078" s="245"/>
      <c r="Q1078" s="246"/>
      <c r="R1078" s="233"/>
      <c r="S1078" s="234">
        <f>IF(C1078="",NA(),MATCH($B1078&amp;$C1078,'Smelter Reference List'!$J:$J,0))</f>
        <v>304</v>
      </c>
      <c r="T1078" s="235"/>
      <c r="U1078" s="235">
        <f t="shared" si="28"/>
        <v>0</v>
      </c>
      <c r="V1078" s="235"/>
      <c r="W1078" s="235"/>
      <c r="Y1078" s="228" t="str">
        <f t="shared" si="29"/>
        <v>TinAlpha</v>
      </c>
    </row>
    <row r="1079" spans="1:25" s="228" customFormat="1" ht="20.25">
      <c r="A1079" s="161" t="s">
        <v>1365</v>
      </c>
      <c r="B1079" s="422" t="s">
        <v>2324</v>
      </c>
      <c r="C1079" s="297" t="str">
        <f>IF(LEN(A1079)=0,"",INDEX('[2]Smelter Reference List'!$C$1:$C$65536,MATCH($A1079,'[2]Smelter Reference List'!$E$1:$E$65536,0)))</f>
        <v>Cooperativa Metalurgica de Rondônia Ltda.</v>
      </c>
      <c r="D1079" s="161" t="s">
        <v>3450</v>
      </c>
      <c r="E1079" s="161" t="s">
        <v>2170</v>
      </c>
      <c r="F1079" s="161" t="s">
        <v>1365</v>
      </c>
      <c r="G1079" s="161" t="s">
        <v>3125</v>
      </c>
      <c r="H1079" s="247">
        <v>0</v>
      </c>
      <c r="I1079" s="248" t="s">
        <v>3451</v>
      </c>
      <c r="J1079" s="248" t="s">
        <v>3452</v>
      </c>
      <c r="K1079" s="245"/>
      <c r="L1079" s="245"/>
      <c r="M1079" s="245"/>
      <c r="N1079" s="245"/>
      <c r="O1079" s="245"/>
      <c r="P1079" s="245"/>
      <c r="Q1079" s="246"/>
      <c r="R1079" s="233"/>
      <c r="S1079" s="234">
        <f>IF(C1079="",NA(),MATCH($B1079&amp;$C1079,'Smelter Reference List'!$J:$J,0))</f>
        <v>326</v>
      </c>
      <c r="T1079" s="235"/>
      <c r="U1079" s="235">
        <f t="shared" si="28"/>
        <v>0</v>
      </c>
      <c r="V1079" s="235"/>
      <c r="W1079" s="235"/>
      <c r="Y1079" s="228" t="str">
        <f t="shared" si="29"/>
        <v>TinCooperativa Metalurgica de Rondônia Ltda.</v>
      </c>
    </row>
    <row r="1080" spans="1:25" s="228" customFormat="1" ht="20.25">
      <c r="A1080" s="161" t="s">
        <v>1367</v>
      </c>
      <c r="B1080" s="422" t="s">
        <v>2324</v>
      </c>
      <c r="C1080" s="297" t="str">
        <f>IF(LEN(A1080)=0,"",INDEX('[2]Smelter Reference List'!$C$1:$C$65536,MATCH($A1080,'[2]Smelter Reference List'!$E$1:$E$65536,0)))</f>
        <v>CV United Smelting</v>
      </c>
      <c r="D1080" s="161" t="s">
        <v>1505</v>
      </c>
      <c r="E1080" s="161" t="s">
        <v>2238</v>
      </c>
      <c r="F1080" s="161" t="s">
        <v>1367</v>
      </c>
      <c r="G1080" s="161" t="s">
        <v>3125</v>
      </c>
      <c r="H1080" s="247">
        <v>0</v>
      </c>
      <c r="I1080" s="248" t="s">
        <v>3457</v>
      </c>
      <c r="J1080" s="248" t="s">
        <v>3454</v>
      </c>
      <c r="K1080" s="245"/>
      <c r="L1080" s="245"/>
      <c r="M1080" s="245"/>
      <c r="N1080" s="245"/>
      <c r="O1080" s="245"/>
      <c r="P1080" s="245"/>
      <c r="Q1080" s="246"/>
      <c r="R1080" s="233"/>
      <c r="S1080" s="234">
        <f>IF(C1080="",NA(),MATCH($B1080&amp;$C1080,'Smelter Reference List'!$J:$J,0))</f>
        <v>335</v>
      </c>
      <c r="T1080" s="235"/>
      <c r="U1080" s="235">
        <f t="shared" si="28"/>
        <v>0</v>
      </c>
      <c r="V1080" s="235"/>
      <c r="W1080" s="235"/>
      <c r="Y1080" s="228" t="str">
        <f t="shared" si="29"/>
        <v>TinCV United Smelting</v>
      </c>
    </row>
    <row r="1081" spans="1:25" s="228" customFormat="1" ht="20.25">
      <c r="A1081" s="161" t="s">
        <v>1368</v>
      </c>
      <c r="B1081" s="422" t="s">
        <v>2324</v>
      </c>
      <c r="C1081" s="297" t="str">
        <f>IF(LEN(A1081)=0,"",INDEX('[2]Smelter Reference List'!$C$1:$C$65536,MATCH($A1081,'[2]Smelter Reference List'!$E$1:$E$65536,0)))</f>
        <v>EM Vinto</v>
      </c>
      <c r="D1081" s="161" t="s">
        <v>1506</v>
      </c>
      <c r="E1081" s="161" t="s">
        <v>2169</v>
      </c>
      <c r="F1081" s="161" t="s">
        <v>1368</v>
      </c>
      <c r="G1081" s="161" t="s">
        <v>3125</v>
      </c>
      <c r="H1081" s="247">
        <v>0</v>
      </c>
      <c r="I1081" s="248" t="s">
        <v>3459</v>
      </c>
      <c r="J1081" s="248" t="s">
        <v>3460</v>
      </c>
      <c r="K1081" s="245"/>
      <c r="L1081" s="245"/>
      <c r="M1081" s="245"/>
      <c r="N1081" s="245"/>
      <c r="O1081" s="245"/>
      <c r="P1081" s="245"/>
      <c r="Q1081" s="246"/>
      <c r="R1081" s="233"/>
      <c r="S1081" s="234">
        <f>IF(C1081="",NA(),MATCH($B1081&amp;$C1081,'Smelter Reference List'!$J:$J,0))</f>
        <v>341</v>
      </c>
      <c r="T1081" s="235"/>
      <c r="U1081" s="235">
        <f t="shared" si="28"/>
        <v>0</v>
      </c>
      <c r="V1081" s="235"/>
      <c r="W1081" s="235"/>
      <c r="Y1081" s="228" t="str">
        <f t="shared" si="29"/>
        <v>TinEM Vinto</v>
      </c>
    </row>
    <row r="1082" spans="1:25" s="228" customFormat="1" ht="20.25">
      <c r="A1082" s="161" t="s">
        <v>1371</v>
      </c>
      <c r="B1082" s="422" t="s">
        <v>2324</v>
      </c>
      <c r="C1082" s="297" t="str">
        <f>IF(LEN(A1082)=0,"",INDEX('[2]Smelter Reference List'!$C$1:$C$65536,MATCH($A1082,'[2]Smelter Reference List'!$E$1:$E$65536,0)))</f>
        <v>Fenix Metals</v>
      </c>
      <c r="D1082" s="161" t="s">
        <v>1462</v>
      </c>
      <c r="E1082" s="161" t="s">
        <v>1708</v>
      </c>
      <c r="F1082" s="161" t="s">
        <v>1371</v>
      </c>
      <c r="G1082" s="161" t="s">
        <v>3125</v>
      </c>
      <c r="H1082" s="247">
        <v>0</v>
      </c>
      <c r="I1082" s="248" t="s">
        <v>3466</v>
      </c>
      <c r="J1082" s="248" t="s">
        <v>3467</v>
      </c>
      <c r="K1082" s="245"/>
      <c r="L1082" s="245"/>
      <c r="M1082" s="245"/>
      <c r="N1082" s="245"/>
      <c r="O1082" s="245"/>
      <c r="P1082" s="245"/>
      <c r="Q1082" s="246"/>
      <c r="R1082" s="233"/>
      <c r="S1082" s="234">
        <f>IF(C1082="",NA(),MATCH($B1082&amp;$C1082,'Smelter Reference List'!$J:$J,0))</f>
        <v>347</v>
      </c>
      <c r="T1082" s="235"/>
      <c r="U1082" s="235">
        <f t="shared" si="28"/>
        <v>0</v>
      </c>
      <c r="V1082" s="235"/>
      <c r="W1082" s="235"/>
      <c r="Y1082" s="228" t="str">
        <f t="shared" si="29"/>
        <v>TinFenix Metals</v>
      </c>
    </row>
    <row r="1083" spans="1:25" s="228" customFormat="1" ht="20.25">
      <c r="A1083" s="161" t="s">
        <v>1378</v>
      </c>
      <c r="B1083" s="422" t="s">
        <v>2324</v>
      </c>
      <c r="C1083" s="297" t="str">
        <f>IF(LEN(A1083)=0,"",INDEX('[2]Smelter Reference List'!$C$1:$C$65536,MATCH($A1083,'[2]Smelter Reference List'!$E$1:$E$65536,0)))</f>
        <v>Malaysia Smelting Corporation (MSC)</v>
      </c>
      <c r="D1083" s="161" t="s">
        <v>1471</v>
      </c>
      <c r="E1083" s="161" t="s">
        <v>2289</v>
      </c>
      <c r="F1083" s="161" t="s">
        <v>1378</v>
      </c>
      <c r="G1083" s="161" t="s">
        <v>3125</v>
      </c>
      <c r="H1083" s="247">
        <v>0</v>
      </c>
      <c r="I1083" s="248" t="s">
        <v>3481</v>
      </c>
      <c r="J1083" s="248" t="s">
        <v>3482</v>
      </c>
      <c r="K1083" s="245"/>
      <c r="L1083" s="245"/>
      <c r="M1083" s="245"/>
      <c r="N1083" s="245"/>
      <c r="O1083" s="245"/>
      <c r="P1083" s="245"/>
      <c r="Q1083" s="246"/>
      <c r="R1083" s="233"/>
      <c r="S1083" s="234">
        <f>IF(C1083="",NA(),MATCH($B1083&amp;$C1083,'Smelter Reference List'!$J:$J,0))</f>
        <v>377</v>
      </c>
      <c r="T1083" s="235"/>
      <c r="U1083" s="235">
        <f t="shared" si="28"/>
        <v>0</v>
      </c>
      <c r="V1083" s="235"/>
      <c r="W1083" s="235"/>
      <c r="Y1083" s="228" t="str">
        <f t="shared" si="29"/>
        <v>TinMalaysia Smelting Corporation (MSC)</v>
      </c>
    </row>
    <row r="1084" spans="1:25" s="228" customFormat="1" ht="20.25">
      <c r="A1084" s="161" t="s">
        <v>1379</v>
      </c>
      <c r="B1084" s="422" t="s">
        <v>2324</v>
      </c>
      <c r="C1084" s="297" t="str">
        <f>IF(LEN(A1084)=0,"",INDEX('[2]Smelter Reference List'!$C$1:$C$65536,MATCH($A1084,'[2]Smelter Reference List'!$E$1:$E$65536,0)))</f>
        <v>Mineração Taboca S.A.</v>
      </c>
      <c r="D1084" s="161" t="s">
        <v>1953</v>
      </c>
      <c r="E1084" s="161" t="s">
        <v>2170</v>
      </c>
      <c r="F1084" s="161" t="s">
        <v>1379</v>
      </c>
      <c r="G1084" s="161" t="s">
        <v>3125</v>
      </c>
      <c r="H1084" s="247">
        <v>0</v>
      </c>
      <c r="I1084" s="248" t="s">
        <v>3485</v>
      </c>
      <c r="J1084" s="248" t="s">
        <v>3313</v>
      </c>
      <c r="K1084" s="245"/>
      <c r="L1084" s="245"/>
      <c r="M1084" s="245"/>
      <c r="N1084" s="245"/>
      <c r="O1084" s="245"/>
      <c r="P1084" s="245"/>
      <c r="Q1084" s="246"/>
      <c r="R1084" s="233"/>
      <c r="S1084" s="234">
        <f>IF(C1084="",NA(),MATCH($B1084&amp;$C1084,'Smelter Reference List'!$J:$J,0))</f>
        <v>383</v>
      </c>
      <c r="T1084" s="235"/>
      <c r="U1084" s="235">
        <f t="shared" si="28"/>
        <v>0</v>
      </c>
      <c r="V1084" s="235"/>
      <c r="W1084" s="235"/>
      <c r="Y1084" s="228" t="str">
        <f t="shared" si="29"/>
        <v>TinMineração Taboca S.A.</v>
      </c>
    </row>
    <row r="1085" spans="1:25" s="228" customFormat="1" ht="20.25">
      <c r="A1085" s="161"/>
      <c r="B1085" s="420" t="s">
        <v>2324</v>
      </c>
      <c r="C1085" s="297" t="s">
        <v>3604</v>
      </c>
      <c r="D1085" s="161" t="s">
        <v>5698</v>
      </c>
      <c r="E1085" s="161" t="s">
        <v>2238</v>
      </c>
      <c r="F1085" s="161">
        <v>0</v>
      </c>
      <c r="G1085" s="228" t="s">
        <v>5584</v>
      </c>
      <c r="H1085" s="247" t="s">
        <v>5699</v>
      </c>
      <c r="I1085" s="248" t="s">
        <v>3457</v>
      </c>
      <c r="J1085" s="248" t="s">
        <v>5798</v>
      </c>
      <c r="K1085" s="245" t="s">
        <v>5701</v>
      </c>
      <c r="L1085" s="245" t="s">
        <v>5702</v>
      </c>
      <c r="M1085" s="245"/>
      <c r="N1085" s="245"/>
      <c r="O1085" s="245" t="s">
        <v>5367</v>
      </c>
      <c r="P1085" s="245"/>
      <c r="Q1085" s="246" t="s">
        <v>5870</v>
      </c>
      <c r="R1085" s="233"/>
      <c r="S1085" s="234">
        <f>IF(C1085="",NA(),MATCH($B1085&amp;$C1085,'Smelter Reference List'!$J:$J,0))</f>
        <v>467</v>
      </c>
      <c r="T1085" s="235"/>
      <c r="U1085" s="235">
        <f t="shared" si="28"/>
        <v>0</v>
      </c>
      <c r="V1085" s="235"/>
      <c r="W1085" s="235"/>
      <c r="Y1085" s="228" t="str">
        <f t="shared" si="29"/>
        <v>TinSmelter not listed</v>
      </c>
    </row>
    <row r="1086" spans="1:25" s="228" customFormat="1" ht="20.25">
      <c r="A1086" s="161" t="s">
        <v>1387</v>
      </c>
      <c r="B1086" s="420" t="s">
        <v>2324</v>
      </c>
      <c r="C1086" s="297" t="str">
        <f>IF(LEN(A1086)=0,"",INDEX('[2]Smelter Reference List'!$C$1:$C$65536,MATCH($A1086,'[2]Smelter Reference List'!$E$1:$E$65536,0)))</f>
        <v>PT Bangka Tin Industry</v>
      </c>
      <c r="D1086" s="161" t="s">
        <v>1173</v>
      </c>
      <c r="E1086" s="161" t="s">
        <v>2238</v>
      </c>
      <c r="F1086" s="161" t="s">
        <v>1387</v>
      </c>
      <c r="G1086" s="161" t="s">
        <v>3125</v>
      </c>
      <c r="H1086" s="247">
        <v>0</v>
      </c>
      <c r="I1086" s="248" t="s">
        <v>3453</v>
      </c>
      <c r="J1086" s="248" t="s">
        <v>3454</v>
      </c>
      <c r="K1086" s="245"/>
      <c r="L1086" s="245"/>
      <c r="M1086" s="245"/>
      <c r="N1086" s="245"/>
      <c r="O1086" s="245"/>
      <c r="P1086" s="245"/>
      <c r="Q1086" s="246"/>
      <c r="R1086" s="233"/>
      <c r="S1086" s="234">
        <f>IF(C1086="",NA(),MATCH($B1086&amp;$C1086,'Smelter Reference List'!$J:$J,0))</f>
        <v>405</v>
      </c>
      <c r="T1086" s="235"/>
      <c r="U1086" s="235">
        <f t="shared" si="28"/>
        <v>0</v>
      </c>
      <c r="V1086" s="235"/>
      <c r="W1086" s="235"/>
      <c r="Y1086" s="228" t="str">
        <f t="shared" si="29"/>
        <v>TinPT Bangka Tin Industry</v>
      </c>
    </row>
    <row r="1087" spans="1:25" s="228" customFormat="1" ht="20.25">
      <c r="A1087" s="161" t="s">
        <v>1389</v>
      </c>
      <c r="B1087" s="420" t="s">
        <v>2324</v>
      </c>
      <c r="C1087" s="297" t="str">
        <f>IF(LEN(A1087)=0,"",INDEX('[2]Smelter Reference List'!$C$1:$C$65536,MATCH($A1087,'[2]Smelter Reference List'!$E$1:$E$65536,0)))</f>
        <v>PT Bukit Timah</v>
      </c>
      <c r="D1087" s="161" t="s">
        <v>1194</v>
      </c>
      <c r="E1087" s="161" t="s">
        <v>2238</v>
      </c>
      <c r="F1087" s="161" t="s">
        <v>1389</v>
      </c>
      <c r="G1087" s="161" t="s">
        <v>3125</v>
      </c>
      <c r="H1087" s="247">
        <v>0</v>
      </c>
      <c r="I1087" s="248" t="s">
        <v>3457</v>
      </c>
      <c r="J1087" s="248" t="s">
        <v>3454</v>
      </c>
      <c r="K1087" s="245"/>
      <c r="L1087" s="245"/>
      <c r="M1087" s="245"/>
      <c r="N1087" s="245"/>
      <c r="O1087" s="245"/>
      <c r="P1087" s="245"/>
      <c r="Q1087" s="246"/>
      <c r="R1087" s="233"/>
      <c r="S1087" s="234">
        <f>IF(C1087="",NA(),MATCH($B1087&amp;$C1087,'Smelter Reference List'!$J:$J,0))</f>
        <v>408</v>
      </c>
      <c r="T1087" s="235"/>
      <c r="U1087" s="235">
        <f t="shared" si="28"/>
        <v>0</v>
      </c>
      <c r="V1087" s="235"/>
      <c r="W1087" s="235"/>
      <c r="Y1087" s="228" t="str">
        <f t="shared" si="29"/>
        <v>TinPT Bukit Timah</v>
      </c>
    </row>
    <row r="1088" spans="1:25" s="228" customFormat="1" ht="20.25">
      <c r="A1088" s="161" t="s">
        <v>1390</v>
      </c>
      <c r="B1088" s="420" t="s">
        <v>2324</v>
      </c>
      <c r="C1088" s="297" t="str">
        <f>IF(LEN(A1088)=0,"",INDEX('[2]Smelter Reference List'!$C$1:$C$65536,MATCH($A1088,'[2]Smelter Reference List'!$E$1:$E$65536,0)))</f>
        <v>PT DS Jaya Abadi</v>
      </c>
      <c r="D1088" s="161" t="s">
        <v>1174</v>
      </c>
      <c r="E1088" s="161" t="s">
        <v>2238</v>
      </c>
      <c r="F1088" s="161" t="s">
        <v>1390</v>
      </c>
      <c r="G1088" s="161" t="s">
        <v>3125</v>
      </c>
      <c r="H1088" s="247">
        <v>0</v>
      </c>
      <c r="I1088" s="248" t="s">
        <v>3457</v>
      </c>
      <c r="J1088" s="248" t="s">
        <v>3454</v>
      </c>
      <c r="K1088" s="245"/>
      <c r="L1088" s="245"/>
      <c r="M1088" s="245"/>
      <c r="N1088" s="245"/>
      <c r="O1088" s="245"/>
      <c r="P1088" s="245"/>
      <c r="Q1088" s="246"/>
      <c r="R1088" s="233"/>
      <c r="S1088" s="234">
        <f>IF(C1088="",NA(),MATCH($B1088&amp;$C1088,'Smelter Reference List'!$J:$J,0))</f>
        <v>410</v>
      </c>
      <c r="T1088" s="235"/>
      <c r="U1088" s="235">
        <f t="shared" si="28"/>
        <v>0</v>
      </c>
      <c r="V1088" s="235"/>
      <c r="W1088" s="235"/>
      <c r="Y1088" s="228" t="str">
        <f t="shared" si="29"/>
        <v>TinPT DS Jaya Abadi</v>
      </c>
    </row>
    <row r="1089" spans="1:25" s="228" customFormat="1" ht="20.25">
      <c r="A1089" s="161" t="s">
        <v>1391</v>
      </c>
      <c r="B1089" s="420" t="s">
        <v>2324</v>
      </c>
      <c r="C1089" s="297" t="str">
        <f>IF(LEN(A1089)=0,"",INDEX('[2]Smelter Reference List'!$C$1:$C$65536,MATCH($A1089,'[2]Smelter Reference List'!$E$1:$E$65536,0)))</f>
        <v>PT Eunindo Usaha Mandiri</v>
      </c>
      <c r="D1089" s="161" t="s">
        <v>1195</v>
      </c>
      <c r="E1089" s="161" t="s">
        <v>2238</v>
      </c>
      <c r="F1089" s="161" t="s">
        <v>1391</v>
      </c>
      <c r="G1089" s="161" t="s">
        <v>3125</v>
      </c>
      <c r="H1089" s="247">
        <v>0</v>
      </c>
      <c r="I1089" s="248" t="s">
        <v>3500</v>
      </c>
      <c r="J1089" s="248" t="s">
        <v>3499</v>
      </c>
      <c r="K1089" s="245"/>
      <c r="L1089" s="245"/>
      <c r="M1089" s="245"/>
      <c r="N1089" s="245"/>
      <c r="O1089" s="245"/>
      <c r="P1089" s="245"/>
      <c r="Q1089" s="246"/>
      <c r="R1089" s="233"/>
      <c r="S1089" s="234">
        <f>IF(C1089="",NA(),MATCH($B1089&amp;$C1089,'Smelter Reference List'!$J:$J,0))</f>
        <v>411</v>
      </c>
      <c r="T1089" s="235"/>
      <c r="U1089" s="235">
        <f t="shared" si="28"/>
        <v>0</v>
      </c>
      <c r="V1089" s="235"/>
      <c r="W1089" s="235"/>
      <c r="Y1089" s="228" t="str">
        <f t="shared" si="29"/>
        <v>TinPT Eunindo Usaha Mandiri</v>
      </c>
    </row>
    <row r="1090" spans="1:25" s="228" customFormat="1" ht="20.25">
      <c r="A1090" s="161" t="s">
        <v>1393</v>
      </c>
      <c r="B1090" s="420" t="s">
        <v>2324</v>
      </c>
      <c r="C1090" s="297" t="str">
        <f>IF(LEN(A1090)=0,"",INDEX('[2]Smelter Reference List'!$C$1:$C$65536,MATCH($A1090,'[2]Smelter Reference List'!$E$1:$E$65536,0)))</f>
        <v>PT Mitra Stania Prima</v>
      </c>
      <c r="D1090" s="161" t="s">
        <v>1196</v>
      </c>
      <c r="E1090" s="161" t="s">
        <v>2238</v>
      </c>
      <c r="F1090" s="161" t="s">
        <v>1393</v>
      </c>
      <c r="G1090" s="161" t="s">
        <v>3125</v>
      </c>
      <c r="H1090" s="247">
        <v>0</v>
      </c>
      <c r="I1090" s="248" t="s">
        <v>3453</v>
      </c>
      <c r="J1090" s="248" t="s">
        <v>3454</v>
      </c>
      <c r="K1090" s="245"/>
      <c r="L1090" s="245"/>
      <c r="M1090" s="245"/>
      <c r="N1090" s="245"/>
      <c r="O1090" s="245"/>
      <c r="P1090" s="245"/>
      <c r="Q1090" s="246"/>
      <c r="R1090" s="233"/>
      <c r="S1090" s="234">
        <f>IF(C1090="",NA(),MATCH($B1090&amp;$C1090,'Smelter Reference List'!$J:$J,0))</f>
        <v>419</v>
      </c>
      <c r="T1090" s="235"/>
      <c r="U1090" s="235">
        <f t="shared" si="28"/>
        <v>0</v>
      </c>
      <c r="V1090" s="235"/>
      <c r="W1090" s="235"/>
      <c r="Y1090" s="228" t="str">
        <f t="shared" si="29"/>
        <v>TinPT Mitra Stania Prima</v>
      </c>
    </row>
    <row r="1091" spans="1:25" s="228" customFormat="1" ht="20.25">
      <c r="A1091" s="161" t="s">
        <v>1396</v>
      </c>
      <c r="B1091" s="420" t="s">
        <v>2324</v>
      </c>
      <c r="C1091" s="297" t="str">
        <f>IF(LEN(A1091)=0,"",INDEX('[2]Smelter Reference List'!$C$1:$C$65536,MATCH($A1091,'[2]Smelter Reference List'!$E$1:$E$65536,0)))</f>
        <v>PT Refined Bangka Tin</v>
      </c>
      <c r="D1091" s="161" t="s">
        <v>4169</v>
      </c>
      <c r="E1091" s="161" t="s">
        <v>2238</v>
      </c>
      <c r="F1091" s="161" t="s">
        <v>1396</v>
      </c>
      <c r="G1091" s="161" t="s">
        <v>3125</v>
      </c>
      <c r="H1091" s="247">
        <v>0</v>
      </c>
      <c r="I1091" s="248" t="s">
        <v>3453</v>
      </c>
      <c r="J1091" s="248" t="s">
        <v>3454</v>
      </c>
      <c r="K1091" s="245"/>
      <c r="L1091" s="245"/>
      <c r="M1091" s="245"/>
      <c r="N1091" s="245"/>
      <c r="O1091" s="245"/>
      <c r="P1091" s="245"/>
      <c r="Q1091" s="246"/>
      <c r="R1091" s="233"/>
      <c r="S1091" s="234">
        <f>IF(C1091="",NA(),MATCH($B1091&amp;$C1091,'Smelter Reference List'!$J:$J,0))</f>
        <v>424</v>
      </c>
      <c r="T1091" s="235"/>
      <c r="U1091" s="235">
        <f t="shared" si="28"/>
        <v>0</v>
      </c>
      <c r="V1091" s="235"/>
      <c r="W1091" s="235"/>
      <c r="Y1091" s="228" t="str">
        <f t="shared" si="29"/>
        <v>TinPT Refined Bangka Tin</v>
      </c>
    </row>
    <row r="1092" spans="1:25" s="228" customFormat="1" ht="20.25">
      <c r="A1092" s="161" t="s">
        <v>1398</v>
      </c>
      <c r="B1092" s="420" t="s">
        <v>2324</v>
      </c>
      <c r="C1092" s="297" t="str">
        <f>IF(LEN(A1092)=0,"",INDEX('[2]Smelter Reference List'!$C$1:$C$65536,MATCH($A1092,'[2]Smelter Reference List'!$E$1:$E$65536,0)))</f>
        <v>PT Stanindo Inti Perkasa</v>
      </c>
      <c r="D1092" s="161" t="s">
        <v>2369</v>
      </c>
      <c r="E1092" s="161" t="s">
        <v>2238</v>
      </c>
      <c r="F1092" s="161" t="s">
        <v>1398</v>
      </c>
      <c r="G1092" s="161" t="s">
        <v>3125</v>
      </c>
      <c r="H1092" s="247">
        <v>0</v>
      </c>
      <c r="I1092" s="248" t="s">
        <v>3457</v>
      </c>
      <c r="J1092" s="248" t="s">
        <v>3454</v>
      </c>
      <c r="K1092" s="245"/>
      <c r="L1092" s="245"/>
      <c r="M1092" s="245"/>
      <c r="N1092" s="245"/>
      <c r="O1092" s="245"/>
      <c r="P1092" s="245"/>
      <c r="Q1092" s="246"/>
      <c r="R1092" s="233"/>
      <c r="S1092" s="234">
        <f>IF(C1092="",NA(),MATCH($B1092&amp;$C1092,'Smelter Reference List'!$J:$J,0))</f>
        <v>427</v>
      </c>
      <c r="T1092" s="235"/>
      <c r="U1092" s="235">
        <f t="shared" si="28"/>
        <v>0</v>
      </c>
      <c r="V1092" s="235"/>
      <c r="W1092" s="235"/>
      <c r="Y1092" s="228" t="str">
        <f t="shared" si="29"/>
        <v>TinPT Stanindo Inti Perkasa</v>
      </c>
    </row>
    <row r="1093" spans="1:25" s="228" customFormat="1" ht="20.25">
      <c r="A1093" s="161" t="s">
        <v>1424</v>
      </c>
      <c r="B1093" s="420" t="s">
        <v>2324</v>
      </c>
      <c r="C1093" s="297" t="str">
        <f>IF(LEN(A1093)=0,"",INDEX('[2]Smelter Reference List'!$C$1:$C$65536,MATCH($A1093,'[2]Smelter Reference List'!$E$1:$E$65536,0)))</f>
        <v>PT Timah (Persero) Tbk Kundur</v>
      </c>
      <c r="D1093" s="161" t="s">
        <v>3503</v>
      </c>
      <c r="E1093" s="161" t="s">
        <v>2238</v>
      </c>
      <c r="F1093" s="161" t="s">
        <v>1424</v>
      </c>
      <c r="G1093" s="161" t="s">
        <v>3125</v>
      </c>
      <c r="H1093" s="247">
        <v>0</v>
      </c>
      <c r="I1093" s="248" t="s">
        <v>3504</v>
      </c>
      <c r="J1093" s="248" t="s">
        <v>3505</v>
      </c>
      <c r="K1093" s="245"/>
      <c r="L1093" s="245"/>
      <c r="M1093" s="245"/>
      <c r="N1093" s="245"/>
      <c r="O1093" s="245"/>
      <c r="P1093" s="245"/>
      <c r="Q1093" s="246"/>
      <c r="R1093" s="233"/>
      <c r="S1093" s="234">
        <f>IF(C1093="",NA(),MATCH($B1093&amp;$C1093,'Smelter Reference List'!$J:$J,0))</f>
        <v>431</v>
      </c>
      <c r="T1093" s="235"/>
      <c r="U1093" s="235">
        <f t="shared" si="28"/>
        <v>0</v>
      </c>
      <c r="V1093" s="235"/>
      <c r="W1093" s="235"/>
      <c r="Y1093" s="228" t="str">
        <f t="shared" si="29"/>
        <v>TinPT Timah (Persero) Tbk Kundur</v>
      </c>
    </row>
    <row r="1094" spans="1:25" s="228" customFormat="1" ht="20.25">
      <c r="A1094" s="161" t="s">
        <v>1399</v>
      </c>
      <c r="B1094" s="420" t="s">
        <v>2324</v>
      </c>
      <c r="C1094" s="297" t="str">
        <f>IF(LEN(A1094)=0,"",INDEX('[2]Smelter Reference List'!$C$1:$C$65536,MATCH($A1094,'[2]Smelter Reference List'!$E$1:$E$65536,0)))</f>
        <v>PT Timah (Persero) Tbk Mentok</v>
      </c>
      <c r="D1094" s="161" t="s">
        <v>4266</v>
      </c>
      <c r="E1094" s="161" t="s">
        <v>2238</v>
      </c>
      <c r="F1094" s="161" t="s">
        <v>1399</v>
      </c>
      <c r="G1094" s="161" t="s">
        <v>3125</v>
      </c>
      <c r="H1094" s="247">
        <v>0</v>
      </c>
      <c r="I1094" s="248" t="s">
        <v>3507</v>
      </c>
      <c r="J1094" s="248" t="s">
        <v>3454</v>
      </c>
      <c r="K1094" s="245"/>
      <c r="L1094" s="245"/>
      <c r="M1094" s="245"/>
      <c r="N1094" s="245"/>
      <c r="O1094" s="245"/>
      <c r="P1094" s="245"/>
      <c r="Q1094" s="246"/>
      <c r="R1094" s="233"/>
      <c r="S1094" s="234">
        <f>IF(C1094="",NA(),MATCH($B1094&amp;$C1094,'Smelter Reference List'!$J:$J,0))</f>
        <v>432</v>
      </c>
      <c r="T1094" s="235"/>
      <c r="U1094" s="235">
        <f t="shared" ref="U1094:U1157" si="30">IF(AND(C1094="Smelter not listed",OR(LEN(D1094)=0,LEN(E1094)=0)),1,0)</f>
        <v>0</v>
      </c>
      <c r="V1094" s="235"/>
      <c r="W1094" s="235"/>
      <c r="Y1094" s="228" t="str">
        <f t="shared" ref="Y1094:Y1157" si="31">B1094&amp;C1094</f>
        <v>TinPT Timah (Persero) Tbk Mentok</v>
      </c>
    </row>
    <row r="1095" spans="1:25" s="228" customFormat="1" ht="20.25">
      <c r="A1095" s="161" t="s">
        <v>1400</v>
      </c>
      <c r="B1095" s="420" t="s">
        <v>2324</v>
      </c>
      <c r="C1095" s="297" t="str">
        <f>IF(LEN(A1095)=0,"",INDEX('[2]Smelter Reference List'!$C$1:$C$65536,MATCH($A1095,'[2]Smelter Reference List'!$E$1:$E$65536,0)))</f>
        <v>PT Tinindo Inter Nusa</v>
      </c>
      <c r="D1095" s="161" t="s">
        <v>972</v>
      </c>
      <c r="E1095" s="161" t="s">
        <v>2238</v>
      </c>
      <c r="F1095" s="161" t="s">
        <v>1400</v>
      </c>
      <c r="G1095" s="161" t="s">
        <v>3125</v>
      </c>
      <c r="H1095" s="247">
        <v>0</v>
      </c>
      <c r="I1095" s="248" t="s">
        <v>3457</v>
      </c>
      <c r="J1095" s="248" t="s">
        <v>3454</v>
      </c>
      <c r="K1095" s="245"/>
      <c r="L1095" s="245"/>
      <c r="M1095" s="245"/>
      <c r="N1095" s="245"/>
      <c r="O1095" s="245"/>
      <c r="P1095" s="245"/>
      <c r="Q1095" s="246"/>
      <c r="R1095" s="233"/>
      <c r="S1095" s="234">
        <f>IF(C1095="",NA(),MATCH($B1095&amp;$C1095,'Smelter Reference List'!$J:$J,0))</f>
        <v>434</v>
      </c>
      <c r="T1095" s="235"/>
      <c r="U1095" s="235">
        <f t="shared" si="30"/>
        <v>0</v>
      </c>
      <c r="V1095" s="235"/>
      <c r="W1095" s="235"/>
      <c r="Y1095" s="228" t="str">
        <f t="shared" si="31"/>
        <v>TinPT Tinindo Inter Nusa</v>
      </c>
    </row>
    <row r="1096" spans="1:25" s="228" customFormat="1" ht="20.25">
      <c r="A1096" s="161" t="s">
        <v>1405</v>
      </c>
      <c r="B1096" s="420" t="s">
        <v>2324</v>
      </c>
      <c r="C1096" s="297" t="str">
        <f>IF(LEN(A1096)=0,"",INDEX('[2]Smelter Reference List'!$C$1:$C$65536,MATCH($A1096,'[2]Smelter Reference List'!$E$1:$E$65536,0)))</f>
        <v>White Solder Metalurgia e Mineração Ltda.</v>
      </c>
      <c r="D1096" s="161" t="s">
        <v>68</v>
      </c>
      <c r="E1096" s="161" t="s">
        <v>2170</v>
      </c>
      <c r="F1096" s="161" t="s">
        <v>1405</v>
      </c>
      <c r="G1096" s="161" t="s">
        <v>3125</v>
      </c>
      <c r="H1096" s="247">
        <v>0</v>
      </c>
      <c r="I1096" s="248" t="s">
        <v>3451</v>
      </c>
      <c r="J1096" s="248" t="s">
        <v>3452</v>
      </c>
      <c r="K1096" s="245"/>
      <c r="L1096" s="245"/>
      <c r="M1096" s="245"/>
      <c r="N1096" s="245"/>
      <c r="O1096" s="245"/>
      <c r="P1096" s="245"/>
      <c r="Q1096" s="246"/>
      <c r="R1096" s="233"/>
      <c r="S1096" s="234">
        <f>IF(C1096="",NA(),MATCH($B1096&amp;$C1096,'Smelter Reference List'!$J:$J,0))</f>
        <v>452</v>
      </c>
      <c r="T1096" s="235"/>
      <c r="U1096" s="235">
        <f t="shared" si="30"/>
        <v>0</v>
      </c>
      <c r="V1096" s="235"/>
      <c r="W1096" s="235"/>
      <c r="Y1096" s="228" t="str">
        <f t="shared" si="31"/>
        <v>TinWhite Solder Metalurgia e Mineração Ltda.</v>
      </c>
    </row>
    <row r="1097" spans="1:25" s="228" customFormat="1" ht="20.25">
      <c r="A1097" s="161" t="s">
        <v>1406</v>
      </c>
      <c r="B1097" s="420" t="s">
        <v>2324</v>
      </c>
      <c r="C1097" s="297" t="str">
        <f>IF(LEN(A1097)=0,"",INDEX('[2]Smelter Reference List'!$C$1:$C$65536,MATCH($A1097,'[2]Smelter Reference List'!$E$1:$E$65536,0)))</f>
        <v>Yunnan Chengfeng Non-ferrous Metals Co., Ltd.</v>
      </c>
      <c r="D1097" s="161" t="s">
        <v>4183</v>
      </c>
      <c r="E1097" s="161" t="s">
        <v>2181</v>
      </c>
      <c r="F1097" s="161" t="s">
        <v>1406</v>
      </c>
      <c r="G1097" s="161" t="s">
        <v>3125</v>
      </c>
      <c r="H1097" s="247">
        <v>0</v>
      </c>
      <c r="I1097" s="248" t="s">
        <v>3468</v>
      </c>
      <c r="J1097" s="248" t="s">
        <v>3161</v>
      </c>
      <c r="K1097" s="245"/>
      <c r="L1097" s="245"/>
      <c r="M1097" s="245"/>
      <c r="N1097" s="245"/>
      <c r="O1097" s="245"/>
      <c r="P1097" s="245"/>
      <c r="Q1097" s="246"/>
      <c r="R1097" s="233"/>
      <c r="S1097" s="234">
        <f>IF(C1097="",NA(),MATCH($B1097&amp;$C1097,'Smelter Reference List'!$J:$J,0))</f>
        <v>459</v>
      </c>
      <c r="T1097" s="235"/>
      <c r="U1097" s="235">
        <f t="shared" si="30"/>
        <v>0</v>
      </c>
      <c r="V1097" s="235"/>
      <c r="W1097" s="235"/>
      <c r="Y1097" s="228" t="str">
        <f t="shared" si="31"/>
        <v>TinYunnan Chengfeng Non-ferrous Metals Co., Ltd.</v>
      </c>
    </row>
    <row r="1098" spans="1:25" s="228" customFormat="1" ht="20.25">
      <c r="A1098" s="161" t="s">
        <v>1407</v>
      </c>
      <c r="B1098" s="420" t="s">
        <v>2324</v>
      </c>
      <c r="C1098" s="297" t="str">
        <f>IF(LEN(A1098)=0,"",INDEX('[2]Smelter Reference List'!$C$1:$C$65536,MATCH($A1098,'[2]Smelter Reference List'!$E$1:$E$65536,0)))</f>
        <v>Yunnan Tin Company Limited</v>
      </c>
      <c r="D1098" s="161" t="s">
        <v>4749</v>
      </c>
      <c r="E1098" s="161" t="s">
        <v>2181</v>
      </c>
      <c r="F1098" s="161" t="s">
        <v>1407</v>
      </c>
      <c r="G1098" s="161" t="s">
        <v>3125</v>
      </c>
      <c r="H1098" s="247">
        <v>0</v>
      </c>
      <c r="I1098" s="248" t="s">
        <v>3468</v>
      </c>
      <c r="J1098" s="248" t="s">
        <v>3161</v>
      </c>
      <c r="K1098" s="245"/>
      <c r="L1098" s="245"/>
      <c r="M1098" s="245"/>
      <c r="N1098" s="245"/>
      <c r="O1098" s="245"/>
      <c r="P1098" s="245"/>
      <c r="Q1098" s="246"/>
      <c r="R1098" s="233"/>
      <c r="S1098" s="234">
        <f>IF(C1098="",NA(),MATCH($B1098&amp;$C1098,'Smelter Reference List'!$J:$J,0))</f>
        <v>462</v>
      </c>
      <c r="T1098" s="235"/>
      <c r="U1098" s="235">
        <f t="shared" si="30"/>
        <v>0</v>
      </c>
      <c r="V1098" s="235"/>
      <c r="W1098" s="235"/>
      <c r="Y1098" s="228" t="str">
        <f t="shared" si="31"/>
        <v>TinYunnan Tin Company Limited</v>
      </c>
    </row>
    <row r="1099" spans="1:25" s="228" customFormat="1" ht="20.25">
      <c r="A1099" s="161" t="s">
        <v>1380</v>
      </c>
      <c r="B1099" s="420" t="s">
        <v>2324</v>
      </c>
      <c r="C1099" s="297" t="str">
        <f>IF(LEN(A1099)=0,"",INDEX('[2]Smelter Reference List'!$C$1:$C$65536,MATCH($A1099,'[2]Smelter Reference List'!$E$1:$E$65536,0)))</f>
        <v>Minsur</v>
      </c>
      <c r="D1099" s="161" t="s">
        <v>1954</v>
      </c>
      <c r="E1099" s="161" t="s">
        <v>1704</v>
      </c>
      <c r="F1099" s="161" t="s">
        <v>1380</v>
      </c>
      <c r="G1099" s="161" t="s">
        <v>3125</v>
      </c>
      <c r="H1099" s="247">
        <v>0</v>
      </c>
      <c r="I1099" s="248" t="s">
        <v>3487</v>
      </c>
      <c r="J1099" s="248" t="s">
        <v>3488</v>
      </c>
      <c r="K1099" s="245"/>
      <c r="L1099" s="245"/>
      <c r="M1099" s="245"/>
      <c r="N1099" s="245"/>
      <c r="O1099" s="245"/>
      <c r="P1099" s="245"/>
      <c r="Q1099" s="246"/>
      <c r="R1099" s="233"/>
      <c r="S1099" s="234">
        <f>IF(C1099="",NA(),MATCH($B1099&amp;$C1099,'Smelter Reference List'!$J:$J,0))</f>
        <v>384</v>
      </c>
      <c r="T1099" s="235"/>
      <c r="U1099" s="235">
        <f t="shared" si="30"/>
        <v>0</v>
      </c>
      <c r="V1099" s="235"/>
      <c r="W1099" s="235"/>
      <c r="Y1099" s="228" t="str">
        <f t="shared" si="31"/>
        <v>TinMinsur</v>
      </c>
    </row>
    <row r="1100" spans="1:25" s="228" customFormat="1" ht="20.25">
      <c r="A1100" s="161" t="s">
        <v>1384</v>
      </c>
      <c r="B1100" s="420" t="s">
        <v>2324</v>
      </c>
      <c r="C1100" s="297" t="str">
        <f>IF(LEN(A1100)=0,"",INDEX('[2]Smelter Reference List'!$C$1:$C$65536,MATCH($A1100,'[2]Smelter Reference List'!$E$1:$E$65536,0)))</f>
        <v>Operaciones Metalurgical S.A.</v>
      </c>
      <c r="D1100" s="161" t="s">
        <v>3494</v>
      </c>
      <c r="E1100" s="161" t="s">
        <v>2169</v>
      </c>
      <c r="F1100" s="161" t="s">
        <v>1384</v>
      </c>
      <c r="G1100" s="161" t="s">
        <v>3125</v>
      </c>
      <c r="H1100" s="247">
        <v>0</v>
      </c>
      <c r="I1100" s="248" t="s">
        <v>3459</v>
      </c>
      <c r="J1100" s="248" t="s">
        <v>3460</v>
      </c>
      <c r="K1100" s="245"/>
      <c r="L1100" s="245"/>
      <c r="M1100" s="245"/>
      <c r="N1100" s="245"/>
      <c r="O1100" s="245"/>
      <c r="P1100" s="245"/>
      <c r="Q1100" s="246"/>
      <c r="R1100" s="233"/>
      <c r="S1100" s="234">
        <f>IF(C1100="",NA(),MATCH($B1100&amp;$C1100,'Smelter Reference List'!$J:$J,0))</f>
        <v>394</v>
      </c>
      <c r="T1100" s="235"/>
      <c r="U1100" s="235">
        <f t="shared" si="30"/>
        <v>0</v>
      </c>
      <c r="V1100" s="235"/>
      <c r="W1100" s="235"/>
      <c r="Y1100" s="228" t="str">
        <f t="shared" si="31"/>
        <v>TinOperaciones Metalurgical S.A.</v>
      </c>
    </row>
    <row r="1101" spans="1:25" s="228" customFormat="1" ht="20.25">
      <c r="A1101" s="161" t="s">
        <v>1372</v>
      </c>
      <c r="B1101" s="420" t="s">
        <v>2324</v>
      </c>
      <c r="C1101" s="297" t="str">
        <f>IF(LEN(A1101)=0,"",INDEX('[2]Smelter Reference List'!$C$1:$C$65536,MATCH($A1101,'[2]Smelter Reference List'!$E$1:$E$65536,0)))</f>
        <v>Gejiu Non-Ferrous Metal Processing Co., Ltd.</v>
      </c>
      <c r="D1101" s="161" t="s">
        <v>4152</v>
      </c>
      <c r="E1101" s="161" t="s">
        <v>2181</v>
      </c>
      <c r="F1101" s="161" t="s">
        <v>1372</v>
      </c>
      <c r="G1101" s="161" t="s">
        <v>3125</v>
      </c>
      <c r="H1101" s="247">
        <v>0</v>
      </c>
      <c r="I1101" s="248" t="s">
        <v>3468</v>
      </c>
      <c r="J1101" s="248" t="s">
        <v>3161</v>
      </c>
      <c r="K1101" s="245"/>
      <c r="L1101" s="245"/>
      <c r="M1101" s="245"/>
      <c r="N1101" s="245"/>
      <c r="O1101" s="245"/>
      <c r="P1101" s="245"/>
      <c r="Q1101" s="246"/>
      <c r="R1101" s="233"/>
      <c r="S1101" s="234">
        <f>IF(C1101="",NA(),MATCH($B1101&amp;$C1101,'Smelter Reference List'!$J:$J,0))</f>
        <v>353</v>
      </c>
      <c r="T1101" s="235"/>
      <c r="U1101" s="235">
        <f t="shared" si="30"/>
        <v>0</v>
      </c>
      <c r="V1101" s="235"/>
      <c r="W1101" s="235"/>
      <c r="Y1101" s="228" t="str">
        <f t="shared" si="31"/>
        <v>TinGejiu Non-Ferrous Metal Processing Co., Ltd.</v>
      </c>
    </row>
    <row r="1102" spans="1:25" s="228" customFormat="1" ht="20.25">
      <c r="A1102" s="161"/>
      <c r="B1102" s="420" t="s">
        <v>2324</v>
      </c>
      <c r="C1102" s="297" t="s">
        <v>3604</v>
      </c>
      <c r="D1102" s="161" t="s">
        <v>5676</v>
      </c>
      <c r="E1102" s="161" t="s">
        <v>2158</v>
      </c>
      <c r="F1102" s="161">
        <v>0</v>
      </c>
      <c r="G1102" s="228" t="s">
        <v>5584</v>
      </c>
      <c r="H1102" s="247" t="s">
        <v>5871</v>
      </c>
      <c r="I1102" s="248" t="s">
        <v>5872</v>
      </c>
      <c r="J1102" s="248" t="s">
        <v>5761</v>
      </c>
      <c r="K1102" s="245" t="s">
        <v>5858</v>
      </c>
      <c r="L1102" s="245" t="s">
        <v>5859</v>
      </c>
      <c r="M1102" s="245" t="s">
        <v>5873</v>
      </c>
      <c r="N1102" s="245" t="s">
        <v>5874</v>
      </c>
      <c r="O1102" s="245" t="s">
        <v>5875</v>
      </c>
      <c r="P1102" s="245" t="s">
        <v>925</v>
      </c>
      <c r="Q1102" s="246" t="s">
        <v>5876</v>
      </c>
      <c r="R1102" s="233"/>
      <c r="S1102" s="234">
        <f>IF(C1102="",NA(),MATCH($B1102&amp;$C1102,'Smelter Reference List'!$J:$J,0))</f>
        <v>467</v>
      </c>
      <c r="T1102" s="235"/>
      <c r="U1102" s="235">
        <f t="shared" si="30"/>
        <v>0</v>
      </c>
      <c r="V1102" s="235"/>
      <c r="W1102" s="235"/>
      <c r="Y1102" s="228" t="str">
        <f t="shared" si="31"/>
        <v>TinSmelter not listed</v>
      </c>
    </row>
    <row r="1103" spans="1:25" s="228" customFormat="1" ht="20.25">
      <c r="A1103" s="161" t="s">
        <v>1404</v>
      </c>
      <c r="B1103" s="420" t="s">
        <v>2324</v>
      </c>
      <c r="C1103" s="297" t="str">
        <f>IF(LEN(A1103)=0,"",INDEX('[2]Smelter Reference List'!$C$1:$C$65536,MATCH($A1103,'[2]Smelter Reference List'!$E$1:$E$65536,0)))</f>
        <v>Thaisarco</v>
      </c>
      <c r="D1103" s="161" t="s">
        <v>1951</v>
      </c>
      <c r="E1103" s="161" t="s">
        <v>1743</v>
      </c>
      <c r="F1103" s="161" t="s">
        <v>1404</v>
      </c>
      <c r="G1103" s="161" t="s">
        <v>3125</v>
      </c>
      <c r="H1103" s="247">
        <v>0</v>
      </c>
      <c r="I1103" s="248" t="s">
        <v>3510</v>
      </c>
      <c r="J1103" s="248" t="s">
        <v>3511</v>
      </c>
      <c r="K1103" s="245"/>
      <c r="L1103" s="245"/>
      <c r="M1103" s="245"/>
      <c r="N1103" s="245"/>
      <c r="O1103" s="245"/>
      <c r="P1103" s="245"/>
      <c r="Q1103" s="246"/>
      <c r="R1103" s="233"/>
      <c r="S1103" s="234">
        <f>IF(C1103="",NA(),MATCH($B1103&amp;$C1103,'Smelter Reference List'!$J:$J,0))</f>
        <v>445</v>
      </c>
      <c r="T1103" s="235"/>
      <c r="U1103" s="235">
        <f t="shared" si="30"/>
        <v>0</v>
      </c>
      <c r="V1103" s="235"/>
      <c r="W1103" s="235"/>
      <c r="Y1103" s="228" t="str">
        <f t="shared" si="31"/>
        <v>TinThaisarco</v>
      </c>
    </row>
    <row r="1104" spans="1:25" s="228" customFormat="1" ht="20.25">
      <c r="A1104" s="161" t="s">
        <v>1414</v>
      </c>
      <c r="B1104" s="420" t="s">
        <v>2326</v>
      </c>
      <c r="C1104" s="297" t="str">
        <f>IF(LEN(A1104)=0,"",INDEX('[2]Smelter Reference List'!$C$1:$C$65536,MATCH($A1104,'[2]Smelter Reference List'!$E$1:$E$65536,0)))</f>
        <v>Global Tungsten &amp; Powders Corp.</v>
      </c>
      <c r="D1104" s="161" t="s">
        <v>1</v>
      </c>
      <c r="E1104" s="161" t="s">
        <v>1759</v>
      </c>
      <c r="F1104" s="161" t="s">
        <v>1414</v>
      </c>
      <c r="G1104" s="161" t="s">
        <v>3125</v>
      </c>
      <c r="H1104" s="247">
        <v>0</v>
      </c>
      <c r="I1104" s="248" t="s">
        <v>3560</v>
      </c>
      <c r="J1104" s="248" t="s">
        <v>3401</v>
      </c>
      <c r="K1104" s="245"/>
      <c r="L1104" s="245"/>
      <c r="M1104" s="245"/>
      <c r="N1104" s="245"/>
      <c r="O1104" s="245"/>
      <c r="P1104" s="245"/>
      <c r="Q1104" s="246"/>
      <c r="R1104" s="233"/>
      <c r="S1104" s="234">
        <f>IF(C1104="",NA(),MATCH($B1104&amp;$C1104,'Smelter Reference List'!$J:$J,0))</f>
        <v>490</v>
      </c>
      <c r="T1104" s="235"/>
      <c r="U1104" s="235">
        <f t="shared" si="30"/>
        <v>0</v>
      </c>
      <c r="V1104" s="235"/>
      <c r="W1104" s="235"/>
      <c r="Y1104" s="228" t="str">
        <f t="shared" si="31"/>
        <v>TungstenGlobal Tungsten &amp; Powders Corp.</v>
      </c>
    </row>
    <row r="1105" spans="1:25" s="228" customFormat="1" ht="20.25">
      <c r="A1105" s="161" t="s">
        <v>1419</v>
      </c>
      <c r="B1105" s="420" t="s">
        <v>2326</v>
      </c>
      <c r="C1105" s="297" t="str">
        <f>IF(LEN(A1105)=0,"",INDEX('[2]Smelter Reference List'!$C$1:$C$65536,MATCH($A1105,'[2]Smelter Reference List'!$E$1:$E$65536,0)))</f>
        <v>Ganzhou Huaxing Tungsten Products Co., Ltd.</v>
      </c>
      <c r="D1105" s="161" t="s">
        <v>211</v>
      </c>
      <c r="E1105" s="161" t="s">
        <v>2181</v>
      </c>
      <c r="F1105" s="161" t="s">
        <v>1419</v>
      </c>
      <c r="G1105" s="161" t="s">
        <v>3125</v>
      </c>
      <c r="H1105" s="247">
        <v>0</v>
      </c>
      <c r="I1105" s="248" t="s">
        <v>3471</v>
      </c>
      <c r="J1105" s="248" t="s">
        <v>3204</v>
      </c>
      <c r="K1105" s="245"/>
      <c r="L1105" s="245"/>
      <c r="M1105" s="245"/>
      <c r="N1105" s="245"/>
      <c r="O1105" s="245"/>
      <c r="P1105" s="245"/>
      <c r="Q1105" s="246"/>
      <c r="R1105" s="233"/>
      <c r="S1105" s="234">
        <f>IF(C1105="",NA(),MATCH($B1105&amp;$C1105,'Smelter Reference List'!$J:$J,0))</f>
        <v>485</v>
      </c>
      <c r="T1105" s="235"/>
      <c r="U1105" s="235">
        <f t="shared" si="30"/>
        <v>0</v>
      </c>
      <c r="V1105" s="235"/>
      <c r="W1105" s="235"/>
      <c r="Y1105" s="228" t="str">
        <f t="shared" si="31"/>
        <v>TungstenGanzhou Huaxing Tungsten Products Co., Ltd.</v>
      </c>
    </row>
    <row r="1106" spans="1:25" s="228" customFormat="1" ht="20.25">
      <c r="A1106" s="161" t="s">
        <v>1408</v>
      </c>
      <c r="B1106" s="420" t="s">
        <v>2326</v>
      </c>
      <c r="C1106" s="297" t="str">
        <f>IF(LEN(A1106)=0,"",INDEX('[2]Smelter Reference List'!$C$1:$C$65536,MATCH($A1106,'[2]Smelter Reference List'!$E$1:$E$65536,0)))</f>
        <v>A.L.M.T. TUNGSTEN Corp.</v>
      </c>
      <c r="D1106" s="161" t="s">
        <v>3552</v>
      </c>
      <c r="E1106" s="161" t="s">
        <v>2249</v>
      </c>
      <c r="F1106" s="161" t="s">
        <v>1408</v>
      </c>
      <c r="G1106" s="161" t="s">
        <v>3125</v>
      </c>
      <c r="H1106" s="247">
        <v>0</v>
      </c>
      <c r="I1106" s="248" t="s">
        <v>4135</v>
      </c>
      <c r="J1106" s="248" t="s">
        <v>4136</v>
      </c>
      <c r="K1106" s="245"/>
      <c r="L1106" s="245"/>
      <c r="M1106" s="245"/>
      <c r="N1106" s="245"/>
      <c r="O1106" s="245"/>
      <c r="P1106" s="245"/>
      <c r="Q1106" s="246"/>
      <c r="R1106" s="233"/>
      <c r="S1106" s="234">
        <f>IF(C1106="",NA(),MATCH($B1106&amp;$C1106,'Smelter Reference List'!$J:$J,0))</f>
        <v>469</v>
      </c>
      <c r="T1106" s="235"/>
      <c r="U1106" s="235">
        <f t="shared" si="30"/>
        <v>0</v>
      </c>
      <c r="V1106" s="235"/>
      <c r="W1106" s="235"/>
      <c r="Y1106" s="228" t="str">
        <f t="shared" si="31"/>
        <v>TungstenA.L.M.T. TUNGSTEN Corp.</v>
      </c>
    </row>
    <row r="1107" spans="1:25" s="228" customFormat="1" ht="20.25">
      <c r="A1107" s="161" t="s">
        <v>1423</v>
      </c>
      <c r="B1107" s="420" t="s">
        <v>2326</v>
      </c>
      <c r="C1107" s="297" t="str">
        <f>IF(LEN(A1107)=0,"",INDEX('[2]Smelter Reference List'!$C$1:$C$65536,MATCH($A1107,'[2]Smelter Reference List'!$E$1:$E$65536,0)))</f>
        <v>Xiamen Tungsten Co., Ltd.</v>
      </c>
      <c r="D1107" s="161" t="s">
        <v>2663</v>
      </c>
      <c r="E1107" s="161" t="s">
        <v>2181</v>
      </c>
      <c r="F1107" s="161" t="s">
        <v>1423</v>
      </c>
      <c r="G1107" s="161" t="s">
        <v>3125</v>
      </c>
      <c r="H1107" s="247">
        <v>0</v>
      </c>
      <c r="I1107" s="248" t="s">
        <v>3569</v>
      </c>
      <c r="J1107" s="248" t="s">
        <v>3332</v>
      </c>
      <c r="K1107" s="245"/>
      <c r="L1107" s="245"/>
      <c r="M1107" s="245"/>
      <c r="N1107" s="245"/>
      <c r="O1107" s="245"/>
      <c r="P1107" s="245"/>
      <c r="Q1107" s="246"/>
      <c r="R1107" s="233"/>
      <c r="S1107" s="234">
        <f>IF(C1107="",NA(),MATCH($B1107&amp;$C1107,'Smelter Reference List'!$J:$J,0))</f>
        <v>532</v>
      </c>
      <c r="T1107" s="235"/>
      <c r="U1107" s="235">
        <f t="shared" si="30"/>
        <v>0</v>
      </c>
      <c r="V1107" s="235"/>
      <c r="W1107" s="235"/>
      <c r="Y1107" s="228" t="str">
        <f t="shared" si="31"/>
        <v>TungstenXiamen Tungsten Co., Ltd.</v>
      </c>
    </row>
    <row r="1108" spans="1:25" s="228" customFormat="1" ht="20.25">
      <c r="A1108" s="161" t="s">
        <v>1411</v>
      </c>
      <c r="B1108" s="420" t="s">
        <v>2326</v>
      </c>
      <c r="C1108" s="297" t="str">
        <f>IF(LEN(A1108)=0,"",INDEX('[2]Smelter Reference List'!$C$1:$C$65536,MATCH($A1108,'[2]Smelter Reference List'!$E$1:$E$65536,0)))</f>
        <v>Chongyi Zhangyuan Tungsten Co., Ltd.</v>
      </c>
      <c r="D1108" s="161" t="s">
        <v>2659</v>
      </c>
      <c r="E1108" s="161" t="s">
        <v>2181</v>
      </c>
      <c r="F1108" s="161" t="s">
        <v>1411</v>
      </c>
      <c r="G1108" s="161" t="s">
        <v>3125</v>
      </c>
      <c r="H1108" s="247">
        <v>0</v>
      </c>
      <c r="I1108" s="248" t="s">
        <v>3471</v>
      </c>
      <c r="J1108" s="248" t="s">
        <v>3204</v>
      </c>
      <c r="K1108" s="245"/>
      <c r="L1108" s="245"/>
      <c r="M1108" s="245"/>
      <c r="N1108" s="245"/>
      <c r="O1108" s="245"/>
      <c r="P1108" s="245"/>
      <c r="Q1108" s="246"/>
      <c r="R1108" s="233"/>
      <c r="S1108" s="234">
        <f>IF(C1108="",NA(),MATCH($B1108&amp;$C1108,'Smelter Reference List'!$J:$J,0))</f>
        <v>480</v>
      </c>
      <c r="T1108" s="235"/>
      <c r="U1108" s="235">
        <f t="shared" si="30"/>
        <v>0</v>
      </c>
      <c r="V1108" s="235"/>
      <c r="W1108" s="235"/>
      <c r="Y1108" s="228" t="str">
        <f t="shared" si="31"/>
        <v>TungstenChongyi Zhangyuan Tungsten Co., Ltd.</v>
      </c>
    </row>
    <row r="1109" spans="1:25" s="228" customFormat="1" ht="20.25">
      <c r="A1109" s="161" t="s">
        <v>206</v>
      </c>
      <c r="B1109" s="420" t="s">
        <v>2326</v>
      </c>
      <c r="C1109" s="297" t="str">
        <f>IF(LEN(A1109)=0,"",INDEX('[2]Smelter Reference List'!$C$1:$C$65536,MATCH($A1109,'[2]Smelter Reference List'!$E$1:$E$65536,0)))</f>
        <v>Xiamen Tungsten (H.C.) Co., Ltd.</v>
      </c>
      <c r="D1109" s="161" t="s">
        <v>218</v>
      </c>
      <c r="E1109" s="161" t="s">
        <v>2181</v>
      </c>
      <c r="F1109" s="161" t="s">
        <v>206</v>
      </c>
      <c r="G1109" s="161" t="s">
        <v>3125</v>
      </c>
      <c r="H1109" s="247">
        <v>0</v>
      </c>
      <c r="I1109" s="248" t="s">
        <v>3569</v>
      </c>
      <c r="J1109" s="248" t="s">
        <v>3332</v>
      </c>
      <c r="K1109" s="245"/>
      <c r="L1109" s="245"/>
      <c r="M1109" s="245"/>
      <c r="N1109" s="245"/>
      <c r="O1109" s="245"/>
      <c r="P1109" s="245"/>
      <c r="Q1109" s="246"/>
      <c r="R1109" s="233"/>
      <c r="S1109" s="234">
        <f>IF(C1109="",NA(),MATCH($B1109&amp;$C1109,'Smelter Reference List'!$J:$J,0))</f>
        <v>531</v>
      </c>
      <c r="T1109" s="235"/>
      <c r="U1109" s="235">
        <f t="shared" si="30"/>
        <v>0</v>
      </c>
      <c r="V1109" s="235"/>
      <c r="W1109" s="235"/>
      <c r="Y1109" s="228" t="str">
        <f t="shared" si="31"/>
        <v>TungstenXiamen Tungsten (H.C.) Co., Ltd.</v>
      </c>
    </row>
    <row r="1110" spans="1:25" s="228" customFormat="1" ht="20.25">
      <c r="A1110" s="161" t="s">
        <v>1410</v>
      </c>
      <c r="B1110" s="420" t="s">
        <v>2326</v>
      </c>
      <c r="C1110" s="297" t="str">
        <f>IF(LEN(A1110)=0,"",INDEX('[2]Smelter Reference List'!$C$1:$C$65536,MATCH($A1110,'[2]Smelter Reference List'!$E$1:$E$65536,0)))</f>
        <v>Guangdong Xianglu Tungsten Co., Ltd.</v>
      </c>
      <c r="D1110" s="161" t="s">
        <v>2660</v>
      </c>
      <c r="E1110" s="161" t="s">
        <v>2181</v>
      </c>
      <c r="F1110" s="161" t="s">
        <v>1410</v>
      </c>
      <c r="G1110" s="161" t="s">
        <v>3125</v>
      </c>
      <c r="H1110" s="247">
        <v>0</v>
      </c>
      <c r="I1110" s="248" t="s">
        <v>3557</v>
      </c>
      <c r="J1110" s="248" t="s">
        <v>3335</v>
      </c>
      <c r="K1110" s="245"/>
      <c r="L1110" s="245"/>
      <c r="M1110" s="245"/>
      <c r="N1110" s="245"/>
      <c r="O1110" s="245"/>
      <c r="P1110" s="245"/>
      <c r="Q1110" s="246"/>
      <c r="R1110" s="233"/>
      <c r="S1110" s="234">
        <f>IF(C1110="",NA(),MATCH($B1110&amp;$C1110,'Smelter Reference List'!$J:$J,0))</f>
        <v>492</v>
      </c>
      <c r="T1110" s="235"/>
      <c r="U1110" s="235">
        <f t="shared" si="30"/>
        <v>0</v>
      </c>
      <c r="V1110" s="235"/>
      <c r="W1110" s="235"/>
      <c r="Y1110" s="228" t="str">
        <f t="shared" si="31"/>
        <v>TungstenGuangdong Xianglu Tungsten Co., Ltd.</v>
      </c>
    </row>
    <row r="1111" spans="1:25" s="228" customFormat="1" ht="20.25">
      <c r="A1111" s="161" t="s">
        <v>722</v>
      </c>
      <c r="B1111" s="420" t="s">
        <v>2326</v>
      </c>
      <c r="C1111" s="297" t="str">
        <f>IF(LEN(A1111)=0,"",INDEX('[2]Smelter Reference List'!$C$1:$C$65536,MATCH($A1111,'[2]Smelter Reference List'!$E$1:$E$65536,0)))</f>
        <v>Ganzhou Seadragon W &amp; Mo Co., Ltd.</v>
      </c>
      <c r="D1111" s="161" t="s">
        <v>721</v>
      </c>
      <c r="E1111" s="161" t="s">
        <v>2181</v>
      </c>
      <c r="F1111" s="161" t="s">
        <v>722</v>
      </c>
      <c r="G1111" s="161" t="s">
        <v>3125</v>
      </c>
      <c r="H1111" s="247">
        <v>0</v>
      </c>
      <c r="I1111" s="248" t="s">
        <v>3471</v>
      </c>
      <c r="J1111" s="248" t="s">
        <v>3204</v>
      </c>
      <c r="K1111" s="245"/>
      <c r="L1111" s="245"/>
      <c r="M1111" s="245"/>
      <c r="N1111" s="245"/>
      <c r="O1111" s="245"/>
      <c r="P1111" s="245"/>
      <c r="Q1111" s="246"/>
      <c r="R1111" s="233"/>
      <c r="S1111" s="234">
        <f>IF(C1111="",NA(),MATCH($B1111&amp;$C1111,'Smelter Reference List'!$J:$J,0))</f>
        <v>488</v>
      </c>
      <c r="T1111" s="235"/>
      <c r="U1111" s="235">
        <f t="shared" si="30"/>
        <v>0</v>
      </c>
      <c r="V1111" s="235"/>
      <c r="W1111" s="235"/>
      <c r="Y1111" s="228" t="str">
        <f t="shared" si="31"/>
        <v>TungstenGanzhou Seadragon W &amp; Mo Co., Ltd.</v>
      </c>
    </row>
    <row r="1112" spans="1:25" s="228" customFormat="1" ht="20.25">
      <c r="A1112" s="161" t="s">
        <v>1416</v>
      </c>
      <c r="B1112" s="420" t="s">
        <v>2326</v>
      </c>
      <c r="C1112" s="297" t="str">
        <f>IF(LEN(A1112)=0,"",INDEX('[2]Smelter Reference List'!$C$1:$C$65536,MATCH($A1112,'[2]Smelter Reference List'!$E$1:$E$65536,0)))</f>
        <v>Hunan Chunchang Nonferrous Metals Co., Ltd.</v>
      </c>
      <c r="D1112" s="161" t="s">
        <v>2661</v>
      </c>
      <c r="E1112" s="161" t="s">
        <v>2181</v>
      </c>
      <c r="F1112" s="161" t="s">
        <v>1416</v>
      </c>
      <c r="G1112" s="161" t="s">
        <v>3125</v>
      </c>
      <c r="H1112" s="247">
        <v>0</v>
      </c>
      <c r="I1112" s="248" t="s">
        <v>3407</v>
      </c>
      <c r="J1112" s="248" t="s">
        <v>3186</v>
      </c>
      <c r="K1112" s="245"/>
      <c r="L1112" s="245"/>
      <c r="M1112" s="245"/>
      <c r="N1112" s="245"/>
      <c r="O1112" s="245"/>
      <c r="P1112" s="245"/>
      <c r="Q1112" s="246"/>
      <c r="R1112" s="233"/>
      <c r="S1112" s="234">
        <f>IF(C1112="",NA(),MATCH($B1112&amp;$C1112,'Smelter Reference List'!$J:$J,0))</f>
        <v>500</v>
      </c>
      <c r="T1112" s="235"/>
      <c r="U1112" s="235">
        <f t="shared" si="30"/>
        <v>0</v>
      </c>
      <c r="V1112" s="235"/>
      <c r="W1112" s="235"/>
      <c r="Y1112" s="228" t="str">
        <f t="shared" si="31"/>
        <v>TungstenHunan Chunchang Nonferrous Metals Co., Ltd.</v>
      </c>
    </row>
    <row r="1113" spans="1:25" s="228" customFormat="1" ht="20.25">
      <c r="A1113" s="161" t="s">
        <v>2742</v>
      </c>
      <c r="B1113" s="420" t="s">
        <v>2325</v>
      </c>
      <c r="C1113" s="297" t="str">
        <f>IF(LEN(A1113)=0,"",INDEX('[2]Smelter Reference List'!$C$1:$C$65536,MATCH($A1113,'[2]Smelter Reference List'!$E$1:$E$65536,0)))</f>
        <v>H.C. Starck GmbH Laufenburg</v>
      </c>
      <c r="D1113" s="161" t="s">
        <v>2741</v>
      </c>
      <c r="E1113" s="161" t="s">
        <v>2195</v>
      </c>
      <c r="F1113" s="161" t="s">
        <v>2742</v>
      </c>
      <c r="G1113" s="161" t="s">
        <v>3125</v>
      </c>
      <c r="H1113" s="247">
        <v>0</v>
      </c>
      <c r="I1113" s="248" t="s">
        <v>3420</v>
      </c>
      <c r="J1113" s="248" t="s">
        <v>3131</v>
      </c>
      <c r="K1113" s="245"/>
      <c r="L1113" s="245"/>
      <c r="M1113" s="245"/>
      <c r="N1113" s="245"/>
      <c r="O1113" s="245"/>
      <c r="P1113" s="245"/>
      <c r="Q1113" s="246"/>
      <c r="R1113" s="233"/>
      <c r="S1113" s="234">
        <f>IF(C1113="",NA(),MATCH($B1113&amp;$C1113,'Smelter Reference List'!$J:$J,0))</f>
        <v>256</v>
      </c>
      <c r="T1113" s="235"/>
      <c r="U1113" s="235">
        <f t="shared" si="30"/>
        <v>0</v>
      </c>
      <c r="V1113" s="235"/>
      <c r="W1113" s="235"/>
      <c r="Y1113" s="228" t="str">
        <f t="shared" si="31"/>
        <v>TantalumH.C. Starck GmbH Laufenburg</v>
      </c>
    </row>
    <row r="1114" spans="1:25" s="228" customFormat="1" ht="20.25">
      <c r="A1114" s="161" t="s">
        <v>2740</v>
      </c>
      <c r="B1114" s="420" t="s">
        <v>2325</v>
      </c>
      <c r="C1114" s="297" t="str">
        <f>IF(LEN(A1114)=0,"",INDEX('[2]Smelter Reference List'!$C$1:$C$65536,MATCH($A1114,'[2]Smelter Reference List'!$E$1:$E$65536,0)))</f>
        <v>H.C. Starck GmbH Goslar</v>
      </c>
      <c r="D1114" s="161" t="s">
        <v>2739</v>
      </c>
      <c r="E1114" s="161" t="s">
        <v>2195</v>
      </c>
      <c r="F1114" s="161" t="s">
        <v>2740</v>
      </c>
      <c r="G1114" s="161" t="s">
        <v>3125</v>
      </c>
      <c r="H1114" s="247">
        <v>0</v>
      </c>
      <c r="I1114" s="248" t="s">
        <v>3418</v>
      </c>
      <c r="J1114" s="248" t="s">
        <v>3419</v>
      </c>
      <c r="K1114" s="245"/>
      <c r="L1114" s="245"/>
      <c r="M1114" s="245"/>
      <c r="N1114" s="245"/>
      <c r="O1114" s="245"/>
      <c r="P1114" s="245"/>
      <c r="Q1114" s="246"/>
      <c r="R1114" s="233"/>
      <c r="S1114" s="234">
        <f>IF(C1114="",NA(),MATCH($B1114&amp;$C1114,'Smelter Reference List'!$J:$J,0))</f>
        <v>255</v>
      </c>
      <c r="T1114" s="235"/>
      <c r="U1114" s="235">
        <f t="shared" si="30"/>
        <v>0</v>
      </c>
      <c r="V1114" s="235"/>
      <c r="W1114" s="235"/>
      <c r="Y1114" s="228" t="str">
        <f t="shared" si="31"/>
        <v>TantalumH.C. Starck GmbH Goslar</v>
      </c>
    </row>
    <row r="1115" spans="1:25" s="228" customFormat="1" ht="20.25">
      <c r="A1115" s="161" t="s">
        <v>2736</v>
      </c>
      <c r="B1115" s="420" t="s">
        <v>2325</v>
      </c>
      <c r="C1115" s="297" t="str">
        <f>IF(LEN(A1115)=0,"",INDEX('[2]Smelter Reference List'!$C$1:$C$65536,MATCH($A1115,'[2]Smelter Reference List'!$E$1:$E$65536,0)))</f>
        <v>Global Advanced Metals Boyertown</v>
      </c>
      <c r="D1115" s="161" t="s">
        <v>2735</v>
      </c>
      <c r="E1115" s="161" t="s">
        <v>1759</v>
      </c>
      <c r="F1115" s="161" t="s">
        <v>2736</v>
      </c>
      <c r="G1115" s="161" t="s">
        <v>3125</v>
      </c>
      <c r="H1115" s="247">
        <v>0</v>
      </c>
      <c r="I1115" s="248" t="s">
        <v>3428</v>
      </c>
      <c r="J1115" s="248" t="s">
        <v>3401</v>
      </c>
      <c r="K1115" s="245"/>
      <c r="L1115" s="245"/>
      <c r="M1115" s="245"/>
      <c r="N1115" s="245"/>
      <c r="O1115" s="245"/>
      <c r="P1115" s="245"/>
      <c r="Q1115" s="246"/>
      <c r="R1115" s="233"/>
      <c r="S1115" s="234">
        <f>IF(C1115="",NA(),MATCH($B1115&amp;$C1115,'Smelter Reference List'!$J:$J,0))</f>
        <v>252</v>
      </c>
      <c r="T1115" s="235"/>
      <c r="U1115" s="235">
        <f t="shared" si="30"/>
        <v>0</v>
      </c>
      <c r="V1115" s="235"/>
      <c r="W1115" s="235"/>
      <c r="Y1115" s="228" t="str">
        <f t="shared" si="31"/>
        <v>TantalumGlobal Advanced Metals Boyertown</v>
      </c>
    </row>
    <row r="1116" spans="1:25" s="228" customFormat="1" ht="20.25">
      <c r="A1116" s="161" t="s">
        <v>1360</v>
      </c>
      <c r="B1116" s="420" t="s">
        <v>2325</v>
      </c>
      <c r="C1116" s="297" t="str">
        <f>IF(LEN(A1116)=0,"",INDEX('[2]Smelter Reference List'!$C$1:$C$65536,MATCH($A1116,'[2]Smelter Reference List'!$E$1:$E$65536,0)))</f>
        <v>Ulba Metallurgical Plant JSC</v>
      </c>
      <c r="D1116" s="161" t="s">
        <v>3402</v>
      </c>
      <c r="E1116" s="161" t="s">
        <v>2250</v>
      </c>
      <c r="F1116" s="161" t="s">
        <v>1360</v>
      </c>
      <c r="G1116" s="161" t="s">
        <v>3125</v>
      </c>
      <c r="H1116" s="247">
        <v>0</v>
      </c>
      <c r="I1116" s="248" t="s">
        <v>3214</v>
      </c>
      <c r="J1116" s="248" t="s">
        <v>3403</v>
      </c>
      <c r="K1116" s="245"/>
      <c r="L1116" s="245"/>
      <c r="M1116" s="245"/>
      <c r="N1116" s="245"/>
      <c r="O1116" s="245"/>
      <c r="P1116" s="245"/>
      <c r="Q1116" s="246"/>
      <c r="R1116" s="233"/>
      <c r="S1116" s="234">
        <f>IF(C1116="",NA(),MATCH($B1116&amp;$C1116,'Smelter Reference List'!$J:$J,0))</f>
        <v>294</v>
      </c>
      <c r="T1116" s="235"/>
      <c r="U1116" s="235">
        <f t="shared" si="30"/>
        <v>0</v>
      </c>
      <c r="V1116" s="235"/>
      <c r="W1116" s="235"/>
      <c r="Y1116" s="228" t="str">
        <f t="shared" si="31"/>
        <v>TantalumUlba Metallurgical Plant JSC</v>
      </c>
    </row>
    <row r="1117" spans="1:25" s="228" customFormat="1" ht="20.25">
      <c r="A1117" s="161" t="s">
        <v>2746</v>
      </c>
      <c r="B1117" s="420" t="s">
        <v>2325</v>
      </c>
      <c r="C1117" s="297" t="str">
        <f>IF(LEN(A1117)=0,"",INDEX('[2]Smelter Reference List'!$C$1:$C$65536,MATCH($A1117,'[2]Smelter Reference List'!$E$1:$E$65536,0)))</f>
        <v>H.C. Starck Inc.</v>
      </c>
      <c r="D1117" s="161" t="s">
        <v>2745</v>
      </c>
      <c r="E1117" s="161" t="s">
        <v>1759</v>
      </c>
      <c r="F1117" s="161" t="s">
        <v>2746</v>
      </c>
      <c r="G1117" s="161" t="s">
        <v>3125</v>
      </c>
      <c r="H1117" s="247">
        <v>0</v>
      </c>
      <c r="I1117" s="248" t="s">
        <v>3423</v>
      </c>
      <c r="J1117" s="248" t="s">
        <v>3242</v>
      </c>
      <c r="K1117" s="245"/>
      <c r="L1117" s="245"/>
      <c r="M1117" s="245"/>
      <c r="N1117" s="245"/>
      <c r="O1117" s="245"/>
      <c r="P1117" s="245"/>
      <c r="Q1117" s="246"/>
      <c r="R1117" s="233"/>
      <c r="S1117" s="234">
        <f>IF(C1117="",NA(),MATCH($B1117&amp;$C1117,'Smelter Reference List'!$J:$J,0))</f>
        <v>258</v>
      </c>
      <c r="T1117" s="235"/>
      <c r="U1117" s="235">
        <f t="shared" si="30"/>
        <v>0</v>
      </c>
      <c r="V1117" s="235"/>
      <c r="W1117" s="235"/>
      <c r="Y1117" s="228" t="str">
        <f t="shared" si="31"/>
        <v>TantalumH.C. Starck Inc.</v>
      </c>
    </row>
    <row r="1118" spans="1:25" s="228" customFormat="1" ht="20.25">
      <c r="A1118" s="161" t="s">
        <v>2738</v>
      </c>
      <c r="B1118" s="420" t="s">
        <v>2325</v>
      </c>
      <c r="C1118" s="297" t="str">
        <f>IF(LEN(A1118)=0,"",INDEX('[2]Smelter Reference List'!$C$1:$C$65536,MATCH($A1118,'[2]Smelter Reference List'!$E$1:$E$65536,0)))</f>
        <v>H.C. Starck Co., Ltd.</v>
      </c>
      <c r="D1118" s="161" t="s">
        <v>2737</v>
      </c>
      <c r="E1118" s="161" t="s">
        <v>1743</v>
      </c>
      <c r="F1118" s="161" t="s">
        <v>2738</v>
      </c>
      <c r="G1118" s="161" t="s">
        <v>3125</v>
      </c>
      <c r="H1118" s="247">
        <v>0</v>
      </c>
      <c r="I1118" s="248" t="s">
        <v>3416</v>
      </c>
      <c r="J1118" s="248" t="s">
        <v>3417</v>
      </c>
      <c r="K1118" s="245"/>
      <c r="L1118" s="245"/>
      <c r="M1118" s="245"/>
      <c r="N1118" s="245"/>
      <c r="O1118" s="245"/>
      <c r="P1118" s="245"/>
      <c r="Q1118" s="246"/>
      <c r="R1118" s="233"/>
      <c r="S1118" s="234">
        <f>IF(C1118="",NA(),MATCH($B1118&amp;$C1118,'Smelter Reference List'!$J:$J,0))</f>
        <v>254</v>
      </c>
      <c r="T1118" s="235"/>
      <c r="U1118" s="235">
        <f t="shared" si="30"/>
        <v>0</v>
      </c>
      <c r="V1118" s="235"/>
      <c r="W1118" s="235"/>
      <c r="Y1118" s="228" t="str">
        <f t="shared" si="31"/>
        <v>TantalumH.C. Starck Co., Ltd.</v>
      </c>
    </row>
    <row r="1119" spans="1:25" s="228" customFormat="1" ht="20.25">
      <c r="A1119" s="161" t="s">
        <v>2744</v>
      </c>
      <c r="B1119" s="420" t="s">
        <v>2325</v>
      </c>
      <c r="C1119" s="297" t="str">
        <f>IF(LEN(A1119)=0,"",INDEX('[2]Smelter Reference List'!$C$1:$C$65536,MATCH($A1119,'[2]Smelter Reference List'!$E$1:$E$65536,0)))</f>
        <v>H.C. Starck Hermsdorf GmbH</v>
      </c>
      <c r="D1119" s="161" t="s">
        <v>2743</v>
      </c>
      <c r="E1119" s="161" t="s">
        <v>2195</v>
      </c>
      <c r="F1119" s="161" t="s">
        <v>2744</v>
      </c>
      <c r="G1119" s="161" t="s">
        <v>3125</v>
      </c>
      <c r="H1119" s="247">
        <v>0</v>
      </c>
      <c r="I1119" s="248" t="s">
        <v>3421</v>
      </c>
      <c r="J1119" s="248" t="s">
        <v>3422</v>
      </c>
      <c r="K1119" s="245"/>
      <c r="L1119" s="245"/>
      <c r="M1119" s="245"/>
      <c r="N1119" s="245"/>
      <c r="O1119" s="245"/>
      <c r="P1119" s="245"/>
      <c r="Q1119" s="246"/>
      <c r="R1119" s="233"/>
      <c r="S1119" s="234">
        <f>IF(C1119="",NA(),MATCH($B1119&amp;$C1119,'Smelter Reference List'!$J:$J,0))</f>
        <v>257</v>
      </c>
      <c r="T1119" s="235"/>
      <c r="U1119" s="235">
        <f t="shared" si="30"/>
        <v>0</v>
      </c>
      <c r="V1119" s="235"/>
      <c r="W1119" s="235"/>
      <c r="Y1119" s="228" t="str">
        <f t="shared" si="31"/>
        <v>TantalumH.C. Starck Hermsdorf GmbH</v>
      </c>
    </row>
    <row r="1120" spans="1:25" s="228" customFormat="1" ht="20.25">
      <c r="A1120" s="161" t="s">
        <v>2748</v>
      </c>
      <c r="B1120" s="408" t="s">
        <v>2325</v>
      </c>
      <c r="C1120" s="297" t="str">
        <f>IF(LEN(A1120)=0,"",INDEX('[2]Smelter Reference List'!$C$1:$C$65536,MATCH($A1120,'[2]Smelter Reference List'!$E$1:$E$65536,0)))</f>
        <v>H.C. Starck Ltd.</v>
      </c>
      <c r="D1120" s="161" t="s">
        <v>2747</v>
      </c>
      <c r="E1120" s="161" t="s">
        <v>2249</v>
      </c>
      <c r="F1120" s="161" t="s">
        <v>2748</v>
      </c>
      <c r="G1120" s="161" t="s">
        <v>3125</v>
      </c>
      <c r="H1120" s="247">
        <v>0</v>
      </c>
      <c r="I1120" s="248" t="s">
        <v>3424</v>
      </c>
      <c r="J1120" s="248" t="s">
        <v>3425</v>
      </c>
      <c r="K1120" s="245"/>
      <c r="L1120" s="245"/>
      <c r="M1120" s="245"/>
      <c r="N1120" s="245"/>
      <c r="O1120" s="245"/>
      <c r="P1120" s="245"/>
      <c r="Q1120" s="246"/>
      <c r="R1120" s="233"/>
      <c r="S1120" s="234">
        <f>IF(C1120="",NA(),MATCH($B1120&amp;$C1120,'Smelter Reference List'!$J:$J,0))</f>
        <v>259</v>
      </c>
      <c r="T1120" s="235"/>
      <c r="U1120" s="235">
        <f t="shared" si="30"/>
        <v>0</v>
      </c>
      <c r="V1120" s="235"/>
      <c r="W1120" s="235"/>
      <c r="Y1120" s="228" t="str">
        <f t="shared" si="31"/>
        <v>TantalumH.C. Starck Ltd.</v>
      </c>
    </row>
    <row r="1121" spans="1:25" s="228" customFormat="1" ht="20.25">
      <c r="A1121" s="161" t="s">
        <v>2750</v>
      </c>
      <c r="B1121" s="408" t="s">
        <v>2325</v>
      </c>
      <c r="C1121" s="297" t="str">
        <f>IF(LEN(A1121)=0,"",INDEX('[2]Smelter Reference List'!$C$1:$C$65536,MATCH($A1121,'[2]Smelter Reference List'!$E$1:$E$65536,0)))</f>
        <v>H.C. Starck Smelting GmbH &amp; Co. KG</v>
      </c>
      <c r="D1121" s="161" t="s">
        <v>4729</v>
      </c>
      <c r="E1121" s="161" t="s">
        <v>2195</v>
      </c>
      <c r="F1121" s="161" t="s">
        <v>2750</v>
      </c>
      <c r="G1121" s="161" t="s">
        <v>3125</v>
      </c>
      <c r="H1121" s="247">
        <v>0</v>
      </c>
      <c r="I1121" s="248" t="s">
        <v>3420</v>
      </c>
      <c r="J1121" s="248" t="s">
        <v>3131</v>
      </c>
      <c r="K1121" s="245"/>
      <c r="L1121" s="245"/>
      <c r="M1121" s="245"/>
      <c r="N1121" s="245"/>
      <c r="O1121" s="245"/>
      <c r="P1121" s="245"/>
      <c r="Q1121" s="246"/>
      <c r="R1121" s="233"/>
      <c r="S1121" s="234">
        <f>IF(C1121="",NA(),MATCH($B1121&amp;$C1121,'Smelter Reference List'!$J:$J,0))</f>
        <v>260</v>
      </c>
      <c r="T1121" s="235"/>
      <c r="U1121" s="235">
        <f t="shared" si="30"/>
        <v>0</v>
      </c>
      <c r="V1121" s="235"/>
      <c r="W1121" s="235"/>
      <c r="Y1121" s="228" t="str">
        <f t="shared" si="31"/>
        <v>TantalumH.C. Starck Smelting GmbH &amp; Co. KG</v>
      </c>
    </row>
    <row r="1122" spans="1:25" s="228" customFormat="1" ht="20.25">
      <c r="A1122" s="161" t="s">
        <v>1342</v>
      </c>
      <c r="B1122" s="408" t="s">
        <v>2325</v>
      </c>
      <c r="C1122" s="297" t="str">
        <f>IF(LEN(A1122)=0,"",INDEX('[2]Smelter Reference List'!$C$1:$C$65536,MATCH($A1122,'[2]Smelter Reference List'!$E$1:$E$65536,0)))</f>
        <v>F&amp;X Electro-Materials Ltd.</v>
      </c>
      <c r="D1122" s="161" t="s">
        <v>63</v>
      </c>
      <c r="E1122" s="161" t="s">
        <v>2181</v>
      </c>
      <c r="F1122" s="161" t="s">
        <v>1342</v>
      </c>
      <c r="G1122" s="161" t="s">
        <v>3125</v>
      </c>
      <c r="H1122" s="247">
        <v>0</v>
      </c>
      <c r="I1122" s="248" t="s">
        <v>3374</v>
      </c>
      <c r="J1122" s="248" t="s">
        <v>3335</v>
      </c>
      <c r="K1122" s="245"/>
      <c r="L1122" s="245"/>
      <c r="M1122" s="245"/>
      <c r="N1122" s="245"/>
      <c r="O1122" s="245"/>
      <c r="P1122" s="245"/>
      <c r="Q1122" s="246"/>
      <c r="R1122" s="233"/>
      <c r="S1122" s="234">
        <f>IF(C1122="",NA(),MATCH($B1122&amp;$C1122,'Smelter Reference List'!$J:$J,0))</f>
        <v>249</v>
      </c>
      <c r="T1122" s="235"/>
      <c r="U1122" s="235">
        <f t="shared" si="30"/>
        <v>0</v>
      </c>
      <c r="V1122" s="235"/>
      <c r="W1122" s="235"/>
      <c r="Y1122" s="228" t="str">
        <f t="shared" si="31"/>
        <v>TantalumF&amp;X Electro-Materials Ltd.</v>
      </c>
    </row>
    <row r="1123" spans="1:25" s="228" customFormat="1" ht="20.25">
      <c r="A1123" s="161" t="s">
        <v>1357</v>
      </c>
      <c r="B1123" s="408" t="s">
        <v>2325</v>
      </c>
      <c r="C1123" s="297" t="str">
        <f>IF(LEN(A1123)=0,"",INDEX('[2]Smelter Reference List'!$C$1:$C$65536,MATCH($A1123,'[2]Smelter Reference List'!$E$1:$E$65536,0)))</f>
        <v>Solikamsk Magnesium Works OAO</v>
      </c>
      <c r="D1123" s="161" t="s">
        <v>2658</v>
      </c>
      <c r="E1123" s="161" t="s">
        <v>1717</v>
      </c>
      <c r="F1123" s="161" t="s">
        <v>1357</v>
      </c>
      <c r="G1123" s="161" t="s">
        <v>3125</v>
      </c>
      <c r="H1123" s="247">
        <v>0</v>
      </c>
      <c r="I1123" s="248" t="s">
        <v>3396</v>
      </c>
      <c r="J1123" s="248" t="s">
        <v>3397</v>
      </c>
      <c r="K1123" s="245"/>
      <c r="L1123" s="245"/>
      <c r="M1123" s="245"/>
      <c r="N1123" s="245"/>
      <c r="O1123" s="245"/>
      <c r="P1123" s="245"/>
      <c r="Q1123" s="246"/>
      <c r="R1123" s="233"/>
      <c r="S1123" s="234">
        <f>IF(C1123="",NA(),MATCH($B1123&amp;$C1123,'Smelter Reference List'!$J:$J,0))</f>
        <v>288</v>
      </c>
      <c r="T1123" s="235"/>
      <c r="U1123" s="235">
        <f t="shared" si="30"/>
        <v>0</v>
      </c>
      <c r="V1123" s="235"/>
      <c r="W1123" s="235"/>
      <c r="Y1123" s="228" t="str">
        <f t="shared" si="31"/>
        <v>TantalumSolikamsk Magnesium Works OAO</v>
      </c>
    </row>
    <row r="1124" spans="1:25" s="228" customFormat="1" ht="20.25">
      <c r="A1124" s="161" t="s">
        <v>1354</v>
      </c>
      <c r="B1124" s="408" t="s">
        <v>2325</v>
      </c>
      <c r="C1124" s="297" t="str">
        <f>IF(LEN(A1124)=0,"",INDEX('[2]Smelter Reference List'!$C$1:$C$65536,MATCH($A1124,'[2]Smelter Reference List'!$E$1:$E$65536,0)))</f>
        <v>Ningxia Orient Tantalum Industry Co., Ltd.</v>
      </c>
      <c r="D1124" s="161" t="s">
        <v>1950</v>
      </c>
      <c r="E1124" s="161" t="s">
        <v>2181</v>
      </c>
      <c r="F1124" s="161" t="s">
        <v>1354</v>
      </c>
      <c r="G1124" s="161" t="s">
        <v>3125</v>
      </c>
      <c r="H1124" s="247">
        <v>0</v>
      </c>
      <c r="I1124" s="248" t="s">
        <v>3391</v>
      </c>
      <c r="J1124" s="248" t="s">
        <v>3392</v>
      </c>
      <c r="K1124" s="245"/>
      <c r="L1124" s="245"/>
      <c r="M1124" s="245"/>
      <c r="N1124" s="245"/>
      <c r="O1124" s="245"/>
      <c r="P1124" s="245"/>
      <c r="Q1124" s="246"/>
      <c r="R1124" s="233"/>
      <c r="S1124" s="234">
        <f>IF(C1124="",NA(),MATCH($B1124&amp;$C1124,'Smelter Reference List'!$J:$J,0))</f>
        <v>278</v>
      </c>
      <c r="T1124" s="235"/>
      <c r="U1124" s="235">
        <f t="shared" si="30"/>
        <v>0</v>
      </c>
      <c r="V1124" s="235"/>
      <c r="W1124" s="235"/>
      <c r="Y1124" s="228" t="str">
        <f t="shared" si="31"/>
        <v>TantalumNingxia Orient Tantalum Industry Co., Ltd.</v>
      </c>
    </row>
    <row r="1125" spans="1:25" s="228" customFormat="1" ht="20.25">
      <c r="A1125" s="161" t="s">
        <v>1352</v>
      </c>
      <c r="B1125" s="408" t="s">
        <v>2325</v>
      </c>
      <c r="C1125" s="297" t="str">
        <f>IF(LEN(A1125)=0,"",INDEX('[2]Smelter Reference List'!$C$1:$C$65536,MATCH($A1125,'[2]Smelter Reference List'!$E$1:$E$65536,0)))</f>
        <v>Mitsui Mining &amp; Smelting</v>
      </c>
      <c r="D1125" s="161" t="s">
        <v>2308</v>
      </c>
      <c r="E1125" s="161" t="s">
        <v>2249</v>
      </c>
      <c r="F1125" s="161" t="s">
        <v>1352</v>
      </c>
      <c r="G1125" s="161" t="s">
        <v>3125</v>
      </c>
      <c r="H1125" s="247">
        <v>0</v>
      </c>
      <c r="I1125" s="248" t="s">
        <v>3387</v>
      </c>
      <c r="J1125" s="248" t="s">
        <v>3388</v>
      </c>
      <c r="K1125" s="245"/>
      <c r="L1125" s="245"/>
      <c r="M1125" s="245"/>
      <c r="N1125" s="245"/>
      <c r="O1125" s="245"/>
      <c r="P1125" s="245"/>
      <c r="Q1125" s="246"/>
      <c r="R1125" s="233"/>
      <c r="S1125" s="234">
        <f>IF(C1125="",NA(),MATCH($B1125&amp;$C1125,'Smelter Reference List'!$J:$J,0))</f>
        <v>276</v>
      </c>
      <c r="T1125" s="235"/>
      <c r="U1125" s="235">
        <f t="shared" si="30"/>
        <v>0</v>
      </c>
      <c r="V1125" s="235"/>
      <c r="W1125" s="235"/>
      <c r="Y1125" s="228" t="str">
        <f t="shared" si="31"/>
        <v>TantalumMitsui Mining &amp; Smelting</v>
      </c>
    </row>
    <row r="1126" spans="1:25" s="228" customFormat="1" ht="20.25">
      <c r="A1126" s="161" t="s">
        <v>1358</v>
      </c>
      <c r="B1126" s="408" t="s">
        <v>2325</v>
      </c>
      <c r="C1126" s="297" t="str">
        <f>IF(LEN(A1126)=0,"",INDEX('[2]Smelter Reference List'!$C$1:$C$65536,MATCH($A1126,'[2]Smelter Reference List'!$E$1:$E$65536,0)))</f>
        <v>Taki Chemicals</v>
      </c>
      <c r="D1126" s="161" t="s">
        <v>1468</v>
      </c>
      <c r="E1126" s="161" t="s">
        <v>2249</v>
      </c>
      <c r="F1126" s="161" t="s">
        <v>1358</v>
      </c>
      <c r="G1126" s="161" t="s">
        <v>3125</v>
      </c>
      <c r="H1126" s="247">
        <v>0</v>
      </c>
      <c r="I1126" s="248" t="s">
        <v>3398</v>
      </c>
      <c r="J1126" s="248" t="s">
        <v>3140</v>
      </c>
      <c r="K1126" s="245"/>
      <c r="L1126" s="245"/>
      <c r="M1126" s="245"/>
      <c r="N1126" s="245"/>
      <c r="O1126" s="245"/>
      <c r="P1126" s="245"/>
      <c r="Q1126" s="246"/>
      <c r="R1126" s="233"/>
      <c r="S1126" s="234">
        <f>IF(C1126="",NA(),MATCH($B1126&amp;$C1126,'Smelter Reference List'!$J:$J,0))</f>
        <v>290</v>
      </c>
      <c r="T1126" s="235"/>
      <c r="U1126" s="235">
        <f t="shared" si="30"/>
        <v>0</v>
      </c>
      <c r="V1126" s="235"/>
      <c r="W1126" s="235"/>
      <c r="Y1126" s="228" t="str">
        <f t="shared" si="31"/>
        <v>TantalumTaki Chemicals</v>
      </c>
    </row>
    <row r="1127" spans="1:25" s="228" customFormat="1" ht="20.25">
      <c r="A1127" s="161" t="s">
        <v>1239</v>
      </c>
      <c r="B1127" s="408" t="s">
        <v>2323</v>
      </c>
      <c r="C1127" s="297" t="str">
        <f>IF(LEN(A1127)=0,"",INDEX('[2]Smelter Reference List'!$C$1:$C$65536,MATCH($A1127,'[2]Smelter Reference List'!$E$1:$E$65536,0)))</f>
        <v>Asahi Pretec Corp.</v>
      </c>
      <c r="D1127" s="161" t="s">
        <v>4670</v>
      </c>
      <c r="E1127" s="161" t="s">
        <v>2249</v>
      </c>
      <c r="F1127" s="161" t="s">
        <v>1239</v>
      </c>
      <c r="G1127" s="161" t="s">
        <v>3125</v>
      </c>
      <c r="H1127" s="247">
        <v>0</v>
      </c>
      <c r="I1127" s="248" t="s">
        <v>3139</v>
      </c>
      <c r="J1127" s="248" t="s">
        <v>3140</v>
      </c>
      <c r="K1127" s="245"/>
      <c r="L1127" s="245"/>
      <c r="M1127" s="245"/>
      <c r="N1127" s="245"/>
      <c r="O1127" s="245"/>
      <c r="P1127" s="245"/>
      <c r="Q1127" s="246"/>
      <c r="R1127" s="233"/>
      <c r="S1127" s="234">
        <f>IF(C1127="",NA(),MATCH($B1127&amp;$C1127,'Smelter Reference List'!$J:$J,0))</f>
        <v>18</v>
      </c>
      <c r="T1127" s="235"/>
      <c r="U1127" s="235">
        <f t="shared" si="30"/>
        <v>0</v>
      </c>
      <c r="V1127" s="235"/>
      <c r="W1127" s="235"/>
      <c r="Y1127" s="228" t="str">
        <f t="shared" si="31"/>
        <v>GoldAsahi Pretec Corp.</v>
      </c>
    </row>
    <row r="1128" spans="1:25" s="228" customFormat="1" ht="20.25">
      <c r="A1128" s="161" t="s">
        <v>1258</v>
      </c>
      <c r="B1128" s="408" t="s">
        <v>2323</v>
      </c>
      <c r="C1128" s="297" t="str">
        <f>IF(LEN(A1128)=0,"",INDEX('[2]Smelter Reference List'!$C$1:$C$65536,MATCH($A1128,'[2]Smelter Reference List'!$E$1:$E$65536,0)))</f>
        <v>Dowa</v>
      </c>
      <c r="D1128" s="161" t="s">
        <v>1788</v>
      </c>
      <c r="E1128" s="161" t="s">
        <v>2249</v>
      </c>
      <c r="F1128" s="161" t="s">
        <v>1258</v>
      </c>
      <c r="G1128" s="161" t="s">
        <v>3125</v>
      </c>
      <c r="H1128" s="247">
        <v>0</v>
      </c>
      <c r="I1128" s="248" t="s">
        <v>3173</v>
      </c>
      <c r="J1128" s="248" t="s">
        <v>3174</v>
      </c>
      <c r="K1128" s="245"/>
      <c r="L1128" s="245"/>
      <c r="M1128" s="245"/>
      <c r="N1128" s="245"/>
      <c r="O1128" s="245"/>
      <c r="P1128" s="245"/>
      <c r="Q1128" s="246"/>
      <c r="R1128" s="233"/>
      <c r="S1128" s="234">
        <f>IF(C1128="",NA(),MATCH($B1128&amp;$C1128,'Smelter Reference List'!$J:$J,0))</f>
        <v>49</v>
      </c>
      <c r="T1128" s="235"/>
      <c r="U1128" s="235">
        <f t="shared" si="30"/>
        <v>0</v>
      </c>
      <c r="V1128" s="235"/>
      <c r="W1128" s="235"/>
      <c r="Y1128" s="228" t="str">
        <f t="shared" si="31"/>
        <v>GoldDowa</v>
      </c>
    </row>
    <row r="1129" spans="1:25" s="228" customFormat="1" ht="20.25">
      <c r="A1129" s="161" t="s">
        <v>1264</v>
      </c>
      <c r="B1129" s="408" t="s">
        <v>2323</v>
      </c>
      <c r="C1129" s="297" t="str">
        <f>IF(LEN(A1129)=0,"",INDEX('[2]Smelter Reference List'!$C$1:$C$65536,MATCH($A1129,'[2]Smelter Reference List'!$E$1:$E$65536,0)))</f>
        <v>Heraeus Ltd. Hong Kong</v>
      </c>
      <c r="D1129" s="161" t="s">
        <v>72</v>
      </c>
      <c r="E1129" s="161" t="s">
        <v>2181</v>
      </c>
      <c r="F1129" s="161" t="s">
        <v>1264</v>
      </c>
      <c r="G1129" s="161" t="s">
        <v>3125</v>
      </c>
      <c r="H1129" s="247">
        <v>0</v>
      </c>
      <c r="I1129" s="248" t="s">
        <v>3190</v>
      </c>
      <c r="J1129" s="248" t="s">
        <v>3191</v>
      </c>
      <c r="K1129" s="245"/>
      <c r="L1129" s="245"/>
      <c r="M1129" s="245"/>
      <c r="N1129" s="245"/>
      <c r="O1129" s="245"/>
      <c r="P1129" s="245"/>
      <c r="Q1129" s="246"/>
      <c r="R1129" s="233"/>
      <c r="S1129" s="234">
        <f>IF(C1129="",NA(),MATCH($B1129&amp;$C1129,'Smelter Reference List'!$J:$J,0))</f>
        <v>75</v>
      </c>
      <c r="T1129" s="235"/>
      <c r="U1129" s="235">
        <f t="shared" si="30"/>
        <v>0</v>
      </c>
      <c r="V1129" s="235"/>
      <c r="W1129" s="235"/>
      <c r="Y1129" s="228" t="str">
        <f t="shared" si="31"/>
        <v>GoldHeraeus Ltd. Hong Kong</v>
      </c>
    </row>
    <row r="1130" spans="1:25" s="228" customFormat="1" ht="20.25">
      <c r="A1130" s="161" t="s">
        <v>1273</v>
      </c>
      <c r="B1130" s="408" t="s">
        <v>2323</v>
      </c>
      <c r="C1130" s="297" t="str">
        <f>IF(LEN(A1130)=0,"",INDEX('[2]Smelter Reference List'!$C$1:$C$65536,MATCH($A1130,'[2]Smelter Reference List'!$E$1:$E$65536,0)))</f>
        <v>Asahi Refining USA Inc.</v>
      </c>
      <c r="D1130" s="161" t="s">
        <v>4267</v>
      </c>
      <c r="E1130" s="161" t="s">
        <v>1759</v>
      </c>
      <c r="F1130" s="161" t="s">
        <v>1273</v>
      </c>
      <c r="G1130" s="161" t="s">
        <v>3125</v>
      </c>
      <c r="H1130" s="247">
        <v>0</v>
      </c>
      <c r="I1130" s="248" t="s">
        <v>3206</v>
      </c>
      <c r="J1130" s="248" t="s">
        <v>3207</v>
      </c>
      <c r="K1130" s="245"/>
      <c r="L1130" s="245"/>
      <c r="M1130" s="245"/>
      <c r="N1130" s="245"/>
      <c r="O1130" s="245"/>
      <c r="P1130" s="245"/>
      <c r="Q1130" s="246"/>
      <c r="R1130" s="233"/>
      <c r="S1130" s="234">
        <f>IF(C1130="",NA(),MATCH($B1130&amp;$C1130,'Smelter Reference List'!$J:$J,0))</f>
        <v>20</v>
      </c>
      <c r="T1130" s="235"/>
      <c r="U1130" s="235">
        <f t="shared" si="30"/>
        <v>0</v>
      </c>
      <c r="V1130" s="235"/>
      <c r="W1130" s="235"/>
      <c r="Y1130" s="228" t="str">
        <f t="shared" si="31"/>
        <v>GoldAsahi Refining USA Inc.</v>
      </c>
    </row>
    <row r="1131" spans="1:25" s="228" customFormat="1" ht="20.25">
      <c r="A1131" s="161" t="s">
        <v>1277</v>
      </c>
      <c r="B1131" s="408" t="s">
        <v>2323</v>
      </c>
      <c r="C1131" s="297" t="str">
        <f>IF(LEN(A1131)=0,"",INDEX('[2]Smelter Reference List'!$C$1:$C$65536,MATCH($A1131,'[2]Smelter Reference List'!$E$1:$E$65536,0)))</f>
        <v>JX Nippon Mining &amp; Metals Co., Ltd.</v>
      </c>
      <c r="D1131" s="161" t="s">
        <v>73</v>
      </c>
      <c r="E1131" s="161" t="s">
        <v>2249</v>
      </c>
      <c r="F1131" s="161" t="s">
        <v>1277</v>
      </c>
      <c r="G1131" s="161" t="s">
        <v>3125</v>
      </c>
      <c r="H1131" s="247">
        <v>0</v>
      </c>
      <c r="I1131" s="248" t="s">
        <v>4844</v>
      </c>
      <c r="J1131" s="248" t="s">
        <v>4844</v>
      </c>
      <c r="K1131" s="245"/>
      <c r="L1131" s="245"/>
      <c r="M1131" s="245"/>
      <c r="N1131" s="245"/>
      <c r="O1131" s="245"/>
      <c r="P1131" s="245"/>
      <c r="Q1131" s="246"/>
      <c r="R1131" s="233"/>
      <c r="S1131" s="234">
        <f>IF(C1131="",NA(),MATCH($B1131&amp;$C1131,'Smelter Reference List'!$J:$J,0))</f>
        <v>93</v>
      </c>
      <c r="T1131" s="235"/>
      <c r="U1131" s="235">
        <f t="shared" si="30"/>
        <v>0</v>
      </c>
      <c r="V1131" s="235"/>
      <c r="W1131" s="235"/>
      <c r="Y1131" s="228" t="str">
        <f t="shared" si="31"/>
        <v>GoldJX Nippon Mining &amp; Metals Co., Ltd.</v>
      </c>
    </row>
    <row r="1132" spans="1:25" s="228" customFormat="1" ht="20.25">
      <c r="A1132" s="161" t="s">
        <v>1286</v>
      </c>
      <c r="B1132" s="408" t="s">
        <v>2323</v>
      </c>
      <c r="C1132" s="297" t="str">
        <f>IF(LEN(A1132)=0,"",INDEX('[2]Smelter Reference List'!$C$1:$C$65536,MATCH($A1132,'[2]Smelter Reference List'!$E$1:$E$65536,0)))</f>
        <v>LS-NIKKO Copper Inc.</v>
      </c>
      <c r="D1132" s="161" t="s">
        <v>74</v>
      </c>
      <c r="E1132" s="161" t="s">
        <v>2256</v>
      </c>
      <c r="F1132" s="161" t="s">
        <v>1286</v>
      </c>
      <c r="G1132" s="161" t="s">
        <v>3125</v>
      </c>
      <c r="H1132" s="247">
        <v>0</v>
      </c>
      <c r="I1132" s="248" t="s">
        <v>3225</v>
      </c>
      <c r="J1132" s="248" t="s">
        <v>3226</v>
      </c>
      <c r="K1132" s="245"/>
      <c r="L1132" s="245"/>
      <c r="M1132" s="245"/>
      <c r="N1132" s="245"/>
      <c r="O1132" s="245"/>
      <c r="P1132" s="245"/>
      <c r="Q1132" s="246"/>
      <c r="R1132" s="233"/>
      <c r="S1132" s="234">
        <f>IF(C1132="",NA(),MATCH($B1132&amp;$C1132,'Smelter Reference List'!$J:$J,0))</f>
        <v>111</v>
      </c>
      <c r="T1132" s="235"/>
      <c r="U1132" s="235">
        <f t="shared" si="30"/>
        <v>0</v>
      </c>
      <c r="V1132" s="235"/>
      <c r="W1132" s="235"/>
      <c r="Y1132" s="228" t="str">
        <f t="shared" si="31"/>
        <v>GoldLS-NIKKO Copper Inc.</v>
      </c>
    </row>
    <row r="1133" spans="1:25" s="228" customFormat="1" ht="20.25">
      <c r="A1133" s="161" t="s">
        <v>1290</v>
      </c>
      <c r="B1133" s="408" t="s">
        <v>2323</v>
      </c>
      <c r="C1133" s="297" t="str">
        <f>IF(LEN(A1133)=0,"",INDEX('[2]Smelter Reference List'!$C$1:$C$65536,MATCH($A1133,'[2]Smelter Reference List'!$E$1:$E$65536,0)))</f>
        <v>Matsuda Sangyo Co., Ltd.</v>
      </c>
      <c r="D1133" s="161" t="s">
        <v>75</v>
      </c>
      <c r="E1133" s="161" t="s">
        <v>2249</v>
      </c>
      <c r="F1133" s="161" t="s">
        <v>1290</v>
      </c>
      <c r="G1133" s="161" t="s">
        <v>3125</v>
      </c>
      <c r="H1133" s="247">
        <v>0</v>
      </c>
      <c r="I1133" s="248" t="s">
        <v>3231</v>
      </c>
      <c r="J1133" s="248" t="s">
        <v>3179</v>
      </c>
      <c r="K1133" s="245"/>
      <c r="L1133" s="245"/>
      <c r="M1133" s="245"/>
      <c r="N1133" s="245"/>
      <c r="O1133" s="245"/>
      <c r="P1133" s="245"/>
      <c r="Q1133" s="246"/>
      <c r="R1133" s="233"/>
      <c r="S1133" s="234">
        <f>IF(C1133="",NA(),MATCH($B1133&amp;$C1133,'Smelter Reference List'!$J:$J,0))</f>
        <v>116</v>
      </c>
      <c r="T1133" s="235"/>
      <c r="U1133" s="235">
        <f t="shared" si="30"/>
        <v>0</v>
      </c>
      <c r="V1133" s="235"/>
      <c r="W1133" s="235"/>
      <c r="Y1133" s="228" t="str">
        <f t="shared" si="31"/>
        <v>GoldMatsuda Sangyo Co., Ltd.</v>
      </c>
    </row>
    <row r="1134" spans="1:25" s="228" customFormat="1" ht="20.25">
      <c r="A1134" s="161" t="s">
        <v>1293</v>
      </c>
      <c r="B1134" s="408" t="s">
        <v>2323</v>
      </c>
      <c r="C1134" s="297" t="str">
        <f>IF(LEN(A1134)=0,"",INDEX('[2]Smelter Reference List'!$C$1:$C$65536,MATCH($A1134,'[2]Smelter Reference List'!$E$1:$E$65536,0)))</f>
        <v>Metalor Technologies S.A.</v>
      </c>
      <c r="D1134" s="161" t="s">
        <v>4697</v>
      </c>
      <c r="E1134" s="161" t="s">
        <v>2179</v>
      </c>
      <c r="F1134" s="161" t="s">
        <v>1293</v>
      </c>
      <c r="G1134" s="161" t="s">
        <v>3125</v>
      </c>
      <c r="H1134" s="247">
        <v>0</v>
      </c>
      <c r="I1134" s="248" t="s">
        <v>3239</v>
      </c>
      <c r="J1134" s="248" t="s">
        <v>3240</v>
      </c>
      <c r="K1134" s="245"/>
      <c r="L1134" s="245"/>
      <c r="M1134" s="245"/>
      <c r="N1134" s="245"/>
      <c r="O1134" s="245"/>
      <c r="P1134" s="245"/>
      <c r="Q1134" s="246"/>
      <c r="R1134" s="233"/>
      <c r="S1134" s="234">
        <f>IF(C1134="",NA(),MATCH($B1134&amp;$C1134,'Smelter Reference List'!$J:$J,0))</f>
        <v>123</v>
      </c>
      <c r="T1134" s="235"/>
      <c r="U1134" s="235">
        <f t="shared" si="30"/>
        <v>0</v>
      </c>
      <c r="V1134" s="235"/>
      <c r="W1134" s="235"/>
      <c r="Y1134" s="228" t="str">
        <f t="shared" si="31"/>
        <v>GoldMetalor Technologies S.A.</v>
      </c>
    </row>
    <row r="1135" spans="1:25" s="228" customFormat="1" ht="20.25">
      <c r="A1135" s="161" t="s">
        <v>1296</v>
      </c>
      <c r="B1135" s="408" t="s">
        <v>2323</v>
      </c>
      <c r="C1135" s="297" t="str">
        <f>IF(LEN(A1135)=0,"",INDEX('[2]Smelter Reference List'!$C$1:$C$65536,MATCH($A1135,'[2]Smelter Reference List'!$E$1:$E$65536,0)))</f>
        <v>Mitsubishi Materials Corporation</v>
      </c>
      <c r="D1135" s="161" t="s">
        <v>2371</v>
      </c>
      <c r="E1135" s="161" t="s">
        <v>2249</v>
      </c>
      <c r="F1135" s="161" t="s">
        <v>1296</v>
      </c>
      <c r="G1135" s="161" t="s">
        <v>3125</v>
      </c>
      <c r="H1135" s="247">
        <v>0</v>
      </c>
      <c r="I1135" s="248" t="s">
        <v>3245</v>
      </c>
      <c r="J1135" s="248" t="s">
        <v>4283</v>
      </c>
      <c r="K1135" s="245"/>
      <c r="L1135" s="245"/>
      <c r="M1135" s="245"/>
      <c r="N1135" s="245"/>
      <c r="O1135" s="245"/>
      <c r="P1135" s="245"/>
      <c r="Q1135" s="246"/>
      <c r="R1135" s="233"/>
      <c r="S1135" s="234">
        <f>IF(C1135="",NA(),MATCH($B1135&amp;$C1135,'Smelter Reference List'!$J:$J,0))</f>
        <v>128</v>
      </c>
      <c r="T1135" s="235"/>
      <c r="U1135" s="235">
        <f t="shared" si="30"/>
        <v>0</v>
      </c>
      <c r="V1135" s="235"/>
      <c r="W1135" s="235"/>
      <c r="Y1135" s="228" t="str">
        <f t="shared" si="31"/>
        <v>GoldMitsubishi Materials Corporation</v>
      </c>
    </row>
    <row r="1136" spans="1:25" s="228" customFormat="1" ht="20.25">
      <c r="A1136" s="161" t="s">
        <v>1311</v>
      </c>
      <c r="B1136" s="408" t="s">
        <v>2323</v>
      </c>
      <c r="C1136" s="297" t="str">
        <f>IF(LEN(A1136)=0,"",INDEX('[2]Smelter Reference List'!$C$1:$C$65536,MATCH($A1136,'[2]Smelter Reference List'!$E$1:$E$65536,0)))</f>
        <v>Royal Canadian Mint</v>
      </c>
      <c r="D1136" s="161" t="s">
        <v>1795</v>
      </c>
      <c r="E1136" s="161" t="s">
        <v>2177</v>
      </c>
      <c r="F1136" s="161" t="s">
        <v>1311</v>
      </c>
      <c r="G1136" s="161" t="s">
        <v>3125</v>
      </c>
      <c r="H1136" s="247">
        <v>0</v>
      </c>
      <c r="I1136" s="248" t="s">
        <v>3272</v>
      </c>
      <c r="J1136" s="248" t="s">
        <v>3210</v>
      </c>
      <c r="K1136" s="245"/>
      <c r="L1136" s="245"/>
      <c r="M1136" s="245"/>
      <c r="N1136" s="245"/>
      <c r="O1136" s="245"/>
      <c r="P1136" s="245"/>
      <c r="Q1136" s="246"/>
      <c r="R1136" s="233"/>
      <c r="S1136" s="234">
        <f>IF(C1136="",NA(),MATCH($B1136&amp;$C1136,'Smelter Reference List'!$J:$J,0))</f>
        <v>159</v>
      </c>
      <c r="T1136" s="235"/>
      <c r="U1136" s="235">
        <f t="shared" si="30"/>
        <v>0</v>
      </c>
      <c r="V1136" s="235"/>
      <c r="W1136" s="235"/>
      <c r="Y1136" s="228" t="str">
        <f t="shared" si="31"/>
        <v>GoldRoyal Canadian Mint</v>
      </c>
    </row>
    <row r="1137" spans="1:25" s="228" customFormat="1" ht="20.25">
      <c r="A1137" s="161" t="s">
        <v>1316</v>
      </c>
      <c r="B1137" s="408" t="s">
        <v>2323</v>
      </c>
      <c r="C1137" s="297" t="str">
        <f>IF(LEN(A1137)=0,"",INDEX('[2]Smelter Reference List'!$C$1:$C$65536,MATCH($A1137,'[2]Smelter Reference List'!$E$1:$E$65536,0)))</f>
        <v>Shandong Zhaojin Gold &amp; Silver Refinery Co., Ltd.</v>
      </c>
      <c r="D1137" s="161" t="s">
        <v>4174</v>
      </c>
      <c r="E1137" s="161" t="s">
        <v>2181</v>
      </c>
      <c r="F1137" s="161" t="s">
        <v>1316</v>
      </c>
      <c r="G1137" s="161" t="s">
        <v>3125</v>
      </c>
      <c r="H1137" s="247">
        <v>0</v>
      </c>
      <c r="I1137" s="248" t="s">
        <v>3185</v>
      </c>
      <c r="J1137" s="248" t="s">
        <v>3264</v>
      </c>
      <c r="K1137" s="245"/>
      <c r="L1137" s="245"/>
      <c r="M1137" s="245"/>
      <c r="N1137" s="245"/>
      <c r="O1137" s="245"/>
      <c r="P1137" s="245"/>
      <c r="Q1137" s="246"/>
      <c r="R1137" s="233"/>
      <c r="S1137" s="234">
        <f>IF(C1137="",NA(),MATCH($B1137&amp;$C1137,'Smelter Reference List'!$J:$J,0))</f>
        <v>176</v>
      </c>
      <c r="T1137" s="235"/>
      <c r="U1137" s="235">
        <f t="shared" si="30"/>
        <v>0</v>
      </c>
      <c r="V1137" s="235"/>
      <c r="W1137" s="235"/>
      <c r="Y1137" s="228" t="str">
        <f t="shared" si="31"/>
        <v>GoldShandong Zhaojin Gold &amp; Silver Refinery Co., Ltd.</v>
      </c>
    </row>
    <row r="1138" spans="1:25" s="228" customFormat="1" ht="20.25">
      <c r="A1138" s="161" t="s">
        <v>1321</v>
      </c>
      <c r="B1138" s="408" t="s">
        <v>2323</v>
      </c>
      <c r="C1138" s="297" t="str">
        <f>IF(LEN(A1138)=0,"",INDEX('[2]Smelter Reference List'!$C$1:$C$65536,MATCH($A1138,'[2]Smelter Reference List'!$E$1:$E$65536,0)))</f>
        <v>Sumitomo Metal Mining Co., Ltd.</v>
      </c>
      <c r="D1138" s="161" t="s">
        <v>77</v>
      </c>
      <c r="E1138" s="161" t="s">
        <v>2249</v>
      </c>
      <c r="F1138" s="161" t="s">
        <v>1321</v>
      </c>
      <c r="G1138" s="161" t="s">
        <v>3125</v>
      </c>
      <c r="H1138" s="247">
        <v>0</v>
      </c>
      <c r="I1138" s="248" t="s">
        <v>3297</v>
      </c>
      <c r="J1138" s="248" t="s">
        <v>4284</v>
      </c>
      <c r="K1138" s="245"/>
      <c r="L1138" s="245"/>
      <c r="M1138" s="245"/>
      <c r="N1138" s="245"/>
      <c r="O1138" s="245"/>
      <c r="P1138" s="245"/>
      <c r="Q1138" s="246"/>
      <c r="R1138" s="233"/>
      <c r="S1138" s="234">
        <f>IF(C1138="",NA(),MATCH($B1138&amp;$C1138,'Smelter Reference List'!$J:$J,0))</f>
        <v>190</v>
      </c>
      <c r="T1138" s="235"/>
      <c r="U1138" s="235">
        <f t="shared" si="30"/>
        <v>0</v>
      </c>
      <c r="V1138" s="235"/>
      <c r="W1138" s="235"/>
      <c r="Y1138" s="228" t="str">
        <f t="shared" si="31"/>
        <v>GoldSumitomo Metal Mining Co., Ltd.</v>
      </c>
    </row>
    <row r="1139" spans="1:25" s="228" customFormat="1" ht="20.25">
      <c r="A1139" s="161" t="s">
        <v>1322</v>
      </c>
      <c r="B1139" s="408" t="s">
        <v>2323</v>
      </c>
      <c r="C1139" s="297" t="str">
        <f>IF(LEN(A1139)=0,"",INDEX('[2]Smelter Reference List'!$C$1:$C$65536,MATCH($A1139,'[2]Smelter Reference List'!$E$1:$E$65536,0)))</f>
        <v>Tanaka Kikinzoku Kogyo K.K.</v>
      </c>
      <c r="D1139" s="161" t="s">
        <v>2457</v>
      </c>
      <c r="E1139" s="161" t="s">
        <v>2249</v>
      </c>
      <c r="F1139" s="161" t="s">
        <v>1322</v>
      </c>
      <c r="G1139" s="161" t="s">
        <v>3125</v>
      </c>
      <c r="H1139" s="247">
        <v>0</v>
      </c>
      <c r="I1139" s="248" t="s">
        <v>3299</v>
      </c>
      <c r="J1139" s="248" t="s">
        <v>3300</v>
      </c>
      <c r="K1139" s="245"/>
      <c r="L1139" s="245"/>
      <c r="M1139" s="245"/>
      <c r="N1139" s="245"/>
      <c r="O1139" s="245"/>
      <c r="P1139" s="245"/>
      <c r="Q1139" s="246"/>
      <c r="R1139" s="233"/>
      <c r="S1139" s="234">
        <f>IF(C1139="",NA(),MATCH($B1139&amp;$C1139,'Smelter Reference List'!$J:$J,0))</f>
        <v>200</v>
      </c>
      <c r="T1139" s="235"/>
      <c r="U1139" s="235">
        <f t="shared" si="30"/>
        <v>0</v>
      </c>
      <c r="V1139" s="235"/>
      <c r="W1139" s="235"/>
      <c r="Y1139" s="228" t="str">
        <f t="shared" si="31"/>
        <v>GoldTanaka Kikinzoku Kogyo K.K.</v>
      </c>
    </row>
    <row r="1140" spans="1:25" s="228" customFormat="1" ht="20.25">
      <c r="A1140" s="161" t="s">
        <v>1248</v>
      </c>
      <c r="B1140" s="408" t="s">
        <v>2323</v>
      </c>
      <c r="C1140" s="297" t="str">
        <f>IF(LEN(A1140)=0,"",INDEX('[2]Smelter Reference List'!$C$1:$C$65536,MATCH($A1140,'[2]Smelter Reference List'!$E$1:$E$65536,0)))</f>
        <v>CCR Refinery - Glencore Canada Corporation</v>
      </c>
      <c r="D1140" s="161" t="s">
        <v>4323</v>
      </c>
      <c r="E1140" s="161" t="s">
        <v>2177</v>
      </c>
      <c r="F1140" s="161" t="s">
        <v>1248</v>
      </c>
      <c r="G1140" s="161" t="s">
        <v>3125</v>
      </c>
      <c r="H1140" s="247">
        <v>0</v>
      </c>
      <c r="I1140" s="248" t="s">
        <v>3154</v>
      </c>
      <c r="J1140" s="248" t="s">
        <v>3155</v>
      </c>
      <c r="K1140" s="245"/>
      <c r="L1140" s="245"/>
      <c r="M1140" s="245"/>
      <c r="N1140" s="245"/>
      <c r="O1140" s="245"/>
      <c r="P1140" s="245"/>
      <c r="Q1140" s="246"/>
      <c r="R1140" s="233"/>
      <c r="S1140" s="234">
        <f>IF(C1140="",NA(),MATCH($B1140&amp;$C1140,'Smelter Reference List'!$J:$J,0))</f>
        <v>33</v>
      </c>
      <c r="T1140" s="235"/>
      <c r="U1140" s="235">
        <f t="shared" si="30"/>
        <v>0</v>
      </c>
      <c r="V1140" s="235"/>
      <c r="W1140" s="235"/>
      <c r="Y1140" s="228" t="str">
        <f t="shared" si="31"/>
        <v>GoldCCR Refinery - Glencore Canada Corporation</v>
      </c>
    </row>
    <row r="1141" spans="1:25" s="228" customFormat="1" ht="20.25">
      <c r="A1141" s="161" t="s">
        <v>1240</v>
      </c>
      <c r="B1141" s="408" t="s">
        <v>2323</v>
      </c>
      <c r="C1141" s="297" t="str">
        <f>IF(LEN(A1141)=0,"",INDEX('[2]Smelter Reference List'!$C$1:$C$65536,MATCH($A1141,'[2]Smelter Reference List'!$E$1:$E$65536,0)))</f>
        <v>Asaka Riken Co., Ltd.</v>
      </c>
      <c r="D1141" s="161" t="s">
        <v>4147</v>
      </c>
      <c r="E1141" s="161" t="s">
        <v>2249</v>
      </c>
      <c r="F1141" s="161" t="s">
        <v>1240</v>
      </c>
      <c r="G1141" s="161" t="s">
        <v>3125</v>
      </c>
      <c r="H1141" s="247">
        <v>0</v>
      </c>
      <c r="I1141" s="248" t="s">
        <v>3142</v>
      </c>
      <c r="J1141" s="248" t="s">
        <v>3143</v>
      </c>
      <c r="K1141" s="245"/>
      <c r="L1141" s="245"/>
      <c r="M1141" s="245"/>
      <c r="N1141" s="245"/>
      <c r="O1141" s="245"/>
      <c r="P1141" s="245"/>
      <c r="Q1141" s="246"/>
      <c r="R1141" s="233"/>
      <c r="S1141" s="234">
        <f>IF(C1141="",NA(),MATCH($B1141&amp;$C1141,'Smelter Reference List'!$J:$J,0))</f>
        <v>21</v>
      </c>
      <c r="T1141" s="235"/>
      <c r="U1141" s="235">
        <f t="shared" si="30"/>
        <v>0</v>
      </c>
      <c r="V1141" s="235"/>
      <c r="W1141" s="235"/>
      <c r="Y1141" s="228" t="str">
        <f t="shared" si="31"/>
        <v>GoldAsaka Riken Co., Ltd.</v>
      </c>
    </row>
    <row r="1142" spans="1:25" s="228" customFormat="1" ht="20.25">
      <c r="A1142" s="161" t="s">
        <v>1315</v>
      </c>
      <c r="B1142" s="408" t="s">
        <v>2323</v>
      </c>
      <c r="C1142" s="297" t="str">
        <f>IF(LEN(A1142)=0,"",INDEX('[2]Smelter Reference List'!$C$1:$C$65536,MATCH($A1142,'[2]Smelter Reference List'!$E$1:$E$65536,0)))</f>
        <v>SEMPSA Joyería Platería S.A.</v>
      </c>
      <c r="D1142" s="161" t="s">
        <v>4716</v>
      </c>
      <c r="E1142" s="161" t="s">
        <v>2205</v>
      </c>
      <c r="F1142" s="161" t="s">
        <v>1315</v>
      </c>
      <c r="G1142" s="161" t="s">
        <v>3125</v>
      </c>
      <c r="H1142" s="247">
        <v>0</v>
      </c>
      <c r="I1142" s="248" t="s">
        <v>3281</v>
      </c>
      <c r="J1142" s="248" t="s">
        <v>3282</v>
      </c>
      <c r="K1142" s="245"/>
      <c r="L1142" s="245"/>
      <c r="M1142" s="245"/>
      <c r="N1142" s="245"/>
      <c r="O1142" s="245"/>
      <c r="P1142" s="245"/>
      <c r="Q1142" s="246"/>
      <c r="R1142" s="233"/>
      <c r="S1142" s="234">
        <f>IF(C1142="",NA(),MATCH($B1142&amp;$C1142,'Smelter Reference List'!$J:$J,0))</f>
        <v>171</v>
      </c>
      <c r="T1142" s="235"/>
      <c r="U1142" s="235">
        <f t="shared" si="30"/>
        <v>0</v>
      </c>
      <c r="V1142" s="235"/>
      <c r="W1142" s="235"/>
      <c r="Y1142" s="228" t="str">
        <f t="shared" si="31"/>
        <v>GoldSEMPSA Joyería Platería S.A.</v>
      </c>
    </row>
    <row r="1143" spans="1:25" s="228" customFormat="1" ht="20.25">
      <c r="A1143" s="161" t="s">
        <v>1322</v>
      </c>
      <c r="B1143" s="408" t="s">
        <v>2323</v>
      </c>
      <c r="C1143" s="297" t="str">
        <f>IF(LEN(A1143)=0,"",INDEX('[2]Smelter Reference List'!$C$1:$C$65536,MATCH($A1143,'[2]Smelter Reference List'!$E$1:$E$65536,0)))</f>
        <v>Tanaka Kikinzoku Kogyo K.K.</v>
      </c>
      <c r="D1143" s="161" t="s">
        <v>2457</v>
      </c>
      <c r="E1143" s="161" t="s">
        <v>2249</v>
      </c>
      <c r="F1143" s="161" t="s">
        <v>1322</v>
      </c>
      <c r="G1143" s="161" t="s">
        <v>3125</v>
      </c>
      <c r="H1143" s="247">
        <v>0</v>
      </c>
      <c r="I1143" s="248" t="s">
        <v>3299</v>
      </c>
      <c r="J1143" s="248" t="s">
        <v>3300</v>
      </c>
      <c r="K1143" s="245"/>
      <c r="L1143" s="245"/>
      <c r="M1143" s="245"/>
      <c r="N1143" s="245"/>
      <c r="O1143" s="245"/>
      <c r="P1143" s="245"/>
      <c r="Q1143" s="246"/>
      <c r="R1143" s="233"/>
      <c r="S1143" s="234">
        <f>IF(C1143="",NA(),MATCH($B1143&amp;$C1143,'Smelter Reference List'!$J:$J,0))</f>
        <v>200</v>
      </c>
      <c r="T1143" s="235"/>
      <c r="U1143" s="235">
        <f t="shared" si="30"/>
        <v>0</v>
      </c>
      <c r="V1143" s="235"/>
      <c r="W1143" s="235"/>
      <c r="Y1143" s="228" t="str">
        <f t="shared" si="31"/>
        <v>GoldTanaka Kikinzoku Kogyo K.K.</v>
      </c>
    </row>
    <row r="1144" spans="1:25" s="228" customFormat="1" ht="20.25">
      <c r="A1144" s="161" t="s">
        <v>1368</v>
      </c>
      <c r="B1144" s="408" t="s">
        <v>2324</v>
      </c>
      <c r="C1144" s="297" t="str">
        <f>IF(LEN(A1144)=0,"",INDEX('[2]Smelter Reference List'!$C$1:$C$65536,MATCH($A1144,'[2]Smelter Reference List'!$E$1:$E$65536,0)))</f>
        <v>EM Vinto</v>
      </c>
      <c r="D1144" s="161" t="s">
        <v>1506</v>
      </c>
      <c r="E1144" s="161" t="s">
        <v>2169</v>
      </c>
      <c r="F1144" s="161" t="s">
        <v>1368</v>
      </c>
      <c r="G1144" s="161" t="s">
        <v>3125</v>
      </c>
      <c r="H1144" s="247">
        <v>0</v>
      </c>
      <c r="I1144" s="248" t="s">
        <v>3459</v>
      </c>
      <c r="J1144" s="248" t="s">
        <v>3460</v>
      </c>
      <c r="K1144" s="245"/>
      <c r="L1144" s="245"/>
      <c r="M1144" s="245"/>
      <c r="N1144" s="245"/>
      <c r="O1144" s="245"/>
      <c r="P1144" s="245"/>
      <c r="Q1144" s="246"/>
      <c r="R1144" s="233"/>
      <c r="S1144" s="234">
        <f>IF(C1144="",NA(),MATCH($B1144&amp;$C1144,'Smelter Reference List'!$J:$J,0))</f>
        <v>341</v>
      </c>
      <c r="T1144" s="235"/>
      <c r="U1144" s="235">
        <f t="shared" si="30"/>
        <v>0</v>
      </c>
      <c r="V1144" s="235"/>
      <c r="W1144" s="235"/>
      <c r="Y1144" s="228" t="str">
        <f t="shared" si="31"/>
        <v>TinEM Vinto</v>
      </c>
    </row>
    <row r="1145" spans="1:25" s="228" customFormat="1" ht="20.25">
      <c r="A1145" s="161" t="s">
        <v>1377</v>
      </c>
      <c r="B1145" s="408" t="s">
        <v>2324</v>
      </c>
      <c r="C1145" s="297" t="str">
        <f>IF(LEN(A1145)=0,"",INDEX('[2]Smelter Reference List'!$C$1:$C$65536,MATCH($A1145,'[2]Smelter Reference List'!$E$1:$E$65536,0)))</f>
        <v>China Tin Group Co., Ltd.</v>
      </c>
      <c r="D1145" s="161" t="s">
        <v>2578</v>
      </c>
      <c r="E1145" s="161" t="s">
        <v>2181</v>
      </c>
      <c r="F1145" s="161" t="s">
        <v>1377</v>
      </c>
      <c r="G1145" s="161" t="s">
        <v>3125</v>
      </c>
      <c r="H1145" s="247">
        <v>0</v>
      </c>
      <c r="I1145" s="248" t="s">
        <v>3476</v>
      </c>
      <c r="J1145" s="248" t="s">
        <v>3442</v>
      </c>
      <c r="K1145" s="245"/>
      <c r="L1145" s="245"/>
      <c r="M1145" s="245"/>
      <c r="N1145" s="245"/>
      <c r="O1145" s="245"/>
      <c r="P1145" s="245"/>
      <c r="Q1145" s="246"/>
      <c r="R1145" s="233"/>
      <c r="S1145" s="234">
        <f>IF(C1145="",NA(),MATCH($B1145&amp;$C1145,'Smelter Reference List'!$J:$J,0))</f>
        <v>318</v>
      </c>
      <c r="T1145" s="235"/>
      <c r="U1145" s="235">
        <f t="shared" si="30"/>
        <v>0</v>
      </c>
      <c r="V1145" s="235"/>
      <c r="W1145" s="235"/>
      <c r="Y1145" s="228" t="str">
        <f t="shared" si="31"/>
        <v>TinChina Tin Group Co., Ltd.</v>
      </c>
    </row>
    <row r="1146" spans="1:25" s="228" customFormat="1" ht="20.25">
      <c r="A1146" s="161"/>
      <c r="B1146" s="408" t="s">
        <v>2324</v>
      </c>
      <c r="C1146" s="297" t="s">
        <v>3604</v>
      </c>
      <c r="D1146" s="161" t="s">
        <v>5676</v>
      </c>
      <c r="E1146" s="161" t="s">
        <v>2158</v>
      </c>
      <c r="F1146" s="161">
        <v>0</v>
      </c>
      <c r="G1146" s="228" t="s">
        <v>5584</v>
      </c>
      <c r="H1146" s="228" t="s">
        <v>5877</v>
      </c>
      <c r="I1146" s="228" t="s">
        <v>5878</v>
      </c>
      <c r="J1146" s="228" t="s">
        <v>5761</v>
      </c>
      <c r="K1146" s="228" t="s">
        <v>5879</v>
      </c>
      <c r="N1146" s="228" t="s">
        <v>5880</v>
      </c>
      <c r="O1146" s="228" t="s">
        <v>5881</v>
      </c>
      <c r="R1146" s="233"/>
      <c r="S1146" s="234">
        <f>IF(C1146="",NA(),MATCH($B1146&amp;$C1146,'Smelter Reference List'!$J:$J,0))</f>
        <v>467</v>
      </c>
      <c r="T1146" s="235"/>
      <c r="U1146" s="235">
        <f t="shared" si="30"/>
        <v>0</v>
      </c>
      <c r="V1146" s="235"/>
      <c r="W1146" s="235"/>
      <c r="Y1146" s="228" t="str">
        <f t="shared" si="31"/>
        <v>TinSmelter not listed</v>
      </c>
    </row>
    <row r="1147" spans="1:25" s="228" customFormat="1" ht="20.25">
      <c r="A1147" s="161" t="s">
        <v>1379</v>
      </c>
      <c r="B1147" s="408" t="s">
        <v>2324</v>
      </c>
      <c r="C1147" s="297" t="str">
        <f>IF(LEN(A1147)=0,"",INDEX('[2]Smelter Reference List'!$C$1:$C$65536,MATCH($A1147,'[2]Smelter Reference List'!$E$1:$E$65536,0)))</f>
        <v>Mineração Taboca S.A.</v>
      </c>
      <c r="D1147" s="161" t="s">
        <v>1953</v>
      </c>
      <c r="E1147" s="161" t="s">
        <v>2170</v>
      </c>
      <c r="F1147" s="161" t="s">
        <v>1379</v>
      </c>
      <c r="G1147" s="161" t="s">
        <v>3125</v>
      </c>
      <c r="H1147" s="247">
        <v>0</v>
      </c>
      <c r="I1147" s="248" t="s">
        <v>3485</v>
      </c>
      <c r="J1147" s="248" t="s">
        <v>3313</v>
      </c>
      <c r="K1147" s="245"/>
      <c r="L1147" s="245"/>
      <c r="M1147" s="245"/>
      <c r="N1147" s="245"/>
      <c r="O1147" s="245"/>
      <c r="P1147" s="245"/>
      <c r="Q1147" s="246"/>
      <c r="R1147" s="233"/>
      <c r="S1147" s="234">
        <f>IF(C1147="",NA(),MATCH($B1147&amp;$C1147,'Smelter Reference List'!$J:$J,0))</f>
        <v>383</v>
      </c>
      <c r="T1147" s="235"/>
      <c r="U1147" s="235">
        <f t="shared" si="30"/>
        <v>0</v>
      </c>
      <c r="V1147" s="235"/>
      <c r="W1147" s="235"/>
      <c r="Y1147" s="228" t="str">
        <f t="shared" si="31"/>
        <v>TinMineração Taboca S.A.</v>
      </c>
    </row>
    <row r="1148" spans="1:25" s="228" customFormat="1" ht="20.25">
      <c r="A1148" s="161" t="s">
        <v>1380</v>
      </c>
      <c r="B1148" s="408" t="s">
        <v>2324</v>
      </c>
      <c r="C1148" s="297" t="str">
        <f>IF(LEN(A1148)=0,"",INDEX('[2]Smelter Reference List'!$C$1:$C$65536,MATCH($A1148,'[2]Smelter Reference List'!$E$1:$E$65536,0)))</f>
        <v>Minsur</v>
      </c>
      <c r="D1148" s="161" t="s">
        <v>1954</v>
      </c>
      <c r="E1148" s="161" t="s">
        <v>1704</v>
      </c>
      <c r="F1148" s="161" t="s">
        <v>1380</v>
      </c>
      <c r="G1148" s="161" t="s">
        <v>3125</v>
      </c>
      <c r="H1148" s="247">
        <v>0</v>
      </c>
      <c r="I1148" s="248" t="s">
        <v>3487</v>
      </c>
      <c r="J1148" s="248" t="s">
        <v>3488</v>
      </c>
      <c r="K1148" s="245"/>
      <c r="L1148" s="245"/>
      <c r="M1148" s="245"/>
      <c r="N1148" s="245"/>
      <c r="O1148" s="245"/>
      <c r="P1148" s="245"/>
      <c r="Q1148" s="246"/>
      <c r="R1148" s="233"/>
      <c r="S1148" s="234">
        <f>IF(C1148="",NA(),MATCH($B1148&amp;$C1148,'Smelter Reference List'!$J:$J,0))</f>
        <v>384</v>
      </c>
      <c r="T1148" s="235"/>
      <c r="U1148" s="235">
        <f t="shared" si="30"/>
        <v>0</v>
      </c>
      <c r="V1148" s="235"/>
      <c r="W1148" s="235"/>
      <c r="Y1148" s="228" t="str">
        <f t="shared" si="31"/>
        <v>TinMinsur</v>
      </c>
    </row>
    <row r="1149" spans="1:25" s="228" customFormat="1" ht="20.25">
      <c r="A1149" s="161" t="s">
        <v>1381</v>
      </c>
      <c r="B1149" s="408" t="s">
        <v>2324</v>
      </c>
      <c r="C1149" s="297" t="str">
        <f>IF(LEN(A1149)=0,"",INDEX('[2]Smelter Reference List'!$C$1:$C$65536,MATCH($A1149,'[2]Smelter Reference List'!$E$1:$E$65536,0)))</f>
        <v>Mitsubishi Materials Corporation</v>
      </c>
      <c r="D1149" s="161" t="s">
        <v>2371</v>
      </c>
      <c r="E1149" s="161" t="s">
        <v>2249</v>
      </c>
      <c r="F1149" s="161" t="s">
        <v>1381</v>
      </c>
      <c r="G1149" s="161" t="s">
        <v>3125</v>
      </c>
      <c r="H1149" s="247">
        <v>0</v>
      </c>
      <c r="I1149" s="248" t="s">
        <v>3490</v>
      </c>
      <c r="J1149" s="248" t="s">
        <v>3140</v>
      </c>
      <c r="K1149" s="245"/>
      <c r="L1149" s="245"/>
      <c r="M1149" s="245"/>
      <c r="N1149" s="245"/>
      <c r="O1149" s="245"/>
      <c r="P1149" s="245"/>
      <c r="Q1149" s="246"/>
      <c r="R1149" s="233"/>
      <c r="S1149" s="234">
        <f>IF(C1149="",NA(),MATCH($B1149&amp;$C1149,'Smelter Reference List'!$J:$J,0))</f>
        <v>385</v>
      </c>
      <c r="T1149" s="235"/>
      <c r="U1149" s="235">
        <f t="shared" si="30"/>
        <v>0</v>
      </c>
      <c r="V1149" s="235"/>
      <c r="W1149" s="235"/>
      <c r="Y1149" s="228" t="str">
        <f t="shared" si="31"/>
        <v>TinMitsubishi Materials Corporation</v>
      </c>
    </row>
    <row r="1150" spans="1:25" s="228" customFormat="1" ht="20.25">
      <c r="A1150" s="161" t="s">
        <v>1384</v>
      </c>
      <c r="B1150" s="408" t="s">
        <v>2324</v>
      </c>
      <c r="C1150" s="297" t="str">
        <f>IF(LEN(A1150)=0,"",INDEX('[2]Smelter Reference List'!$C$1:$C$65536,MATCH($A1150,'[2]Smelter Reference List'!$E$1:$E$65536,0)))</f>
        <v>Operaciones Metalurgical S.A.</v>
      </c>
      <c r="D1150" s="161" t="s">
        <v>3494</v>
      </c>
      <c r="E1150" s="161" t="s">
        <v>2169</v>
      </c>
      <c r="F1150" s="161" t="s">
        <v>1384</v>
      </c>
      <c r="G1150" s="161" t="s">
        <v>3125</v>
      </c>
      <c r="H1150" s="247">
        <v>0</v>
      </c>
      <c r="I1150" s="248" t="s">
        <v>3459</v>
      </c>
      <c r="J1150" s="248" t="s">
        <v>3460</v>
      </c>
      <c r="K1150" s="245"/>
      <c r="L1150" s="245"/>
      <c r="M1150" s="245"/>
      <c r="N1150" s="245"/>
      <c r="O1150" s="245"/>
      <c r="P1150" s="245"/>
      <c r="Q1150" s="246"/>
      <c r="R1150" s="233"/>
      <c r="S1150" s="234">
        <f>IF(C1150="",NA(),MATCH($B1150&amp;$C1150,'Smelter Reference List'!$J:$J,0))</f>
        <v>394</v>
      </c>
      <c r="T1150" s="235"/>
      <c r="U1150" s="235">
        <f t="shared" si="30"/>
        <v>0</v>
      </c>
      <c r="V1150" s="235"/>
      <c r="W1150" s="235"/>
      <c r="Y1150" s="228" t="str">
        <f t="shared" si="31"/>
        <v>TinOperaciones Metalurgical S.A.</v>
      </c>
    </row>
    <row r="1151" spans="1:25" s="228" customFormat="1" ht="20.25">
      <c r="A1151" s="161"/>
      <c r="B1151" s="408" t="s">
        <v>2324</v>
      </c>
      <c r="C1151" s="297" t="s">
        <v>3604</v>
      </c>
      <c r="D1151" s="228" t="s">
        <v>5698</v>
      </c>
      <c r="E1151" s="228" t="s">
        <v>2238</v>
      </c>
      <c r="F1151" s="161">
        <v>0</v>
      </c>
      <c r="G1151" s="228" t="s">
        <v>5584</v>
      </c>
      <c r="H1151" s="228" t="s">
        <v>5882</v>
      </c>
      <c r="I1151" s="228" t="s">
        <v>5883</v>
      </c>
      <c r="J1151" s="228" t="s">
        <v>3499</v>
      </c>
      <c r="O1151" s="228" t="s">
        <v>5367</v>
      </c>
      <c r="R1151" s="233"/>
      <c r="S1151" s="234">
        <f>IF(C1151="",NA(),MATCH($B1151&amp;$C1151,'Smelter Reference List'!$J:$J,0))</f>
        <v>467</v>
      </c>
      <c r="T1151" s="235"/>
      <c r="U1151" s="235">
        <f t="shared" si="30"/>
        <v>0</v>
      </c>
      <c r="V1151" s="235"/>
      <c r="W1151" s="235"/>
      <c r="Y1151" s="228" t="str">
        <f t="shared" si="31"/>
        <v>TinSmelter not listed</v>
      </c>
    </row>
    <row r="1152" spans="1:25" s="228" customFormat="1" ht="20.25">
      <c r="A1152" s="161" t="s">
        <v>1398</v>
      </c>
      <c r="B1152" s="408" t="s">
        <v>2324</v>
      </c>
      <c r="C1152" s="297" t="str">
        <f>IF(LEN(A1152)=0,"",INDEX('[2]Smelter Reference List'!$C$1:$C$65536,MATCH($A1152,'[2]Smelter Reference List'!$E$1:$E$65536,0)))</f>
        <v>PT Stanindo Inti Perkasa</v>
      </c>
      <c r="D1152" s="161" t="s">
        <v>2369</v>
      </c>
      <c r="E1152" s="161" t="s">
        <v>2238</v>
      </c>
      <c r="F1152" s="161" t="s">
        <v>1398</v>
      </c>
      <c r="G1152" s="161" t="s">
        <v>3125</v>
      </c>
      <c r="H1152" s="247">
        <v>0</v>
      </c>
      <c r="I1152" s="248" t="s">
        <v>3457</v>
      </c>
      <c r="J1152" s="248" t="s">
        <v>3454</v>
      </c>
      <c r="K1152" s="245"/>
      <c r="L1152" s="245"/>
      <c r="M1152" s="245"/>
      <c r="N1152" s="245"/>
      <c r="O1152" s="245"/>
      <c r="P1152" s="245"/>
      <c r="Q1152" s="246"/>
      <c r="R1152" s="233"/>
      <c r="S1152" s="234">
        <f>IF(C1152="",NA(),MATCH($B1152&amp;$C1152,'Smelter Reference List'!$J:$J,0))</f>
        <v>427</v>
      </c>
      <c r="T1152" s="235"/>
      <c r="U1152" s="235">
        <f t="shared" si="30"/>
        <v>0</v>
      </c>
      <c r="V1152" s="235"/>
      <c r="W1152" s="235"/>
      <c r="Y1152" s="228" t="str">
        <f t="shared" si="31"/>
        <v>TinPT Stanindo Inti Perkasa</v>
      </c>
    </row>
    <row r="1153" spans="1:25" s="228" customFormat="1" ht="20.25">
      <c r="A1153" s="161" t="s">
        <v>1424</v>
      </c>
      <c r="B1153" s="408" t="s">
        <v>2324</v>
      </c>
      <c r="C1153" s="297" t="str">
        <f>IF(LEN(A1153)=0,"",INDEX('[2]Smelter Reference List'!$C$1:$C$65536,MATCH($A1153,'[2]Smelter Reference List'!$E$1:$E$65536,0)))</f>
        <v>PT Timah (Persero) Tbk Kundur</v>
      </c>
      <c r="D1153" s="161" t="s">
        <v>3503</v>
      </c>
      <c r="E1153" s="161" t="s">
        <v>2238</v>
      </c>
      <c r="F1153" s="161" t="s">
        <v>1424</v>
      </c>
      <c r="G1153" s="161" t="s">
        <v>3125</v>
      </c>
      <c r="H1153" s="247">
        <v>0</v>
      </c>
      <c r="I1153" s="248" t="s">
        <v>3504</v>
      </c>
      <c r="J1153" s="248" t="s">
        <v>3505</v>
      </c>
      <c r="K1153" s="245"/>
      <c r="L1153" s="245"/>
      <c r="M1153" s="245"/>
      <c r="N1153" s="245"/>
      <c r="O1153" s="245"/>
      <c r="P1153" s="245"/>
      <c r="Q1153" s="246"/>
      <c r="R1153" s="233"/>
      <c r="S1153" s="234">
        <f>IF(C1153="",NA(),MATCH($B1153&amp;$C1153,'Smelter Reference List'!$J:$J,0))</f>
        <v>431</v>
      </c>
      <c r="T1153" s="235"/>
      <c r="U1153" s="235">
        <f t="shared" si="30"/>
        <v>0</v>
      </c>
      <c r="V1153" s="235"/>
      <c r="W1153" s="235"/>
      <c r="Y1153" s="228" t="str">
        <f t="shared" si="31"/>
        <v>TinPT Timah (Persero) Tbk Kundur</v>
      </c>
    </row>
    <row r="1154" spans="1:25" s="228" customFormat="1" ht="20.25">
      <c r="A1154" s="161" t="s">
        <v>1399</v>
      </c>
      <c r="B1154" s="408" t="s">
        <v>2324</v>
      </c>
      <c r="C1154" s="297" t="str">
        <f>IF(LEN(A1154)=0,"",INDEX('[2]Smelter Reference List'!$C$1:$C$65536,MATCH($A1154,'[2]Smelter Reference List'!$E$1:$E$65536,0)))</f>
        <v>PT Timah (Persero) Tbk Mentok</v>
      </c>
      <c r="D1154" s="161" t="s">
        <v>4266</v>
      </c>
      <c r="E1154" s="161" t="s">
        <v>2238</v>
      </c>
      <c r="F1154" s="161" t="s">
        <v>1399</v>
      </c>
      <c r="G1154" s="161" t="s">
        <v>3125</v>
      </c>
      <c r="H1154" s="247">
        <v>0</v>
      </c>
      <c r="I1154" s="248" t="s">
        <v>3507</v>
      </c>
      <c r="J1154" s="248" t="s">
        <v>3454</v>
      </c>
      <c r="K1154" s="245"/>
      <c r="L1154" s="245"/>
      <c r="M1154" s="245"/>
      <c r="N1154" s="245"/>
      <c r="O1154" s="245"/>
      <c r="P1154" s="245"/>
      <c r="Q1154" s="246"/>
      <c r="R1154" s="233"/>
      <c r="S1154" s="234">
        <f>IF(C1154="",NA(),MATCH($B1154&amp;$C1154,'Smelter Reference List'!$J:$J,0))</f>
        <v>432</v>
      </c>
      <c r="T1154" s="235"/>
      <c r="U1154" s="235">
        <f t="shared" si="30"/>
        <v>0</v>
      </c>
      <c r="V1154" s="235"/>
      <c r="W1154" s="235"/>
      <c r="Y1154" s="228" t="str">
        <f t="shared" si="31"/>
        <v>TinPT Timah (Persero) Tbk Mentok</v>
      </c>
    </row>
    <row r="1155" spans="1:25" s="228" customFormat="1" ht="20.25">
      <c r="A1155" s="161" t="s">
        <v>1404</v>
      </c>
      <c r="B1155" s="408" t="s">
        <v>2324</v>
      </c>
      <c r="C1155" s="297" t="str">
        <f>IF(LEN(A1155)=0,"",INDEX('[2]Smelter Reference List'!$C$1:$C$65536,MATCH($A1155,'[2]Smelter Reference List'!$E$1:$E$65536,0)))</f>
        <v>Thaisarco</v>
      </c>
      <c r="D1155" s="161" t="s">
        <v>1951</v>
      </c>
      <c r="E1155" s="161" t="s">
        <v>1743</v>
      </c>
      <c r="F1155" s="161" t="s">
        <v>1404</v>
      </c>
      <c r="G1155" s="161" t="s">
        <v>3125</v>
      </c>
      <c r="H1155" s="247">
        <v>0</v>
      </c>
      <c r="I1155" s="248" t="s">
        <v>3510</v>
      </c>
      <c r="J1155" s="248" t="s">
        <v>3511</v>
      </c>
      <c r="K1155" s="245"/>
      <c r="L1155" s="245"/>
      <c r="M1155" s="245"/>
      <c r="N1155" s="245"/>
      <c r="O1155" s="245"/>
      <c r="P1155" s="245"/>
      <c r="Q1155" s="246"/>
      <c r="R1155" s="233"/>
      <c r="S1155" s="234">
        <f>IF(C1155="",NA(),MATCH($B1155&amp;$C1155,'Smelter Reference List'!$J:$J,0))</f>
        <v>445</v>
      </c>
      <c r="T1155" s="235"/>
      <c r="U1155" s="235">
        <f t="shared" si="30"/>
        <v>0</v>
      </c>
      <c r="V1155" s="235"/>
      <c r="W1155" s="235"/>
      <c r="Y1155" s="228" t="str">
        <f t="shared" si="31"/>
        <v>TinThaisarco</v>
      </c>
    </row>
    <row r="1156" spans="1:25" s="228" customFormat="1" ht="20.25">
      <c r="A1156" s="161" t="s">
        <v>1406</v>
      </c>
      <c r="B1156" s="408" t="s">
        <v>2324</v>
      </c>
      <c r="C1156" s="297" t="str">
        <f>IF(LEN(A1156)=0,"",INDEX('[2]Smelter Reference List'!$C$1:$C$65536,MATCH($A1156,'[2]Smelter Reference List'!$E$1:$E$65536,0)))</f>
        <v>Yunnan Chengfeng Non-ferrous Metals Co., Ltd.</v>
      </c>
      <c r="D1156" s="161" t="s">
        <v>4183</v>
      </c>
      <c r="E1156" s="161" t="s">
        <v>2181</v>
      </c>
      <c r="F1156" s="161" t="s">
        <v>1406</v>
      </c>
      <c r="G1156" s="161" t="s">
        <v>3125</v>
      </c>
      <c r="H1156" s="247">
        <v>0</v>
      </c>
      <c r="I1156" s="248" t="s">
        <v>3468</v>
      </c>
      <c r="J1156" s="248" t="s">
        <v>3161</v>
      </c>
      <c r="K1156" s="245"/>
      <c r="L1156" s="245"/>
      <c r="M1156" s="245"/>
      <c r="N1156" s="245"/>
      <c r="O1156" s="245"/>
      <c r="P1156" s="245"/>
      <c r="Q1156" s="246"/>
      <c r="R1156" s="233"/>
      <c r="S1156" s="234">
        <f>IF(C1156="",NA(),MATCH($B1156&amp;$C1156,'Smelter Reference List'!$J:$J,0))</f>
        <v>459</v>
      </c>
      <c r="T1156" s="235"/>
      <c r="U1156" s="235">
        <f t="shared" si="30"/>
        <v>0</v>
      </c>
      <c r="V1156" s="235"/>
      <c r="W1156" s="235"/>
      <c r="Y1156" s="228" t="str">
        <f t="shared" si="31"/>
        <v>TinYunnan Chengfeng Non-ferrous Metals Co., Ltd.</v>
      </c>
    </row>
    <row r="1157" spans="1:25" s="228" customFormat="1" ht="20.25">
      <c r="A1157" s="161" t="s">
        <v>1407</v>
      </c>
      <c r="B1157" s="408" t="s">
        <v>2324</v>
      </c>
      <c r="C1157" s="297" t="str">
        <f>IF(LEN(A1157)=0,"",INDEX('[2]Smelter Reference List'!$C$1:$C$65536,MATCH($A1157,'[2]Smelter Reference List'!$E$1:$E$65536,0)))</f>
        <v>Yunnan Tin Company Limited</v>
      </c>
      <c r="D1157" s="161" t="s">
        <v>4749</v>
      </c>
      <c r="E1157" s="161" t="s">
        <v>2181</v>
      </c>
      <c r="F1157" s="161" t="s">
        <v>1407</v>
      </c>
      <c r="G1157" s="161" t="s">
        <v>3125</v>
      </c>
      <c r="H1157" s="247">
        <v>0</v>
      </c>
      <c r="I1157" s="248" t="s">
        <v>3468</v>
      </c>
      <c r="J1157" s="248" t="s">
        <v>3161</v>
      </c>
      <c r="K1157" s="245"/>
      <c r="L1157" s="245"/>
      <c r="M1157" s="245"/>
      <c r="N1157" s="245"/>
      <c r="O1157" s="245"/>
      <c r="P1157" s="245"/>
      <c r="Q1157" s="246"/>
      <c r="R1157" s="233"/>
      <c r="S1157" s="234">
        <f>IF(C1157="",NA(),MATCH($B1157&amp;$C1157,'Smelter Reference List'!$J:$J,0))</f>
        <v>462</v>
      </c>
      <c r="T1157" s="235"/>
      <c r="U1157" s="235">
        <f t="shared" si="30"/>
        <v>0</v>
      </c>
      <c r="V1157" s="235"/>
      <c r="W1157" s="235"/>
      <c r="Y1157" s="228" t="str">
        <f t="shared" si="31"/>
        <v>TinYunnan Tin Company Limited</v>
      </c>
    </row>
    <row r="1158" spans="1:25" s="228" customFormat="1" ht="20.25">
      <c r="A1158" s="161" t="s">
        <v>1238</v>
      </c>
      <c r="B1158" s="408" t="s">
        <v>2323</v>
      </c>
      <c r="C1158" s="297" t="str">
        <f>IF(LEN(A1158)=0,"",INDEX('[2]Smelter Reference List'!$C$1:$C$65536,MATCH($A1158,'[2]Smelter Reference List'!$E$1:$E$65536,0)))</f>
        <v>Argor-Heraeus S.A.</v>
      </c>
      <c r="D1158" s="161" t="s">
        <v>4669</v>
      </c>
      <c r="E1158" s="161" t="s">
        <v>2179</v>
      </c>
      <c r="F1158" s="161" t="s">
        <v>1238</v>
      </c>
      <c r="G1158" s="161" t="s">
        <v>3125</v>
      </c>
      <c r="H1158" s="247">
        <v>0</v>
      </c>
      <c r="I1158" s="248" t="s">
        <v>3137</v>
      </c>
      <c r="J1158" s="248" t="s">
        <v>3138</v>
      </c>
      <c r="K1158" s="245"/>
      <c r="L1158" s="245"/>
      <c r="M1158" s="245"/>
      <c r="N1158" s="245"/>
      <c r="O1158" s="245"/>
      <c r="P1158" s="245"/>
      <c r="Q1158" s="246"/>
      <c r="R1158" s="233"/>
      <c r="S1158" s="234">
        <f>IF(C1158="",NA(),MATCH($B1158&amp;$C1158,'Smelter Reference List'!$J:$J,0))</f>
        <v>17</v>
      </c>
      <c r="T1158" s="235"/>
      <c r="U1158" s="235">
        <f t="shared" ref="U1158:U1221" si="32">IF(AND(C1158="Smelter not listed",OR(LEN(D1158)=0,LEN(E1158)=0)),1,0)</f>
        <v>0</v>
      </c>
      <c r="V1158" s="235"/>
      <c r="W1158" s="235"/>
      <c r="Y1158" s="228" t="str">
        <f t="shared" ref="Y1158:Y1221" si="33">B1158&amp;C1158</f>
        <v>GoldArgor-Heraeus S.A.</v>
      </c>
    </row>
    <row r="1159" spans="1:25" s="228" customFormat="1" ht="20.25">
      <c r="A1159" s="161" t="s">
        <v>1239</v>
      </c>
      <c r="B1159" s="408" t="s">
        <v>2323</v>
      </c>
      <c r="C1159" s="297" t="str">
        <f>IF(LEN(A1159)=0,"",INDEX('[2]Smelter Reference List'!$C$1:$C$65536,MATCH($A1159,'[2]Smelter Reference List'!$E$1:$E$65536,0)))</f>
        <v>Asahi Pretec Corp.</v>
      </c>
      <c r="D1159" s="161" t="s">
        <v>4670</v>
      </c>
      <c r="E1159" s="161" t="s">
        <v>2249</v>
      </c>
      <c r="F1159" s="161" t="s">
        <v>1239</v>
      </c>
      <c r="G1159" s="161" t="s">
        <v>3125</v>
      </c>
      <c r="H1159" s="247">
        <v>0</v>
      </c>
      <c r="I1159" s="248" t="s">
        <v>3139</v>
      </c>
      <c r="J1159" s="248" t="s">
        <v>3140</v>
      </c>
      <c r="K1159" s="245"/>
      <c r="L1159" s="245"/>
      <c r="M1159" s="245"/>
      <c r="N1159" s="245"/>
      <c r="O1159" s="245"/>
      <c r="P1159" s="245"/>
      <c r="Q1159" s="246"/>
      <c r="R1159" s="233"/>
      <c r="S1159" s="234">
        <f>IF(C1159="",NA(),MATCH($B1159&amp;$C1159,'Smelter Reference List'!$J:$J,0))</f>
        <v>18</v>
      </c>
      <c r="T1159" s="235"/>
      <c r="U1159" s="235">
        <f t="shared" si="32"/>
        <v>0</v>
      </c>
      <c r="V1159" s="235"/>
      <c r="W1159" s="235"/>
      <c r="Y1159" s="228" t="str">
        <f t="shared" si="33"/>
        <v>GoldAsahi Pretec Corp.</v>
      </c>
    </row>
    <row r="1160" spans="1:25" s="228" customFormat="1" ht="20.25">
      <c r="A1160" s="161" t="s">
        <v>1258</v>
      </c>
      <c r="B1160" s="408" t="s">
        <v>2323</v>
      </c>
      <c r="C1160" s="297" t="str">
        <f>IF(LEN(A1160)=0,"",INDEX('[2]Smelter Reference List'!$C$1:$C$65536,MATCH($A1160,'[2]Smelter Reference List'!$E$1:$E$65536,0)))</f>
        <v>Dowa</v>
      </c>
      <c r="D1160" s="161" t="s">
        <v>1788</v>
      </c>
      <c r="E1160" s="161" t="s">
        <v>2249</v>
      </c>
      <c r="F1160" s="161" t="s">
        <v>1258</v>
      </c>
      <c r="G1160" s="161" t="s">
        <v>3125</v>
      </c>
      <c r="H1160" s="247">
        <v>0</v>
      </c>
      <c r="I1160" s="248" t="s">
        <v>3173</v>
      </c>
      <c r="J1160" s="248" t="s">
        <v>3174</v>
      </c>
      <c r="K1160" s="245"/>
      <c r="L1160" s="245"/>
      <c r="M1160" s="245"/>
      <c r="N1160" s="245"/>
      <c r="O1160" s="245"/>
      <c r="P1160" s="245"/>
      <c r="Q1160" s="246"/>
      <c r="R1160" s="233"/>
      <c r="S1160" s="234">
        <f>IF(C1160="",NA(),MATCH($B1160&amp;$C1160,'Smelter Reference List'!$J:$J,0))</f>
        <v>49</v>
      </c>
      <c r="T1160" s="235"/>
      <c r="U1160" s="235">
        <f t="shared" si="32"/>
        <v>0</v>
      </c>
      <c r="V1160" s="235"/>
      <c r="W1160" s="235"/>
      <c r="Y1160" s="228" t="str">
        <f t="shared" si="33"/>
        <v>GoldDowa</v>
      </c>
    </row>
    <row r="1161" spans="1:25" s="228" customFormat="1" ht="20.25">
      <c r="A1161" s="161" t="s">
        <v>1264</v>
      </c>
      <c r="B1161" s="408" t="s">
        <v>2323</v>
      </c>
      <c r="C1161" s="297" t="str">
        <f>IF(LEN(A1161)=0,"",INDEX('[2]Smelter Reference List'!$C$1:$C$65536,MATCH($A1161,'[2]Smelter Reference List'!$E$1:$E$65536,0)))</f>
        <v>Heraeus Ltd. Hong Kong</v>
      </c>
      <c r="D1161" s="161" t="s">
        <v>72</v>
      </c>
      <c r="E1161" s="161" t="s">
        <v>2181</v>
      </c>
      <c r="F1161" s="161" t="s">
        <v>1264</v>
      </c>
      <c r="G1161" s="161" t="s">
        <v>3125</v>
      </c>
      <c r="H1161" s="247">
        <v>0</v>
      </c>
      <c r="I1161" s="248" t="s">
        <v>3190</v>
      </c>
      <c r="J1161" s="248" t="s">
        <v>3191</v>
      </c>
      <c r="K1161" s="245"/>
      <c r="L1161" s="245"/>
      <c r="M1161" s="245"/>
      <c r="N1161" s="245"/>
      <c r="O1161" s="245"/>
      <c r="P1161" s="245"/>
      <c r="Q1161" s="246"/>
      <c r="R1161" s="233"/>
      <c r="S1161" s="234">
        <f>IF(C1161="",NA(),MATCH($B1161&amp;$C1161,'Smelter Reference List'!$J:$J,0))</f>
        <v>75</v>
      </c>
      <c r="T1161" s="235"/>
      <c r="U1161" s="235">
        <f t="shared" si="32"/>
        <v>0</v>
      </c>
      <c r="V1161" s="235"/>
      <c r="W1161" s="235"/>
      <c r="Y1161" s="228" t="str">
        <f t="shared" si="33"/>
        <v>GoldHeraeus Ltd. Hong Kong</v>
      </c>
    </row>
    <row r="1162" spans="1:25" s="228" customFormat="1" ht="20.25">
      <c r="A1162" s="161" t="s">
        <v>1265</v>
      </c>
      <c r="B1162" s="408" t="s">
        <v>2323</v>
      </c>
      <c r="C1162" s="297" t="str">
        <f>IF(LEN(A1162)=0,"",INDEX('[2]Smelter Reference List'!$C$1:$C$65536,MATCH($A1162,'[2]Smelter Reference List'!$E$1:$E$65536,0)))</f>
        <v>Heraeus Precious Metals GmbH &amp; Co. KG</v>
      </c>
      <c r="D1162" s="161" t="s">
        <v>2451</v>
      </c>
      <c r="E1162" s="161" t="s">
        <v>2195</v>
      </c>
      <c r="F1162" s="161" t="s">
        <v>1265</v>
      </c>
      <c r="G1162" s="161" t="s">
        <v>3125</v>
      </c>
      <c r="H1162" s="247">
        <v>0</v>
      </c>
      <c r="I1162" s="248" t="s">
        <v>3192</v>
      </c>
      <c r="J1162" s="248" t="s">
        <v>3193</v>
      </c>
      <c r="K1162" s="245"/>
      <c r="L1162" s="245"/>
      <c r="M1162" s="245"/>
      <c r="N1162" s="245"/>
      <c r="O1162" s="245"/>
      <c r="P1162" s="245"/>
      <c r="Q1162" s="246"/>
      <c r="R1162" s="233"/>
      <c r="S1162" s="234">
        <f>IF(C1162="",NA(),MATCH($B1162&amp;$C1162,'Smelter Reference List'!$J:$J,0))</f>
        <v>76</v>
      </c>
      <c r="T1162" s="235"/>
      <c r="U1162" s="235">
        <f t="shared" si="32"/>
        <v>0</v>
      </c>
      <c r="V1162" s="235"/>
      <c r="W1162" s="235"/>
      <c r="Y1162" s="228" t="str">
        <f t="shared" si="33"/>
        <v>GoldHeraeus Precious Metals GmbH &amp; Co. KG</v>
      </c>
    </row>
    <row r="1163" spans="1:25" s="228" customFormat="1" ht="20.25">
      <c r="A1163" s="161" t="s">
        <v>1273</v>
      </c>
      <c r="B1163" s="408" t="s">
        <v>2323</v>
      </c>
      <c r="C1163" s="297" t="str">
        <f>IF(LEN(A1163)=0,"",INDEX('[2]Smelter Reference List'!$C$1:$C$65536,MATCH($A1163,'[2]Smelter Reference List'!$E$1:$E$65536,0)))</f>
        <v>Asahi Refining USA Inc.</v>
      </c>
      <c r="D1163" s="161" t="s">
        <v>4267</v>
      </c>
      <c r="E1163" s="161" t="s">
        <v>1759</v>
      </c>
      <c r="F1163" s="161" t="s">
        <v>1273</v>
      </c>
      <c r="G1163" s="161" t="s">
        <v>3125</v>
      </c>
      <c r="H1163" s="247">
        <v>0</v>
      </c>
      <c r="I1163" s="248" t="s">
        <v>3206</v>
      </c>
      <c r="J1163" s="248" t="s">
        <v>3207</v>
      </c>
      <c r="K1163" s="245"/>
      <c r="L1163" s="245"/>
      <c r="M1163" s="245"/>
      <c r="N1163" s="245"/>
      <c r="O1163" s="245"/>
      <c r="P1163" s="245"/>
      <c r="Q1163" s="246"/>
      <c r="R1163" s="233"/>
      <c r="S1163" s="234">
        <f>IF(C1163="",NA(),MATCH($B1163&amp;$C1163,'Smelter Reference List'!$J:$J,0))</f>
        <v>20</v>
      </c>
      <c r="T1163" s="235"/>
      <c r="U1163" s="235">
        <f t="shared" si="32"/>
        <v>0</v>
      </c>
      <c r="V1163" s="235"/>
      <c r="W1163" s="235"/>
      <c r="Y1163" s="228" t="str">
        <f t="shared" si="33"/>
        <v>GoldAsahi Refining USA Inc.</v>
      </c>
    </row>
    <row r="1164" spans="1:25" s="228" customFormat="1" ht="20.25">
      <c r="A1164" s="161" t="s">
        <v>1274</v>
      </c>
      <c r="B1164" s="408" t="s">
        <v>2323</v>
      </c>
      <c r="C1164" s="297" t="str">
        <f>IF(LEN(A1164)=0,"",INDEX('[2]Smelter Reference List'!$C$1:$C$65536,MATCH($A1164,'[2]Smelter Reference List'!$E$1:$E$65536,0)))</f>
        <v>Asahi Refining Canada Ltd.</v>
      </c>
      <c r="D1164" s="161" t="s">
        <v>4671</v>
      </c>
      <c r="E1164" s="161" t="s">
        <v>2177</v>
      </c>
      <c r="F1164" s="161" t="s">
        <v>1274</v>
      </c>
      <c r="G1164" s="161" t="s">
        <v>3125</v>
      </c>
      <c r="H1164" s="247">
        <v>0</v>
      </c>
      <c r="I1164" s="248" t="s">
        <v>3209</v>
      </c>
      <c r="J1164" s="248" t="s">
        <v>3210</v>
      </c>
      <c r="K1164" s="245"/>
      <c r="L1164" s="245"/>
      <c r="M1164" s="245"/>
      <c r="N1164" s="245"/>
      <c r="O1164" s="245"/>
      <c r="P1164" s="245"/>
      <c r="Q1164" s="246"/>
      <c r="R1164" s="233"/>
      <c r="S1164" s="234">
        <f>IF(C1164="",NA(),MATCH($B1164&amp;$C1164,'Smelter Reference List'!$J:$J,0))</f>
        <v>19</v>
      </c>
      <c r="T1164" s="235"/>
      <c r="U1164" s="235">
        <f t="shared" si="32"/>
        <v>0</v>
      </c>
      <c r="V1164" s="235"/>
      <c r="W1164" s="235"/>
      <c r="Y1164" s="228" t="str">
        <f t="shared" si="33"/>
        <v>GoldAsahi Refining Canada Ltd.</v>
      </c>
    </row>
    <row r="1165" spans="1:25" s="228" customFormat="1" ht="20.25">
      <c r="A1165" s="161" t="s">
        <v>1277</v>
      </c>
      <c r="B1165" s="408" t="s">
        <v>2323</v>
      </c>
      <c r="C1165" s="297" t="str">
        <f>IF(LEN(A1165)=0,"",INDEX('[2]Smelter Reference List'!$C$1:$C$65536,MATCH($A1165,'[2]Smelter Reference List'!$E$1:$E$65536,0)))</f>
        <v>JX Nippon Mining &amp; Metals Co., Ltd.</v>
      </c>
      <c r="D1165" s="161" t="s">
        <v>73</v>
      </c>
      <c r="E1165" s="161" t="s">
        <v>2249</v>
      </c>
      <c r="F1165" s="161" t="s">
        <v>1277</v>
      </c>
      <c r="G1165" s="161" t="s">
        <v>3125</v>
      </c>
      <c r="H1165" s="247">
        <v>0</v>
      </c>
      <c r="I1165" s="248" t="s">
        <v>4844</v>
      </c>
      <c r="J1165" s="248" t="s">
        <v>4844</v>
      </c>
      <c r="K1165" s="245"/>
      <c r="L1165" s="245"/>
      <c r="M1165" s="245"/>
      <c r="N1165" s="245"/>
      <c r="O1165" s="245"/>
      <c r="P1165" s="245"/>
      <c r="Q1165" s="246"/>
      <c r="R1165" s="233"/>
      <c r="S1165" s="234">
        <f>IF(C1165="",NA(),MATCH($B1165&amp;$C1165,'Smelter Reference List'!$J:$J,0))</f>
        <v>93</v>
      </c>
      <c r="T1165" s="235"/>
      <c r="U1165" s="235">
        <f t="shared" si="32"/>
        <v>0</v>
      </c>
      <c r="V1165" s="235"/>
      <c r="W1165" s="235"/>
      <c r="Y1165" s="228" t="str">
        <f t="shared" si="33"/>
        <v>GoldJX Nippon Mining &amp; Metals Co., Ltd.</v>
      </c>
    </row>
    <row r="1166" spans="1:25" s="228" customFormat="1" ht="20.25">
      <c r="A1166" s="161" t="s">
        <v>1289</v>
      </c>
      <c r="B1166" s="408" t="s">
        <v>2323</v>
      </c>
      <c r="C1166" s="297" t="str">
        <f>IF(LEN(A1166)=0,"",INDEX('[2]Smelter Reference List'!$C$1:$C$65536,MATCH($A1166,'[2]Smelter Reference List'!$E$1:$E$65536,0)))</f>
        <v>Materion</v>
      </c>
      <c r="D1166" s="161" t="s">
        <v>1792</v>
      </c>
      <c r="E1166" s="161" t="s">
        <v>1759</v>
      </c>
      <c r="F1166" s="161" t="s">
        <v>1289</v>
      </c>
      <c r="G1166" s="161" t="s">
        <v>3125</v>
      </c>
      <c r="H1166" s="247">
        <v>0</v>
      </c>
      <c r="I1166" s="248" t="s">
        <v>3229</v>
      </c>
      <c r="J1166" s="248" t="s">
        <v>3230</v>
      </c>
      <c r="K1166" s="245"/>
      <c r="L1166" s="245"/>
      <c r="M1166" s="245"/>
      <c r="N1166" s="245"/>
      <c r="O1166" s="245"/>
      <c r="P1166" s="245"/>
      <c r="Q1166" s="246"/>
      <c r="R1166" s="233"/>
      <c r="S1166" s="234">
        <f>IF(C1166="",NA(),MATCH($B1166&amp;$C1166,'Smelter Reference List'!$J:$J,0))</f>
        <v>115</v>
      </c>
      <c r="T1166" s="235"/>
      <c r="U1166" s="235">
        <f t="shared" si="32"/>
        <v>0</v>
      </c>
      <c r="V1166" s="235"/>
      <c r="W1166" s="235"/>
      <c r="Y1166" s="228" t="str">
        <f t="shared" si="33"/>
        <v>GoldMaterion</v>
      </c>
    </row>
    <row r="1167" spans="1:25" s="228" customFormat="1" ht="20.25">
      <c r="A1167" s="161" t="s">
        <v>1290</v>
      </c>
      <c r="B1167" s="408" t="s">
        <v>2323</v>
      </c>
      <c r="C1167" s="297" t="str">
        <f>IF(LEN(A1167)=0,"",INDEX('[2]Smelter Reference List'!$C$1:$C$65536,MATCH($A1167,'[2]Smelter Reference List'!$E$1:$E$65536,0)))</f>
        <v>Matsuda Sangyo Co., Ltd.</v>
      </c>
      <c r="D1167" s="161" t="s">
        <v>75</v>
      </c>
      <c r="E1167" s="161" t="s">
        <v>2249</v>
      </c>
      <c r="F1167" s="161" t="s">
        <v>1290</v>
      </c>
      <c r="G1167" s="161" t="s">
        <v>3125</v>
      </c>
      <c r="H1167" s="247">
        <v>0</v>
      </c>
      <c r="I1167" s="248" t="s">
        <v>3231</v>
      </c>
      <c r="J1167" s="248" t="s">
        <v>3179</v>
      </c>
      <c r="K1167" s="245"/>
      <c r="L1167" s="245"/>
      <c r="M1167" s="245"/>
      <c r="N1167" s="245"/>
      <c r="O1167" s="245"/>
      <c r="P1167" s="245"/>
      <c r="Q1167" s="246"/>
      <c r="R1167" s="233"/>
      <c r="S1167" s="234">
        <f>IF(C1167="",NA(),MATCH($B1167&amp;$C1167,'Smelter Reference List'!$J:$J,0))</f>
        <v>116</v>
      </c>
      <c r="T1167" s="235"/>
      <c r="U1167" s="235">
        <f t="shared" si="32"/>
        <v>0</v>
      </c>
      <c r="V1167" s="235"/>
      <c r="W1167" s="235"/>
      <c r="Y1167" s="228" t="str">
        <f t="shared" si="33"/>
        <v>GoldMatsuda Sangyo Co., Ltd.</v>
      </c>
    </row>
    <row r="1168" spans="1:25" s="228" customFormat="1" ht="20.25">
      <c r="A1168" s="161" t="s">
        <v>1294</v>
      </c>
      <c r="B1168" s="408" t="s">
        <v>2323</v>
      </c>
      <c r="C1168" s="297" t="str">
        <f>IF(LEN(A1168)=0,"",INDEX('[2]Smelter Reference List'!$C$1:$C$65536,MATCH($A1168,'[2]Smelter Reference List'!$E$1:$E$65536,0)))</f>
        <v>Metalor USA Refining Corporation</v>
      </c>
      <c r="D1168" s="161" t="s">
        <v>2453</v>
      </c>
      <c r="E1168" s="161" t="s">
        <v>1759</v>
      </c>
      <c r="F1168" s="161" t="s">
        <v>1294</v>
      </c>
      <c r="G1168" s="161" t="s">
        <v>3125</v>
      </c>
      <c r="H1168" s="247">
        <v>0</v>
      </c>
      <c r="I1168" s="248" t="s">
        <v>3241</v>
      </c>
      <c r="J1168" s="248" t="s">
        <v>3242</v>
      </c>
      <c r="K1168" s="245"/>
      <c r="L1168" s="245"/>
      <c r="M1168" s="245"/>
      <c r="N1168" s="245"/>
      <c r="O1168" s="245"/>
      <c r="P1168" s="245"/>
      <c r="Q1168" s="246"/>
      <c r="R1168" s="233"/>
      <c r="S1168" s="234">
        <f>IF(C1168="",NA(),MATCH($B1168&amp;$C1168,'Smelter Reference List'!$J:$J,0))</f>
        <v>124</v>
      </c>
      <c r="T1168" s="235"/>
      <c r="U1168" s="235">
        <f t="shared" si="32"/>
        <v>0</v>
      </c>
      <c r="V1168" s="235"/>
      <c r="W1168" s="235"/>
      <c r="Y1168" s="228" t="str">
        <f t="shared" si="33"/>
        <v>GoldMetalor USA Refining Corporation</v>
      </c>
    </row>
    <row r="1169" spans="1:25" s="228" customFormat="1" ht="20.25">
      <c r="A1169" s="161" t="s">
        <v>1296</v>
      </c>
      <c r="B1169" s="408" t="s">
        <v>2323</v>
      </c>
      <c r="C1169" s="297" t="str">
        <f>IF(LEN(A1169)=0,"",INDEX('[2]Smelter Reference List'!$C$1:$C$65536,MATCH($A1169,'[2]Smelter Reference List'!$E$1:$E$65536,0)))</f>
        <v>Mitsubishi Materials Corporation</v>
      </c>
      <c r="D1169" s="161" t="s">
        <v>2371</v>
      </c>
      <c r="E1169" s="161" t="s">
        <v>2249</v>
      </c>
      <c r="F1169" s="161" t="s">
        <v>1296</v>
      </c>
      <c r="G1169" s="161" t="s">
        <v>3125</v>
      </c>
      <c r="H1169" s="247">
        <v>0</v>
      </c>
      <c r="I1169" s="248" t="s">
        <v>3245</v>
      </c>
      <c r="J1169" s="248" t="s">
        <v>4283</v>
      </c>
      <c r="K1169" s="245"/>
      <c r="L1169" s="245"/>
      <c r="M1169" s="245"/>
      <c r="N1169" s="245"/>
      <c r="O1169" s="245"/>
      <c r="P1169" s="245"/>
      <c r="Q1169" s="246"/>
      <c r="R1169" s="233"/>
      <c r="S1169" s="234">
        <f>IF(C1169="",NA(),MATCH($B1169&amp;$C1169,'Smelter Reference List'!$J:$J,0))</f>
        <v>128</v>
      </c>
      <c r="T1169" s="235"/>
      <c r="U1169" s="235">
        <f t="shared" si="32"/>
        <v>0</v>
      </c>
      <c r="V1169" s="235"/>
      <c r="W1169" s="235"/>
      <c r="Y1169" s="228" t="str">
        <f t="shared" si="33"/>
        <v>GoldMitsubishi Materials Corporation</v>
      </c>
    </row>
    <row r="1170" spans="1:25" s="228" customFormat="1" ht="20.25">
      <c r="A1170" s="161" t="s">
        <v>1297</v>
      </c>
      <c r="B1170" s="408" t="s">
        <v>2323</v>
      </c>
      <c r="C1170" s="297" t="str">
        <f>IF(LEN(A1170)=0,"",INDEX('[2]Smelter Reference List'!$C$1:$C$65536,MATCH($A1170,'[2]Smelter Reference List'!$E$1:$E$65536,0)))</f>
        <v>Mitsui Mining and Smelting Co., Ltd.</v>
      </c>
      <c r="D1170" s="161" t="s">
        <v>2454</v>
      </c>
      <c r="E1170" s="161" t="s">
        <v>2249</v>
      </c>
      <c r="F1170" s="161" t="s">
        <v>1297</v>
      </c>
      <c r="G1170" s="161" t="s">
        <v>3125</v>
      </c>
      <c r="H1170" s="247">
        <v>0</v>
      </c>
      <c r="I1170" s="248" t="s">
        <v>3247</v>
      </c>
      <c r="J1170" s="248" t="s">
        <v>3246</v>
      </c>
      <c r="K1170" s="245"/>
      <c r="L1170" s="245"/>
      <c r="M1170" s="245"/>
      <c r="N1170" s="245"/>
      <c r="O1170" s="245"/>
      <c r="P1170" s="245"/>
      <c r="Q1170" s="246"/>
      <c r="R1170" s="233"/>
      <c r="S1170" s="234">
        <f>IF(C1170="",NA(),MATCH($B1170&amp;$C1170,'Smelter Reference List'!$J:$J,0))</f>
        <v>130</v>
      </c>
      <c r="T1170" s="235"/>
      <c r="U1170" s="235">
        <f t="shared" si="32"/>
        <v>0</v>
      </c>
      <c r="V1170" s="235"/>
      <c r="W1170" s="235"/>
      <c r="Y1170" s="228" t="str">
        <f t="shared" si="33"/>
        <v>GoldMitsui Mining and Smelting Co., Ltd.</v>
      </c>
    </row>
    <row r="1171" spans="1:25" s="228" customFormat="1" ht="20.25">
      <c r="A1171" s="161" t="s">
        <v>1311</v>
      </c>
      <c r="B1171" s="408" t="s">
        <v>2323</v>
      </c>
      <c r="C1171" s="297" t="str">
        <f>IF(LEN(A1171)=0,"",INDEX('[2]Smelter Reference List'!$C$1:$C$65536,MATCH($A1171,'[2]Smelter Reference List'!$E$1:$E$65536,0)))</f>
        <v>Royal Canadian Mint</v>
      </c>
      <c r="D1171" s="161" t="s">
        <v>1795</v>
      </c>
      <c r="E1171" s="161" t="s">
        <v>2177</v>
      </c>
      <c r="F1171" s="161" t="s">
        <v>1311</v>
      </c>
      <c r="G1171" s="161" t="s">
        <v>3125</v>
      </c>
      <c r="H1171" s="247">
        <v>0</v>
      </c>
      <c r="I1171" s="248" t="s">
        <v>3272</v>
      </c>
      <c r="J1171" s="248" t="s">
        <v>3210</v>
      </c>
      <c r="K1171" s="245"/>
      <c r="L1171" s="245"/>
      <c r="M1171" s="245"/>
      <c r="N1171" s="245"/>
      <c r="O1171" s="245"/>
      <c r="P1171" s="245"/>
      <c r="Q1171" s="246"/>
      <c r="R1171" s="233"/>
      <c r="S1171" s="234">
        <f>IF(C1171="",NA(),MATCH($B1171&amp;$C1171,'Smelter Reference List'!$J:$J,0))</f>
        <v>159</v>
      </c>
      <c r="T1171" s="235"/>
      <c r="U1171" s="235">
        <f t="shared" si="32"/>
        <v>0</v>
      </c>
      <c r="V1171" s="235"/>
      <c r="W1171" s="235"/>
      <c r="Y1171" s="228" t="str">
        <f t="shared" si="33"/>
        <v>GoldRoyal Canadian Mint</v>
      </c>
    </row>
    <row r="1172" spans="1:25" s="228" customFormat="1" ht="20.25">
      <c r="A1172" s="161" t="s">
        <v>1316</v>
      </c>
      <c r="B1172" s="408" t="s">
        <v>2323</v>
      </c>
      <c r="C1172" s="297" t="str">
        <f>IF(LEN(A1172)=0,"",INDEX('[2]Smelter Reference List'!$C$1:$C$65536,MATCH($A1172,'[2]Smelter Reference List'!$E$1:$E$65536,0)))</f>
        <v>Shandong Zhaojin Gold &amp; Silver Refinery Co., Ltd.</v>
      </c>
      <c r="D1172" s="161" t="s">
        <v>4174</v>
      </c>
      <c r="E1172" s="161" t="s">
        <v>2181</v>
      </c>
      <c r="F1172" s="161" t="s">
        <v>1316</v>
      </c>
      <c r="G1172" s="161" t="s">
        <v>3125</v>
      </c>
      <c r="H1172" s="247">
        <v>0</v>
      </c>
      <c r="I1172" s="248" t="s">
        <v>3185</v>
      </c>
      <c r="J1172" s="248" t="s">
        <v>3264</v>
      </c>
      <c r="K1172" s="245"/>
      <c r="L1172" s="245"/>
      <c r="M1172" s="245"/>
      <c r="N1172" s="245"/>
      <c r="O1172" s="245"/>
      <c r="P1172" s="245"/>
      <c r="Q1172" s="246"/>
      <c r="R1172" s="233"/>
      <c r="S1172" s="234">
        <f>IF(C1172="",NA(),MATCH($B1172&amp;$C1172,'Smelter Reference List'!$J:$J,0))</f>
        <v>176</v>
      </c>
      <c r="T1172" s="235"/>
      <c r="U1172" s="235">
        <f t="shared" si="32"/>
        <v>0</v>
      </c>
      <c r="V1172" s="235"/>
      <c r="W1172" s="235"/>
      <c r="Y1172" s="228" t="str">
        <f t="shared" si="33"/>
        <v>GoldShandong Zhaojin Gold &amp; Silver Refinery Co., Ltd.</v>
      </c>
    </row>
    <row r="1173" spans="1:25" s="228" customFormat="1" ht="20.25">
      <c r="A1173" s="161" t="s">
        <v>1321</v>
      </c>
      <c r="B1173" s="408" t="s">
        <v>2323</v>
      </c>
      <c r="C1173" s="297" t="str">
        <f>IF(LEN(A1173)=0,"",INDEX('[2]Smelter Reference List'!$C$1:$C$65536,MATCH($A1173,'[2]Smelter Reference List'!$E$1:$E$65536,0)))</f>
        <v>Sumitomo Metal Mining Co., Ltd.</v>
      </c>
      <c r="D1173" s="161" t="s">
        <v>77</v>
      </c>
      <c r="E1173" s="161" t="s">
        <v>2249</v>
      </c>
      <c r="F1173" s="161" t="s">
        <v>1321</v>
      </c>
      <c r="G1173" s="161" t="s">
        <v>3125</v>
      </c>
      <c r="H1173" s="247">
        <v>0</v>
      </c>
      <c r="I1173" s="248" t="s">
        <v>3297</v>
      </c>
      <c r="J1173" s="248" t="s">
        <v>4284</v>
      </c>
      <c r="K1173" s="245"/>
      <c r="L1173" s="245"/>
      <c r="M1173" s="245"/>
      <c r="N1173" s="245"/>
      <c r="O1173" s="245"/>
      <c r="P1173" s="245"/>
      <c r="Q1173" s="246"/>
      <c r="R1173" s="233"/>
      <c r="S1173" s="234">
        <f>IF(C1173="",NA(),MATCH($B1173&amp;$C1173,'Smelter Reference List'!$J:$J,0))</f>
        <v>190</v>
      </c>
      <c r="T1173" s="235"/>
      <c r="U1173" s="235">
        <f t="shared" si="32"/>
        <v>0</v>
      </c>
      <c r="V1173" s="235"/>
      <c r="W1173" s="235"/>
      <c r="Y1173" s="228" t="str">
        <f t="shared" si="33"/>
        <v>GoldSumitomo Metal Mining Co., Ltd.</v>
      </c>
    </row>
    <row r="1174" spans="1:25" s="228" customFormat="1" ht="20.25">
      <c r="A1174" s="161" t="s">
        <v>1322</v>
      </c>
      <c r="B1174" s="408" t="s">
        <v>2323</v>
      </c>
      <c r="C1174" s="297" t="str">
        <f>IF(LEN(A1174)=0,"",INDEX('[2]Smelter Reference List'!$C$1:$C$65536,MATCH($A1174,'[2]Smelter Reference List'!$E$1:$E$65536,0)))</f>
        <v>Tanaka Kikinzoku Kogyo K.K.</v>
      </c>
      <c r="D1174" s="161" t="s">
        <v>2457</v>
      </c>
      <c r="E1174" s="161" t="s">
        <v>2249</v>
      </c>
      <c r="F1174" s="161" t="s">
        <v>1322</v>
      </c>
      <c r="G1174" s="161" t="s">
        <v>3125</v>
      </c>
      <c r="H1174" s="247">
        <v>0</v>
      </c>
      <c r="I1174" s="248" t="s">
        <v>3299</v>
      </c>
      <c r="J1174" s="248" t="s">
        <v>3300</v>
      </c>
      <c r="K1174" s="245"/>
      <c r="L1174" s="245"/>
      <c r="M1174" s="245"/>
      <c r="N1174" s="245"/>
      <c r="O1174" s="245"/>
      <c r="P1174" s="245"/>
      <c r="Q1174" s="246"/>
      <c r="R1174" s="233"/>
      <c r="S1174" s="234">
        <f>IF(C1174="",NA(),MATCH($B1174&amp;$C1174,'Smelter Reference List'!$J:$J,0))</f>
        <v>200</v>
      </c>
      <c r="T1174" s="235"/>
      <c r="U1174" s="235">
        <f t="shared" si="32"/>
        <v>0</v>
      </c>
      <c r="V1174" s="235"/>
      <c r="W1174" s="235"/>
      <c r="Y1174" s="228" t="str">
        <f t="shared" si="33"/>
        <v>GoldTanaka Kikinzoku Kogyo K.K.</v>
      </c>
    </row>
    <row r="1175" spans="1:25" s="228" customFormat="1" ht="20.25">
      <c r="A1175" s="161" t="s">
        <v>1248</v>
      </c>
      <c r="B1175" s="408" t="s">
        <v>2323</v>
      </c>
      <c r="C1175" s="297" t="str">
        <f>IF(LEN(A1175)=0,"",INDEX('[2]Smelter Reference List'!$C$1:$C$65536,MATCH($A1175,'[2]Smelter Reference List'!$E$1:$E$65536,0)))</f>
        <v>CCR Refinery - Glencore Canada Corporation</v>
      </c>
      <c r="D1175" s="161" t="s">
        <v>4323</v>
      </c>
      <c r="E1175" s="161" t="s">
        <v>2177</v>
      </c>
      <c r="F1175" s="161" t="s">
        <v>1248</v>
      </c>
      <c r="G1175" s="161" t="s">
        <v>3125</v>
      </c>
      <c r="H1175" s="247">
        <v>0</v>
      </c>
      <c r="I1175" s="248" t="s">
        <v>3154</v>
      </c>
      <c r="J1175" s="248" t="s">
        <v>3155</v>
      </c>
      <c r="K1175" s="245"/>
      <c r="L1175" s="245"/>
      <c r="M1175" s="245"/>
      <c r="N1175" s="245"/>
      <c r="O1175" s="245"/>
      <c r="P1175" s="245"/>
      <c r="Q1175" s="246"/>
      <c r="R1175" s="233"/>
      <c r="S1175" s="234">
        <f>IF(C1175="",NA(),MATCH($B1175&amp;$C1175,'Smelter Reference List'!$J:$J,0))</f>
        <v>33</v>
      </c>
      <c r="T1175" s="235"/>
      <c r="U1175" s="235">
        <f t="shared" si="32"/>
        <v>0</v>
      </c>
      <c r="V1175" s="235"/>
      <c r="W1175" s="235"/>
      <c r="Y1175" s="228" t="str">
        <f t="shared" si="33"/>
        <v>GoldCCR Refinery - Glencore Canada Corporation</v>
      </c>
    </row>
    <row r="1176" spans="1:25" s="228" customFormat="1" ht="20.25">
      <c r="A1176" s="161" t="s">
        <v>1336</v>
      </c>
      <c r="B1176" s="408" t="s">
        <v>2323</v>
      </c>
      <c r="C1176" s="297" t="str">
        <f>IF(LEN(A1176)=0,"",INDEX('[2]Smelter Reference List'!$C$1:$C$65536,MATCH($A1176,'[2]Smelter Reference List'!$E$1:$E$65536,0)))</f>
        <v>Zhongyuan Gold Smelter of Zhongjin Gold Corporation</v>
      </c>
      <c r="D1176" s="161" t="s">
        <v>2575</v>
      </c>
      <c r="E1176" s="161" t="s">
        <v>2181</v>
      </c>
      <c r="F1176" s="161" t="s">
        <v>1336</v>
      </c>
      <c r="G1176" s="161" t="s">
        <v>3125</v>
      </c>
      <c r="H1176" s="247">
        <v>0</v>
      </c>
      <c r="I1176" s="248" t="s">
        <v>3326</v>
      </c>
      <c r="J1176" s="248" t="s">
        <v>3224</v>
      </c>
      <c r="K1176" s="245"/>
      <c r="L1176" s="245"/>
      <c r="M1176" s="245"/>
      <c r="N1176" s="245"/>
      <c r="O1176" s="245"/>
      <c r="P1176" s="245"/>
      <c r="Q1176" s="246"/>
      <c r="R1176" s="233"/>
      <c r="S1176" s="234">
        <f>IF(C1176="",NA(),MATCH($B1176&amp;$C1176,'Smelter Reference List'!$J:$J,0))</f>
        <v>234</v>
      </c>
      <c r="T1176" s="235"/>
      <c r="U1176" s="235">
        <f t="shared" si="32"/>
        <v>0</v>
      </c>
      <c r="V1176" s="235"/>
      <c r="W1176" s="235"/>
      <c r="Y1176" s="228" t="str">
        <f t="shared" si="33"/>
        <v>GoldZhongyuan Gold Smelter of Zhongjin Gold Corporation</v>
      </c>
    </row>
    <row r="1177" spans="1:25" s="228" customFormat="1" ht="20.25">
      <c r="A1177" s="161" t="s">
        <v>1398</v>
      </c>
      <c r="B1177" s="408" t="s">
        <v>2324</v>
      </c>
      <c r="C1177" s="297" t="str">
        <f>IF(LEN(A1177)=0,"",INDEX('[2]Smelter Reference List'!$C$1:$C$65536,MATCH($A1177,'[2]Smelter Reference List'!$E$1:$E$65536,0)))</f>
        <v>PT Stanindo Inti Perkasa</v>
      </c>
      <c r="D1177" s="161" t="s">
        <v>2369</v>
      </c>
      <c r="E1177" s="161" t="s">
        <v>2238</v>
      </c>
      <c r="F1177" s="161" t="s">
        <v>1398</v>
      </c>
      <c r="G1177" s="161" t="s">
        <v>3125</v>
      </c>
      <c r="H1177" s="247">
        <v>0</v>
      </c>
      <c r="I1177" s="248" t="s">
        <v>3457</v>
      </c>
      <c r="J1177" s="248" t="s">
        <v>3454</v>
      </c>
      <c r="K1177" s="245"/>
      <c r="L1177" s="245"/>
      <c r="M1177" s="245"/>
      <c r="N1177" s="245"/>
      <c r="O1177" s="245"/>
      <c r="P1177" s="245"/>
      <c r="Q1177" s="246"/>
      <c r="R1177" s="233"/>
      <c r="S1177" s="234">
        <f>IF(C1177="",NA(),MATCH($B1177&amp;$C1177,'Smelter Reference List'!$J:$J,0))</f>
        <v>427</v>
      </c>
      <c r="T1177" s="235"/>
      <c r="U1177" s="235">
        <f t="shared" si="32"/>
        <v>0</v>
      </c>
      <c r="V1177" s="235"/>
      <c r="W1177" s="235"/>
      <c r="Y1177" s="228" t="str">
        <f t="shared" si="33"/>
        <v>TinPT Stanindo Inti Perkasa</v>
      </c>
    </row>
    <row r="1178" spans="1:25" s="228" customFormat="1" ht="20.25">
      <c r="A1178" s="161" t="s">
        <v>1367</v>
      </c>
      <c r="B1178" s="408" t="s">
        <v>2324</v>
      </c>
      <c r="C1178" s="297" t="str">
        <f>IF(LEN(A1178)=0,"",INDEX('[2]Smelter Reference List'!$C$1:$C$65536,MATCH($A1178,'[2]Smelter Reference List'!$E$1:$E$65536,0)))</f>
        <v>CV United Smelting</v>
      </c>
      <c r="D1178" s="161" t="s">
        <v>1505</v>
      </c>
      <c r="E1178" s="161" t="s">
        <v>2238</v>
      </c>
      <c r="F1178" s="161" t="s">
        <v>1367</v>
      </c>
      <c r="G1178" s="161" t="s">
        <v>3125</v>
      </c>
      <c r="H1178" s="247">
        <v>0</v>
      </c>
      <c r="I1178" s="248" t="s">
        <v>3457</v>
      </c>
      <c r="J1178" s="248" t="s">
        <v>3454</v>
      </c>
      <c r="K1178" s="245"/>
      <c r="L1178" s="245"/>
      <c r="M1178" s="245"/>
      <c r="N1178" s="245"/>
      <c r="O1178" s="245"/>
      <c r="P1178" s="245"/>
      <c r="Q1178" s="246"/>
      <c r="R1178" s="233"/>
      <c r="S1178" s="234">
        <f>IF(C1178="",NA(),MATCH($B1178&amp;$C1178,'Smelter Reference List'!$J:$J,0))</f>
        <v>335</v>
      </c>
      <c r="T1178" s="235"/>
      <c r="U1178" s="235">
        <f t="shared" si="32"/>
        <v>0</v>
      </c>
      <c r="V1178" s="235"/>
      <c r="W1178" s="235"/>
      <c r="Y1178" s="228" t="str">
        <f t="shared" si="33"/>
        <v>TinCV United Smelting</v>
      </c>
    </row>
    <row r="1179" spans="1:25" s="228" customFormat="1" ht="20.25">
      <c r="A1179" s="161" t="s">
        <v>1368</v>
      </c>
      <c r="B1179" s="408" t="s">
        <v>2324</v>
      </c>
      <c r="C1179" s="297" t="str">
        <f>IF(LEN(A1179)=0,"",INDEX('[2]Smelter Reference List'!$C$1:$C$65536,MATCH($A1179,'[2]Smelter Reference List'!$E$1:$E$65536,0)))</f>
        <v>EM Vinto</v>
      </c>
      <c r="D1179" s="161" t="s">
        <v>1506</v>
      </c>
      <c r="E1179" s="161" t="s">
        <v>2169</v>
      </c>
      <c r="F1179" s="161" t="s">
        <v>1368</v>
      </c>
      <c r="G1179" s="161" t="s">
        <v>3125</v>
      </c>
      <c r="H1179" s="247">
        <v>0</v>
      </c>
      <c r="I1179" s="248" t="s">
        <v>3459</v>
      </c>
      <c r="J1179" s="248" t="s">
        <v>3460</v>
      </c>
      <c r="K1179" s="245"/>
      <c r="L1179" s="245"/>
      <c r="M1179" s="245"/>
      <c r="N1179" s="245"/>
      <c r="O1179" s="245"/>
      <c r="P1179" s="245"/>
      <c r="Q1179" s="246"/>
      <c r="R1179" s="233"/>
      <c r="S1179" s="234">
        <f>IF(C1179="",NA(),MATCH($B1179&amp;$C1179,'Smelter Reference List'!$J:$J,0))</f>
        <v>341</v>
      </c>
      <c r="T1179" s="235"/>
      <c r="U1179" s="235">
        <f t="shared" si="32"/>
        <v>0</v>
      </c>
      <c r="V1179" s="235"/>
      <c r="W1179" s="235"/>
      <c r="Y1179" s="228" t="str">
        <f t="shared" si="33"/>
        <v>TinEM Vinto</v>
      </c>
    </row>
    <row r="1180" spans="1:25" s="228" customFormat="1" ht="20.25">
      <c r="A1180" s="161"/>
      <c r="B1180" s="408" t="s">
        <v>2324</v>
      </c>
      <c r="C1180" s="297" t="s">
        <v>3604</v>
      </c>
      <c r="D1180" s="228" t="s">
        <v>5676</v>
      </c>
      <c r="E1180" s="228" t="s">
        <v>2158</v>
      </c>
      <c r="F1180" s="161">
        <v>0</v>
      </c>
      <c r="G1180" s="228" t="s">
        <v>5584</v>
      </c>
      <c r="H1180" s="228" t="s">
        <v>5677</v>
      </c>
      <c r="I1180" s="228" t="s">
        <v>5678</v>
      </c>
      <c r="J1180" s="228" t="s">
        <v>2158</v>
      </c>
      <c r="K1180" s="228" t="s">
        <v>5679</v>
      </c>
      <c r="L1180" s="228" t="s">
        <v>5517</v>
      </c>
      <c r="M1180" s="228" t="s">
        <v>5602</v>
      </c>
      <c r="N1180" s="228" t="s">
        <v>5680</v>
      </c>
      <c r="O1180" s="228" t="s">
        <v>5681</v>
      </c>
      <c r="R1180" s="233"/>
      <c r="S1180" s="234">
        <f>IF(C1180="",NA(),MATCH($B1180&amp;$C1180,'Smelter Reference List'!$J:$J,0))</f>
        <v>467</v>
      </c>
      <c r="T1180" s="235"/>
      <c r="U1180" s="235">
        <f t="shared" si="32"/>
        <v>0</v>
      </c>
      <c r="V1180" s="235"/>
      <c r="W1180" s="235"/>
      <c r="Y1180" s="228" t="str">
        <f t="shared" si="33"/>
        <v>TinSmelter not listed</v>
      </c>
    </row>
    <row r="1181" spans="1:25" s="228" customFormat="1" ht="20.25">
      <c r="A1181" s="161" t="s">
        <v>1379</v>
      </c>
      <c r="B1181" s="408" t="s">
        <v>2324</v>
      </c>
      <c r="C1181" s="297" t="str">
        <f>IF(LEN(A1181)=0,"",INDEX('[2]Smelter Reference List'!$C$1:$C$65536,MATCH($A1181,'[2]Smelter Reference List'!$E$1:$E$65536,0)))</f>
        <v>Mineração Taboca S.A.</v>
      </c>
      <c r="D1181" s="161" t="s">
        <v>1953</v>
      </c>
      <c r="E1181" s="161" t="s">
        <v>2170</v>
      </c>
      <c r="F1181" s="161" t="s">
        <v>1379</v>
      </c>
      <c r="G1181" s="161" t="s">
        <v>3125</v>
      </c>
      <c r="H1181" s="247">
        <v>0</v>
      </c>
      <c r="I1181" s="248" t="s">
        <v>3485</v>
      </c>
      <c r="J1181" s="248" t="s">
        <v>3313</v>
      </c>
      <c r="K1181" s="245"/>
      <c r="L1181" s="245"/>
      <c r="M1181" s="245"/>
      <c r="N1181" s="245"/>
      <c r="O1181" s="245"/>
      <c r="P1181" s="245"/>
      <c r="Q1181" s="246"/>
      <c r="R1181" s="233"/>
      <c r="S1181" s="234">
        <f>IF(C1181="",NA(),MATCH($B1181&amp;$C1181,'Smelter Reference List'!$J:$J,0))</f>
        <v>383</v>
      </c>
      <c r="T1181" s="235"/>
      <c r="U1181" s="235">
        <f t="shared" si="32"/>
        <v>0</v>
      </c>
      <c r="V1181" s="235"/>
      <c r="W1181" s="235"/>
      <c r="Y1181" s="228" t="str">
        <f t="shared" si="33"/>
        <v>TinMineração Taboca S.A.</v>
      </c>
    </row>
    <row r="1182" spans="1:25" s="228" customFormat="1" ht="20.25">
      <c r="A1182" s="161" t="s">
        <v>1380</v>
      </c>
      <c r="B1182" s="408" t="s">
        <v>2324</v>
      </c>
      <c r="C1182" s="297" t="str">
        <f>IF(LEN(A1182)=0,"",INDEX('[2]Smelter Reference List'!$C$1:$C$65536,MATCH($A1182,'[2]Smelter Reference List'!$E$1:$E$65536,0)))</f>
        <v>Minsur</v>
      </c>
      <c r="D1182" s="161" t="s">
        <v>1954</v>
      </c>
      <c r="E1182" s="161" t="s">
        <v>1704</v>
      </c>
      <c r="F1182" s="161" t="s">
        <v>1380</v>
      </c>
      <c r="G1182" s="161" t="s">
        <v>3125</v>
      </c>
      <c r="H1182" s="247">
        <v>0</v>
      </c>
      <c r="I1182" s="248" t="s">
        <v>3487</v>
      </c>
      <c r="J1182" s="248" t="s">
        <v>3488</v>
      </c>
      <c r="K1182" s="245"/>
      <c r="L1182" s="245"/>
      <c r="M1182" s="245"/>
      <c r="N1182" s="245"/>
      <c r="O1182" s="245"/>
      <c r="P1182" s="245"/>
      <c r="Q1182" s="246"/>
      <c r="R1182" s="233"/>
      <c r="S1182" s="234">
        <f>IF(C1182="",NA(),MATCH($B1182&amp;$C1182,'Smelter Reference List'!$J:$J,0))</f>
        <v>384</v>
      </c>
      <c r="T1182" s="235"/>
      <c r="U1182" s="235">
        <f t="shared" si="32"/>
        <v>0</v>
      </c>
      <c r="V1182" s="235"/>
      <c r="W1182" s="235"/>
      <c r="Y1182" s="228" t="str">
        <f t="shared" si="33"/>
        <v>TinMinsur</v>
      </c>
    </row>
    <row r="1183" spans="1:25" s="228" customFormat="1" ht="20.25">
      <c r="A1183" s="161" t="s">
        <v>1384</v>
      </c>
      <c r="B1183" s="408" t="s">
        <v>2324</v>
      </c>
      <c r="C1183" s="297" t="str">
        <f>IF(LEN(A1183)=0,"",INDEX('[2]Smelter Reference List'!$C$1:$C$65536,MATCH($A1183,'[2]Smelter Reference List'!$E$1:$E$65536,0)))</f>
        <v>Operaciones Metalurgical S.A.</v>
      </c>
      <c r="D1183" s="161" t="s">
        <v>3494</v>
      </c>
      <c r="E1183" s="161" t="s">
        <v>2169</v>
      </c>
      <c r="F1183" s="161" t="s">
        <v>1384</v>
      </c>
      <c r="G1183" s="161" t="s">
        <v>3125</v>
      </c>
      <c r="H1183" s="247">
        <v>0</v>
      </c>
      <c r="I1183" s="248" t="s">
        <v>3459</v>
      </c>
      <c r="J1183" s="248" t="s">
        <v>3460</v>
      </c>
      <c r="K1183" s="245"/>
      <c r="L1183" s="245"/>
      <c r="M1183" s="245"/>
      <c r="N1183" s="245"/>
      <c r="O1183" s="245"/>
      <c r="P1183" s="245"/>
      <c r="Q1183" s="246"/>
      <c r="R1183" s="233"/>
      <c r="S1183" s="234">
        <f>IF(C1183="",NA(),MATCH($B1183&amp;$C1183,'Smelter Reference List'!$J:$J,0))</f>
        <v>394</v>
      </c>
      <c r="T1183" s="235"/>
      <c r="U1183" s="235">
        <f t="shared" si="32"/>
        <v>0</v>
      </c>
      <c r="V1183" s="235"/>
      <c r="W1183" s="235"/>
      <c r="Y1183" s="228" t="str">
        <f t="shared" si="33"/>
        <v>TinOperaciones Metalurgical S.A.</v>
      </c>
    </row>
    <row r="1184" spans="1:25" s="228" customFormat="1" ht="20.25">
      <c r="A1184" s="161"/>
      <c r="B1184" s="408" t="s">
        <v>2324</v>
      </c>
      <c r="C1184" s="297" t="s">
        <v>3604</v>
      </c>
      <c r="D1184" s="228" t="s">
        <v>5698</v>
      </c>
      <c r="E1184" s="228" t="s">
        <v>2238</v>
      </c>
      <c r="F1184" s="161">
        <v>0</v>
      </c>
      <c r="G1184" s="228" t="s">
        <v>5584</v>
      </c>
      <c r="H1184" s="228" t="s">
        <v>5699</v>
      </c>
      <c r="I1184" s="228" t="s">
        <v>5666</v>
      </c>
      <c r="J1184" s="228" t="s">
        <v>5700</v>
      </c>
      <c r="K1184" s="228" t="s">
        <v>5701</v>
      </c>
      <c r="L1184" s="228" t="s">
        <v>5702</v>
      </c>
      <c r="M1184" s="228" t="s">
        <v>5602</v>
      </c>
      <c r="N1184" s="228" t="s">
        <v>5669</v>
      </c>
      <c r="O1184" s="228" t="s">
        <v>5367</v>
      </c>
      <c r="R1184" s="233"/>
      <c r="S1184" s="234">
        <f>IF(C1184="",NA(),MATCH($B1184&amp;$C1184,'Smelter Reference List'!$J:$J,0))</f>
        <v>467</v>
      </c>
      <c r="T1184" s="235"/>
      <c r="U1184" s="235">
        <f t="shared" si="32"/>
        <v>0</v>
      </c>
      <c r="V1184" s="235"/>
      <c r="W1184" s="235"/>
      <c r="Y1184" s="228" t="str">
        <f t="shared" si="33"/>
        <v>TinSmelter not listed</v>
      </c>
    </row>
    <row r="1185" spans="1:25" s="228" customFormat="1" ht="20.25">
      <c r="A1185" s="161" t="s">
        <v>1389</v>
      </c>
      <c r="B1185" s="408" t="s">
        <v>2324</v>
      </c>
      <c r="C1185" s="297" t="str">
        <f>IF(LEN(A1185)=0,"",INDEX('[2]Smelter Reference List'!$C$1:$C$65536,MATCH($A1185,'[2]Smelter Reference List'!$E$1:$E$65536,0)))</f>
        <v>PT Bukit Timah</v>
      </c>
      <c r="D1185" s="161" t="s">
        <v>1194</v>
      </c>
      <c r="E1185" s="161" t="s">
        <v>2238</v>
      </c>
      <c r="F1185" s="161" t="s">
        <v>1389</v>
      </c>
      <c r="G1185" s="161" t="s">
        <v>3125</v>
      </c>
      <c r="H1185" s="247">
        <v>0</v>
      </c>
      <c r="I1185" s="248" t="s">
        <v>3457</v>
      </c>
      <c r="J1185" s="248" t="s">
        <v>3454</v>
      </c>
      <c r="K1185" s="245"/>
      <c r="L1185" s="245"/>
      <c r="M1185" s="245"/>
      <c r="N1185" s="245"/>
      <c r="O1185" s="245"/>
      <c r="P1185" s="245"/>
      <c r="Q1185" s="246"/>
      <c r="R1185" s="233"/>
      <c r="S1185" s="234">
        <f>IF(C1185="",NA(),MATCH($B1185&amp;$C1185,'Smelter Reference List'!$J:$J,0))</f>
        <v>408</v>
      </c>
      <c r="T1185" s="235"/>
      <c r="U1185" s="235">
        <f t="shared" si="32"/>
        <v>0</v>
      </c>
      <c r="V1185" s="235"/>
      <c r="W1185" s="235"/>
      <c r="Y1185" s="228" t="str">
        <f t="shared" si="33"/>
        <v>TinPT Bukit Timah</v>
      </c>
    </row>
    <row r="1186" spans="1:25" s="228" customFormat="1" ht="20.25">
      <c r="A1186" s="161" t="s">
        <v>1399</v>
      </c>
      <c r="B1186" s="408" t="s">
        <v>2324</v>
      </c>
      <c r="C1186" s="297" t="str">
        <f>IF(LEN(A1186)=0,"",INDEX('[2]Smelter Reference List'!$C$1:$C$65536,MATCH($A1186,'[2]Smelter Reference List'!$E$1:$E$65536,0)))</f>
        <v>PT Timah (Persero) Tbk Mentok</v>
      </c>
      <c r="D1186" s="161" t="s">
        <v>4266</v>
      </c>
      <c r="E1186" s="161" t="s">
        <v>2238</v>
      </c>
      <c r="F1186" s="161" t="s">
        <v>1399</v>
      </c>
      <c r="G1186" s="161" t="s">
        <v>3125</v>
      </c>
      <c r="H1186" s="247">
        <v>0</v>
      </c>
      <c r="I1186" s="248" t="s">
        <v>3507</v>
      </c>
      <c r="J1186" s="248" t="s">
        <v>3454</v>
      </c>
      <c r="K1186" s="245"/>
      <c r="L1186" s="245"/>
      <c r="M1186" s="245"/>
      <c r="N1186" s="245"/>
      <c r="O1186" s="245"/>
      <c r="P1186" s="245"/>
      <c r="Q1186" s="246"/>
      <c r="R1186" s="233"/>
      <c r="S1186" s="234">
        <f>IF(C1186="",NA(),MATCH($B1186&amp;$C1186,'Smelter Reference List'!$J:$J,0))</f>
        <v>432</v>
      </c>
      <c r="T1186" s="235"/>
      <c r="U1186" s="235">
        <f t="shared" si="32"/>
        <v>0</v>
      </c>
      <c r="V1186" s="235"/>
      <c r="W1186" s="235"/>
      <c r="Y1186" s="228" t="str">
        <f t="shared" si="33"/>
        <v>TinPT Timah (Persero) Tbk Mentok</v>
      </c>
    </row>
    <row r="1187" spans="1:25" s="228" customFormat="1" ht="20.25">
      <c r="A1187" s="161" t="s">
        <v>1404</v>
      </c>
      <c r="B1187" s="408" t="s">
        <v>2324</v>
      </c>
      <c r="C1187" s="297" t="str">
        <f>IF(LEN(A1187)=0,"",INDEX('[2]Smelter Reference List'!$C$1:$C$65536,MATCH($A1187,'[2]Smelter Reference List'!$E$1:$E$65536,0)))</f>
        <v>Thaisarco</v>
      </c>
      <c r="D1187" s="161" t="s">
        <v>1951</v>
      </c>
      <c r="E1187" s="161" t="s">
        <v>1743</v>
      </c>
      <c r="F1187" s="161" t="s">
        <v>1404</v>
      </c>
      <c r="G1187" s="161" t="s">
        <v>3125</v>
      </c>
      <c r="H1187" s="247">
        <v>0</v>
      </c>
      <c r="I1187" s="248" t="s">
        <v>3510</v>
      </c>
      <c r="J1187" s="248" t="s">
        <v>3511</v>
      </c>
      <c r="K1187" s="245"/>
      <c r="L1187" s="245"/>
      <c r="M1187" s="245"/>
      <c r="N1187" s="245"/>
      <c r="O1187" s="245"/>
      <c r="P1187" s="245"/>
      <c r="Q1187" s="246"/>
      <c r="R1187" s="233"/>
      <c r="S1187" s="234">
        <f>IF(C1187="",NA(),MATCH($B1187&amp;$C1187,'Smelter Reference List'!$J:$J,0))</f>
        <v>445</v>
      </c>
      <c r="T1187" s="235"/>
      <c r="U1187" s="235">
        <f t="shared" si="32"/>
        <v>0</v>
      </c>
      <c r="V1187" s="235"/>
      <c r="W1187" s="235"/>
      <c r="Y1187" s="228" t="str">
        <f t="shared" si="33"/>
        <v>TinThaisarco</v>
      </c>
    </row>
    <row r="1188" spans="1:25" s="228" customFormat="1" ht="20.25">
      <c r="A1188" s="161" t="s">
        <v>1406</v>
      </c>
      <c r="B1188" s="408" t="s">
        <v>2324</v>
      </c>
      <c r="C1188" s="297" t="str">
        <f>IF(LEN(A1188)=0,"",INDEX('[2]Smelter Reference List'!$C$1:$C$65536,MATCH($A1188,'[2]Smelter Reference List'!$E$1:$E$65536,0)))</f>
        <v>Yunnan Chengfeng Non-ferrous Metals Co., Ltd.</v>
      </c>
      <c r="D1188" s="161" t="s">
        <v>4183</v>
      </c>
      <c r="E1188" s="161" t="s">
        <v>2181</v>
      </c>
      <c r="F1188" s="161" t="s">
        <v>1406</v>
      </c>
      <c r="G1188" s="161" t="s">
        <v>3125</v>
      </c>
      <c r="H1188" s="247">
        <v>0</v>
      </c>
      <c r="I1188" s="248" t="s">
        <v>3468</v>
      </c>
      <c r="J1188" s="248" t="s">
        <v>3161</v>
      </c>
      <c r="K1188" s="245"/>
      <c r="L1188" s="245"/>
      <c r="M1188" s="245"/>
      <c r="N1188" s="245"/>
      <c r="O1188" s="245"/>
      <c r="P1188" s="245"/>
      <c r="Q1188" s="246"/>
      <c r="R1188" s="233"/>
      <c r="S1188" s="234">
        <f>IF(C1188="",NA(),MATCH($B1188&amp;$C1188,'Smelter Reference List'!$J:$J,0))</f>
        <v>459</v>
      </c>
      <c r="T1188" s="235"/>
      <c r="U1188" s="235">
        <f t="shared" si="32"/>
        <v>0</v>
      </c>
      <c r="V1188" s="235"/>
      <c r="W1188" s="235"/>
      <c r="Y1188" s="228" t="str">
        <f t="shared" si="33"/>
        <v>TinYunnan Chengfeng Non-ferrous Metals Co., Ltd.</v>
      </c>
    </row>
    <row r="1189" spans="1:25" s="228" customFormat="1" ht="20.25">
      <c r="A1189" s="161" t="s">
        <v>1407</v>
      </c>
      <c r="B1189" s="408" t="s">
        <v>2324</v>
      </c>
      <c r="C1189" s="297" t="str">
        <f>IF(LEN(A1189)=0,"",INDEX('[2]Smelter Reference List'!$C$1:$C$65536,MATCH($A1189,'[2]Smelter Reference List'!$E$1:$E$65536,0)))</f>
        <v>Yunnan Tin Company Limited</v>
      </c>
      <c r="D1189" s="161" t="s">
        <v>4749</v>
      </c>
      <c r="E1189" s="161" t="s">
        <v>2181</v>
      </c>
      <c r="F1189" s="161" t="s">
        <v>1407</v>
      </c>
      <c r="G1189" s="161" t="s">
        <v>3125</v>
      </c>
      <c r="H1189" s="247">
        <v>0</v>
      </c>
      <c r="I1189" s="248" t="s">
        <v>3468</v>
      </c>
      <c r="J1189" s="248" t="s">
        <v>3161</v>
      </c>
      <c r="K1189" s="245"/>
      <c r="L1189" s="245"/>
      <c r="M1189" s="245"/>
      <c r="N1189" s="245"/>
      <c r="O1189" s="245"/>
      <c r="P1189" s="245"/>
      <c r="Q1189" s="246"/>
      <c r="R1189" s="233"/>
      <c r="S1189" s="234">
        <f>IF(C1189="",NA(),MATCH($B1189&amp;$C1189,'Smelter Reference List'!$J:$J,0))</f>
        <v>462</v>
      </c>
      <c r="T1189" s="235"/>
      <c r="U1189" s="235">
        <f t="shared" si="32"/>
        <v>0</v>
      </c>
      <c r="V1189" s="235"/>
      <c r="W1189" s="235"/>
      <c r="Y1189" s="228" t="str">
        <f t="shared" si="33"/>
        <v>TinYunnan Tin Company Limited</v>
      </c>
    </row>
    <row r="1190" spans="1:25" s="228" customFormat="1" ht="20.25">
      <c r="A1190" s="161" t="s">
        <v>1235</v>
      </c>
      <c r="B1190" s="408" t="s">
        <v>2323</v>
      </c>
      <c r="C1190" s="297" t="str">
        <f>IF(LEN(A1190)=0,"",INDEX('[2]Smelter Reference List'!$C$1:$C$65536,MATCH($A1190,'[2]Smelter Reference List'!$E$1:$E$65536,0)))</f>
        <v>Allgemeine Gold-und Silberscheideanstalt A.G.</v>
      </c>
      <c r="D1190" s="161" t="s">
        <v>70</v>
      </c>
      <c r="E1190" s="161" t="s">
        <v>2195</v>
      </c>
      <c r="F1190" s="161" t="s">
        <v>1235</v>
      </c>
      <c r="G1190" s="161" t="s">
        <v>3125</v>
      </c>
      <c r="H1190" s="247">
        <v>0</v>
      </c>
      <c r="I1190" s="248" t="s">
        <v>3130</v>
      </c>
      <c r="J1190" s="248" t="s">
        <v>3131</v>
      </c>
      <c r="K1190" s="245"/>
      <c r="L1190" s="245"/>
      <c r="M1190" s="245"/>
      <c r="N1190" s="245"/>
      <c r="O1190" s="245"/>
      <c r="P1190" s="245"/>
      <c r="Q1190" s="246"/>
      <c r="R1190" s="233"/>
      <c r="S1190" s="234">
        <f>IF(C1190="",NA(),MATCH($B1190&amp;$C1190,'Smelter Reference List'!$J:$J,0))</f>
        <v>11</v>
      </c>
      <c r="T1190" s="235"/>
      <c r="U1190" s="235">
        <f t="shared" si="32"/>
        <v>0</v>
      </c>
      <c r="V1190" s="235"/>
      <c r="W1190" s="235"/>
      <c r="Y1190" s="228" t="str">
        <f t="shared" si="33"/>
        <v>GoldAllgemeine Gold-und Silberscheideanstalt A.G.</v>
      </c>
    </row>
    <row r="1191" spans="1:25" s="228" customFormat="1" ht="20.25">
      <c r="A1191" s="161" t="s">
        <v>1237</v>
      </c>
      <c r="B1191" s="408" t="s">
        <v>2323</v>
      </c>
      <c r="C1191" s="297" t="str">
        <f>IF(LEN(A1191)=0,"",INDEX('[2]Smelter Reference List'!$C$1:$C$65536,MATCH($A1191,'[2]Smelter Reference List'!$E$1:$E$65536,0)))</f>
        <v>AngloGold Ashanti Córrego do Sítio Mineração</v>
      </c>
      <c r="D1191" s="161" t="s">
        <v>3134</v>
      </c>
      <c r="E1191" s="161" t="s">
        <v>2170</v>
      </c>
      <c r="F1191" s="161" t="s">
        <v>1237</v>
      </c>
      <c r="G1191" s="161" t="s">
        <v>3125</v>
      </c>
      <c r="H1191" s="247">
        <v>0</v>
      </c>
      <c r="I1191" s="248" t="s">
        <v>3135</v>
      </c>
      <c r="J1191" s="248" t="s">
        <v>3136</v>
      </c>
      <c r="K1191" s="245"/>
      <c r="L1191" s="245"/>
      <c r="M1191" s="245"/>
      <c r="N1191" s="245"/>
      <c r="O1191" s="245"/>
      <c r="P1191" s="245"/>
      <c r="Q1191" s="246"/>
      <c r="R1191" s="233"/>
      <c r="S1191" s="234">
        <f>IF(C1191="",NA(),MATCH($B1191&amp;$C1191,'Smelter Reference List'!$J:$J,0))</f>
        <v>14</v>
      </c>
      <c r="T1191" s="235"/>
      <c r="U1191" s="235">
        <f t="shared" si="32"/>
        <v>0</v>
      </c>
      <c r="V1191" s="235"/>
      <c r="W1191" s="235"/>
      <c r="Y1191" s="228" t="str">
        <f t="shared" si="33"/>
        <v>GoldAngloGold Ashanti Córrego do Sítio Mineração</v>
      </c>
    </row>
    <row r="1192" spans="1:25" s="228" customFormat="1" ht="20.25">
      <c r="A1192" s="161" t="s">
        <v>1303</v>
      </c>
      <c r="B1192" s="408" t="s">
        <v>2323</v>
      </c>
      <c r="C1192" s="297" t="str">
        <f>IF(LEN(A1192)=0,"",INDEX('[2]Smelter Reference List'!$C$1:$C$65536,MATCH($A1192,'[2]Smelter Reference List'!$E$1:$E$65536,0)))</f>
        <v>Ohura Precious Metal Industry Co., Ltd.</v>
      </c>
      <c r="D1192" s="161" t="s">
        <v>4167</v>
      </c>
      <c r="E1192" s="161" t="s">
        <v>2249</v>
      </c>
      <c r="F1192" s="161" t="s">
        <v>1303</v>
      </c>
      <c r="G1192" s="161" t="s">
        <v>3125</v>
      </c>
      <c r="H1192" s="247">
        <v>0</v>
      </c>
      <c r="I1192" s="248" t="s">
        <v>3257</v>
      </c>
      <c r="J1192" s="248" t="s">
        <v>3258</v>
      </c>
      <c r="K1192" s="245"/>
      <c r="L1192" s="245"/>
      <c r="M1192" s="245"/>
      <c r="N1192" s="245"/>
      <c r="O1192" s="245"/>
      <c r="P1192" s="245"/>
      <c r="Q1192" s="246"/>
      <c r="R1192" s="233"/>
      <c r="S1192" s="234">
        <f>IF(C1192="",NA(),MATCH($B1192&amp;$C1192,'Smelter Reference List'!$J:$J,0))</f>
        <v>141</v>
      </c>
      <c r="T1192" s="235"/>
      <c r="U1192" s="235">
        <f t="shared" si="32"/>
        <v>0</v>
      </c>
      <c r="V1192" s="235"/>
      <c r="W1192" s="235"/>
      <c r="Y1192" s="228" t="str">
        <f t="shared" si="33"/>
        <v>GoldOhura Precious Metal Industry Co., Ltd.</v>
      </c>
    </row>
    <row r="1193" spans="1:25" s="228" customFormat="1" ht="20.25">
      <c r="A1193" s="161" t="s">
        <v>1250</v>
      </c>
      <c r="B1193" s="408" t="s">
        <v>2323</v>
      </c>
      <c r="C1193" s="297" t="str">
        <f>IF(LEN(A1193)=0,"",INDEX('[2]Smelter Reference List'!$C$1:$C$65536,MATCH($A1193,'[2]Smelter Reference List'!$E$1:$E$65536,0)))</f>
        <v>Chimet S.p.A.</v>
      </c>
      <c r="D1193" s="161" t="s">
        <v>71</v>
      </c>
      <c r="E1193" s="161" t="s">
        <v>2246</v>
      </c>
      <c r="F1193" s="161" t="s">
        <v>1250</v>
      </c>
      <c r="G1193" s="161" t="s">
        <v>3125</v>
      </c>
      <c r="H1193" s="247">
        <v>0</v>
      </c>
      <c r="I1193" s="248" t="s">
        <v>3163</v>
      </c>
      <c r="J1193" s="248" t="s">
        <v>3164</v>
      </c>
      <c r="K1193" s="245"/>
      <c r="L1193" s="245"/>
      <c r="M1193" s="245"/>
      <c r="N1193" s="245"/>
      <c r="O1193" s="245"/>
      <c r="P1193" s="245"/>
      <c r="Q1193" s="246"/>
      <c r="R1193" s="233"/>
      <c r="S1193" s="234">
        <f>IF(C1193="",NA(),MATCH($B1193&amp;$C1193,'Smelter Reference List'!$J:$J,0))</f>
        <v>38</v>
      </c>
      <c r="T1193" s="235"/>
      <c r="U1193" s="235">
        <f t="shared" si="32"/>
        <v>0</v>
      </c>
      <c r="V1193" s="235"/>
      <c r="W1193" s="235"/>
      <c r="Y1193" s="228" t="str">
        <f t="shared" si="33"/>
        <v>GoldChimet S.p.A.</v>
      </c>
    </row>
    <row r="1194" spans="1:25" s="228" customFormat="1" ht="20.25">
      <c r="A1194" s="161" t="s">
        <v>1263</v>
      </c>
      <c r="B1194" s="408" t="s">
        <v>2323</v>
      </c>
      <c r="C1194" s="297" t="str">
        <f>IF(LEN(A1194)=0,"",INDEX('[2]Smelter Reference List'!$C$1:$C$65536,MATCH($A1194,'[2]Smelter Reference List'!$E$1:$E$65536,0)))</f>
        <v>Heimerle + Meule GmbH</v>
      </c>
      <c r="D1194" s="161" t="s">
        <v>1959</v>
      </c>
      <c r="E1194" s="161" t="s">
        <v>2195</v>
      </c>
      <c r="F1194" s="161" t="s">
        <v>1263</v>
      </c>
      <c r="G1194" s="161" t="s">
        <v>3125</v>
      </c>
      <c r="H1194" s="247">
        <v>0</v>
      </c>
      <c r="I1194" s="248" t="s">
        <v>3130</v>
      </c>
      <c r="J1194" s="248" t="s">
        <v>3131</v>
      </c>
      <c r="K1194" s="245"/>
      <c r="L1194" s="245"/>
      <c r="M1194" s="245"/>
      <c r="N1194" s="245"/>
      <c r="O1194" s="245"/>
      <c r="P1194" s="245"/>
      <c r="Q1194" s="246"/>
      <c r="R1194" s="233"/>
      <c r="S1194" s="234">
        <f>IF(C1194="",NA(),MATCH($B1194&amp;$C1194,'Smelter Reference List'!$J:$J,0))</f>
        <v>71</v>
      </c>
      <c r="T1194" s="235"/>
      <c r="U1194" s="235">
        <f t="shared" si="32"/>
        <v>0</v>
      </c>
      <c r="V1194" s="235"/>
      <c r="W1194" s="235"/>
      <c r="Y1194" s="228" t="str">
        <f t="shared" si="33"/>
        <v>GoldHeimerle + Meule GmbH</v>
      </c>
    </row>
    <row r="1195" spans="1:25" s="228" customFormat="1" ht="20.25">
      <c r="A1195" s="161" t="s">
        <v>1269</v>
      </c>
      <c r="B1195" s="408" t="s">
        <v>2323</v>
      </c>
      <c r="C1195" s="297" t="str">
        <f>IF(LEN(A1195)=0,"",INDEX('[2]Smelter Reference List'!$C$1:$C$65536,MATCH($A1195,'[2]Smelter Reference List'!$E$1:$E$65536,0)))</f>
        <v>Ishifuku Metal Industry Co., Ltd.</v>
      </c>
      <c r="D1195" s="161" t="s">
        <v>2452</v>
      </c>
      <c r="E1195" s="161" t="s">
        <v>2249</v>
      </c>
      <c r="F1195" s="161" t="s">
        <v>1269</v>
      </c>
      <c r="G1195" s="161" t="s">
        <v>3125</v>
      </c>
      <c r="H1195" s="247">
        <v>0</v>
      </c>
      <c r="I1195" s="248" t="s">
        <v>3199</v>
      </c>
      <c r="J1195" s="248" t="s">
        <v>3179</v>
      </c>
      <c r="K1195" s="245"/>
      <c r="L1195" s="245"/>
      <c r="M1195" s="245"/>
      <c r="N1195" s="245"/>
      <c r="O1195" s="245"/>
      <c r="P1195" s="245"/>
      <c r="Q1195" s="246"/>
      <c r="R1195" s="233"/>
      <c r="S1195" s="234">
        <f>IF(C1195="",NA(),MATCH($B1195&amp;$C1195,'Smelter Reference List'!$J:$J,0))</f>
        <v>82</v>
      </c>
      <c r="T1195" s="235"/>
      <c r="U1195" s="235">
        <f t="shared" si="32"/>
        <v>0</v>
      </c>
      <c r="V1195" s="235"/>
      <c r="W1195" s="235"/>
      <c r="Y1195" s="228" t="str">
        <f t="shared" si="33"/>
        <v>GoldIshifuku Metal Industry Co., Ltd.</v>
      </c>
    </row>
    <row r="1196" spans="1:25" s="228" customFormat="1" ht="20.25">
      <c r="A1196" s="161" t="s">
        <v>1242</v>
      </c>
      <c r="B1196" s="408" t="s">
        <v>2323</v>
      </c>
      <c r="C1196" s="297" t="str">
        <f>IF(LEN(A1196)=0,"",INDEX('[2]Smelter Reference List'!$C$1:$C$65536,MATCH($A1196,'[2]Smelter Reference List'!$E$1:$E$65536,0)))</f>
        <v>Aurubis AG</v>
      </c>
      <c r="D1196" s="161" t="s">
        <v>2448</v>
      </c>
      <c r="E1196" s="161" t="s">
        <v>2195</v>
      </c>
      <c r="F1196" s="161" t="s">
        <v>1242</v>
      </c>
      <c r="G1196" s="161" t="s">
        <v>3125</v>
      </c>
      <c r="H1196" s="247">
        <v>0</v>
      </c>
      <c r="I1196" s="248" t="s">
        <v>3146</v>
      </c>
      <c r="J1196" s="248" t="s">
        <v>3147</v>
      </c>
      <c r="K1196" s="245"/>
      <c r="L1196" s="245"/>
      <c r="M1196" s="245"/>
      <c r="N1196" s="245"/>
      <c r="O1196" s="245"/>
      <c r="P1196" s="245"/>
      <c r="Q1196" s="246"/>
      <c r="R1196" s="233"/>
      <c r="S1196" s="234">
        <f>IF(C1196="",NA(),MATCH($B1196&amp;$C1196,'Smelter Reference List'!$J:$J,0))</f>
        <v>26</v>
      </c>
      <c r="T1196" s="235"/>
      <c r="U1196" s="235">
        <f t="shared" si="32"/>
        <v>0</v>
      </c>
      <c r="V1196" s="235"/>
      <c r="W1196" s="235"/>
      <c r="Y1196" s="228" t="str">
        <f t="shared" si="33"/>
        <v>GoldAurubis AG</v>
      </c>
    </row>
    <row r="1197" spans="1:25" s="228" customFormat="1" ht="20.25">
      <c r="A1197" s="161" t="s">
        <v>1234</v>
      </c>
      <c r="B1197" s="408" t="s">
        <v>2323</v>
      </c>
      <c r="C1197" s="297" t="str">
        <f>IF(LEN(A1197)=0,"",INDEX('[2]Smelter Reference List'!$C$1:$C$65536,MATCH($A1197,'[2]Smelter Reference List'!$E$1:$E$65536,0)))</f>
        <v>Aida Chemical Industries Co., Ltd.</v>
      </c>
      <c r="D1197" s="161" t="s">
        <v>4146</v>
      </c>
      <c r="E1197" s="161" t="s">
        <v>2249</v>
      </c>
      <c r="F1197" s="161" t="s">
        <v>1234</v>
      </c>
      <c r="G1197" s="161" t="s">
        <v>3125</v>
      </c>
      <c r="H1197" s="247">
        <v>0</v>
      </c>
      <c r="I1197" s="248" t="s">
        <v>3128</v>
      </c>
      <c r="J1197" s="248" t="s">
        <v>3129</v>
      </c>
      <c r="K1197" s="245"/>
      <c r="L1197" s="245"/>
      <c r="M1197" s="245"/>
      <c r="N1197" s="245"/>
      <c r="O1197" s="245"/>
      <c r="P1197" s="245"/>
      <c r="Q1197" s="246"/>
      <c r="R1197" s="233"/>
      <c r="S1197" s="234">
        <f>IF(C1197="",NA(),MATCH($B1197&amp;$C1197,'Smelter Reference List'!$J:$J,0))</f>
        <v>9</v>
      </c>
      <c r="T1197" s="235"/>
      <c r="U1197" s="235">
        <f t="shared" si="32"/>
        <v>0</v>
      </c>
      <c r="V1197" s="235"/>
      <c r="W1197" s="235"/>
      <c r="Y1197" s="228" t="str">
        <f t="shared" si="33"/>
        <v>GoldAida Chemical Industries Co., Ltd.</v>
      </c>
    </row>
    <row r="1198" spans="1:25" s="228" customFormat="1" ht="20.25">
      <c r="A1198" s="161" t="s">
        <v>1390</v>
      </c>
      <c r="B1198" s="408" t="s">
        <v>2324</v>
      </c>
      <c r="C1198" s="297" t="str">
        <f>IF(LEN(A1198)=0,"",INDEX('[2]Smelter Reference List'!$C$1:$C$65536,MATCH($A1198,'[2]Smelter Reference List'!$E$1:$E$65536,0)))</f>
        <v>PT DS Jaya Abadi</v>
      </c>
      <c r="D1198" s="161" t="s">
        <v>1174</v>
      </c>
      <c r="E1198" s="161" t="s">
        <v>2238</v>
      </c>
      <c r="F1198" s="161" t="s">
        <v>1390</v>
      </c>
      <c r="G1198" s="161" t="s">
        <v>3125</v>
      </c>
      <c r="H1198" s="247">
        <v>0</v>
      </c>
      <c r="I1198" s="248" t="s">
        <v>3457</v>
      </c>
      <c r="J1198" s="248" t="s">
        <v>3454</v>
      </c>
      <c r="K1198" s="245"/>
      <c r="L1198" s="245"/>
      <c r="M1198" s="245"/>
      <c r="N1198" s="245"/>
      <c r="O1198" s="245"/>
      <c r="P1198" s="245"/>
      <c r="Q1198" s="246"/>
      <c r="R1198" s="233"/>
      <c r="S1198" s="234">
        <f>IF(C1198="",NA(),MATCH($B1198&amp;$C1198,'Smelter Reference List'!$J:$J,0))</f>
        <v>410</v>
      </c>
      <c r="T1198" s="235"/>
      <c r="U1198" s="235">
        <f t="shared" si="32"/>
        <v>0</v>
      </c>
      <c r="V1198" s="235"/>
      <c r="W1198" s="235"/>
      <c r="Y1198" s="228" t="str">
        <f t="shared" si="33"/>
        <v>TinPT DS Jaya Abadi</v>
      </c>
    </row>
    <row r="1199" spans="1:25" s="228" customFormat="1" ht="20.25">
      <c r="A1199" s="161" t="s">
        <v>1286</v>
      </c>
      <c r="B1199" s="408" t="s">
        <v>2323</v>
      </c>
      <c r="C1199" s="297" t="str">
        <f>IF(LEN(A1199)=0,"",INDEX('[2]Smelter Reference List'!$C$1:$C$65536,MATCH($A1199,'[2]Smelter Reference List'!$E$1:$E$65536,0)))</f>
        <v>LS-NIKKO Copper Inc.</v>
      </c>
      <c r="D1199" s="161" t="s">
        <v>74</v>
      </c>
      <c r="E1199" s="161" t="s">
        <v>2256</v>
      </c>
      <c r="F1199" s="161" t="s">
        <v>1286</v>
      </c>
      <c r="G1199" s="161" t="s">
        <v>3125</v>
      </c>
      <c r="H1199" s="247">
        <v>0</v>
      </c>
      <c r="I1199" s="248" t="s">
        <v>3225</v>
      </c>
      <c r="J1199" s="248" t="s">
        <v>3226</v>
      </c>
      <c r="K1199" s="245"/>
      <c r="L1199" s="245"/>
      <c r="M1199" s="245"/>
      <c r="N1199" s="245"/>
      <c r="O1199" s="245"/>
      <c r="P1199" s="245"/>
      <c r="Q1199" s="246"/>
      <c r="R1199" s="233"/>
      <c r="S1199" s="234">
        <f>IF(C1199="",NA(),MATCH($B1199&amp;$C1199,'Smelter Reference List'!$J:$J,0))</f>
        <v>111</v>
      </c>
      <c r="T1199" s="235"/>
      <c r="U1199" s="235">
        <f t="shared" si="32"/>
        <v>0</v>
      </c>
      <c r="V1199" s="235"/>
      <c r="W1199" s="235"/>
      <c r="Y1199" s="228" t="str">
        <f t="shared" si="33"/>
        <v>GoldLS-NIKKO Copper Inc.</v>
      </c>
    </row>
    <row r="1200" spans="1:25" s="228" customFormat="1" ht="20.25">
      <c r="A1200" s="161" t="s">
        <v>1291</v>
      </c>
      <c r="B1200" s="408" t="s">
        <v>2323</v>
      </c>
      <c r="C1200" s="297" t="str">
        <f>IF(LEN(A1200)=0,"",INDEX('[2]Smelter Reference List'!$C$1:$C$65536,MATCH($A1200,'[2]Smelter Reference List'!$E$1:$E$65536,0)))</f>
        <v>Metalor Technologies (Hong Kong) Ltd.</v>
      </c>
      <c r="D1200" s="161" t="s">
        <v>4162</v>
      </c>
      <c r="E1200" s="161" t="s">
        <v>2181</v>
      </c>
      <c r="F1200" s="161" t="s">
        <v>1291</v>
      </c>
      <c r="G1200" s="161" t="s">
        <v>3125</v>
      </c>
      <c r="H1200" s="247">
        <v>0</v>
      </c>
      <c r="I1200" s="248" t="s">
        <v>3236</v>
      </c>
      <c r="J1200" s="248" t="s">
        <v>3191</v>
      </c>
      <c r="K1200" s="245"/>
      <c r="L1200" s="245"/>
      <c r="M1200" s="245"/>
      <c r="N1200" s="245"/>
      <c r="O1200" s="245"/>
      <c r="P1200" s="245"/>
      <c r="Q1200" s="246"/>
      <c r="R1200" s="233"/>
      <c r="S1200" s="234">
        <f>IF(C1200="",NA(),MATCH($B1200&amp;$C1200,'Smelter Reference List'!$J:$J,0))</f>
        <v>120</v>
      </c>
      <c r="T1200" s="235"/>
      <c r="U1200" s="235">
        <f t="shared" si="32"/>
        <v>0</v>
      </c>
      <c r="V1200" s="235"/>
      <c r="W1200" s="235"/>
      <c r="Y1200" s="228" t="str">
        <f t="shared" si="33"/>
        <v>GoldMetalor Technologies (Hong Kong) Ltd.</v>
      </c>
    </row>
    <row r="1201" spans="1:25" s="228" customFormat="1" ht="20.25">
      <c r="A1201" s="161" t="s">
        <v>1293</v>
      </c>
      <c r="B1201" s="408" t="s">
        <v>2323</v>
      </c>
      <c r="C1201" s="297" t="str">
        <f>IF(LEN(A1201)=0,"",INDEX('[2]Smelter Reference List'!$C$1:$C$65536,MATCH($A1201,'[2]Smelter Reference List'!$E$1:$E$65536,0)))</f>
        <v>Metalor Technologies S.A.</v>
      </c>
      <c r="D1201" s="161" t="s">
        <v>4697</v>
      </c>
      <c r="E1201" s="161" t="s">
        <v>2179</v>
      </c>
      <c r="F1201" s="161" t="s">
        <v>1293</v>
      </c>
      <c r="G1201" s="161" t="s">
        <v>3125</v>
      </c>
      <c r="H1201" s="247">
        <v>0</v>
      </c>
      <c r="I1201" s="248" t="s">
        <v>3239</v>
      </c>
      <c r="J1201" s="248" t="s">
        <v>3240</v>
      </c>
      <c r="K1201" s="245"/>
      <c r="L1201" s="245"/>
      <c r="M1201" s="245"/>
      <c r="N1201" s="245"/>
      <c r="O1201" s="245"/>
      <c r="P1201" s="245"/>
      <c r="Q1201" s="246"/>
      <c r="R1201" s="233"/>
      <c r="S1201" s="234">
        <f>IF(C1201="",NA(),MATCH($B1201&amp;$C1201,'Smelter Reference List'!$J:$J,0))</f>
        <v>123</v>
      </c>
      <c r="T1201" s="235"/>
      <c r="U1201" s="235">
        <f t="shared" si="32"/>
        <v>0</v>
      </c>
      <c r="V1201" s="235"/>
      <c r="W1201" s="235"/>
      <c r="Y1201" s="228" t="str">
        <f t="shared" si="33"/>
        <v>GoldMetalor Technologies S.A.</v>
      </c>
    </row>
    <row r="1202" spans="1:25" s="228" customFormat="1" ht="20.25">
      <c r="A1202" s="161" t="s">
        <v>1302</v>
      </c>
      <c r="B1202" s="408" t="s">
        <v>2323</v>
      </c>
      <c r="C1202" s="297" t="str">
        <f>IF(LEN(A1202)=0,"",INDEX('[2]Smelter Reference List'!$C$1:$C$65536,MATCH($A1202,'[2]Smelter Reference List'!$E$1:$E$65536,0)))</f>
        <v>Elemetal Refining, LLC</v>
      </c>
      <c r="D1202" s="161" t="s">
        <v>4268</v>
      </c>
      <c r="E1202" s="161" t="s">
        <v>1759</v>
      </c>
      <c r="F1202" s="161" t="s">
        <v>1302</v>
      </c>
      <c r="G1202" s="161" t="s">
        <v>3125</v>
      </c>
      <c r="H1202" s="247">
        <v>0</v>
      </c>
      <c r="I1202" s="248" t="s">
        <v>3255</v>
      </c>
      <c r="J1202" s="248" t="s">
        <v>3256</v>
      </c>
      <c r="K1202" s="245"/>
      <c r="L1202" s="245"/>
      <c r="M1202" s="245"/>
      <c r="N1202" s="245"/>
      <c r="O1202" s="245"/>
      <c r="P1202" s="245"/>
      <c r="Q1202" s="246"/>
      <c r="R1202" s="233"/>
      <c r="S1202" s="234">
        <f>IF(C1202="",NA(),MATCH($B1202&amp;$C1202,'Smelter Reference List'!$J:$J,0))</f>
        <v>55</v>
      </c>
      <c r="T1202" s="235"/>
      <c r="U1202" s="235">
        <f t="shared" si="32"/>
        <v>0</v>
      </c>
      <c r="V1202" s="235"/>
      <c r="W1202" s="235"/>
      <c r="Y1202" s="228" t="str">
        <f t="shared" si="33"/>
        <v>GoldElemetal Refining, LLC</v>
      </c>
    </row>
    <row r="1203" spans="1:25" s="228" customFormat="1" ht="20.25">
      <c r="A1203" s="161" t="s">
        <v>1310</v>
      </c>
      <c r="B1203" s="408" t="s">
        <v>2323</v>
      </c>
      <c r="C1203" s="297" t="str">
        <f>IF(LEN(A1203)=0,"",INDEX('[2]Smelter Reference List'!$C$1:$C$65536,MATCH($A1203,'[2]Smelter Reference List'!$E$1:$E$65536,0)))</f>
        <v>Rand Refinery (Pty) Ltd.</v>
      </c>
      <c r="D1203" s="161" t="s">
        <v>4171</v>
      </c>
      <c r="E1203" s="161" t="s">
        <v>1772</v>
      </c>
      <c r="F1203" s="161" t="s">
        <v>1310</v>
      </c>
      <c r="G1203" s="161" t="s">
        <v>3125</v>
      </c>
      <c r="H1203" s="247">
        <v>0</v>
      </c>
      <c r="I1203" s="248" t="s">
        <v>3270</v>
      </c>
      <c r="J1203" s="248" t="s">
        <v>3271</v>
      </c>
      <c r="K1203" s="245"/>
      <c r="L1203" s="245"/>
      <c r="M1203" s="245"/>
      <c r="N1203" s="245"/>
      <c r="O1203" s="245"/>
      <c r="P1203" s="245"/>
      <c r="Q1203" s="246"/>
      <c r="R1203" s="233"/>
      <c r="S1203" s="234">
        <f>IF(C1203="",NA(),MATCH($B1203&amp;$C1203,'Smelter Reference List'!$J:$J,0))</f>
        <v>155</v>
      </c>
      <c r="T1203" s="235"/>
      <c r="U1203" s="235">
        <f t="shared" si="32"/>
        <v>0</v>
      </c>
      <c r="V1203" s="235"/>
      <c r="W1203" s="235"/>
      <c r="Y1203" s="228" t="str">
        <f t="shared" si="33"/>
        <v>GoldRand Refinery (Pty) Ltd.</v>
      </c>
    </row>
    <row r="1204" spans="1:25" s="228" customFormat="1" ht="20.25">
      <c r="A1204" s="161" t="s">
        <v>1324</v>
      </c>
      <c r="B1204" s="408" t="s">
        <v>2323</v>
      </c>
      <c r="C1204" s="297" t="str">
        <f>IF(LEN(A1204)=0,"",INDEX('[2]Smelter Reference List'!$C$1:$C$65536,MATCH($A1204,'[2]Smelter Reference List'!$E$1:$E$65536,0)))</f>
        <v>The Refinery of Shandong Gold Mining Co., Ltd.</v>
      </c>
      <c r="D1204" s="161" t="s">
        <v>4177</v>
      </c>
      <c r="E1204" s="161" t="s">
        <v>2181</v>
      </c>
      <c r="F1204" s="161" t="s">
        <v>1324</v>
      </c>
      <c r="G1204" s="161" t="s">
        <v>3125</v>
      </c>
      <c r="H1204" s="247">
        <v>0</v>
      </c>
      <c r="I1204" s="248" t="s">
        <v>3286</v>
      </c>
      <c r="J1204" s="248" t="s">
        <v>3263</v>
      </c>
      <c r="K1204" s="245"/>
      <c r="L1204" s="245"/>
      <c r="M1204" s="245"/>
      <c r="N1204" s="245"/>
      <c r="O1204" s="245"/>
      <c r="P1204" s="245"/>
      <c r="Q1204" s="246"/>
      <c r="R1204" s="233"/>
      <c r="S1204" s="234">
        <f>IF(C1204="",NA(),MATCH($B1204&amp;$C1204,'Smelter Reference List'!$J:$J,0))</f>
        <v>204</v>
      </c>
      <c r="T1204" s="235"/>
      <c r="U1204" s="235">
        <f t="shared" si="32"/>
        <v>0</v>
      </c>
      <c r="V1204" s="235"/>
      <c r="W1204" s="235"/>
      <c r="Y1204" s="228" t="str">
        <f t="shared" si="33"/>
        <v>GoldThe Refinery of Shandong Gold Mining Co., Ltd.</v>
      </c>
    </row>
    <row r="1205" spans="1:25" s="228" customFormat="1" ht="20.25">
      <c r="A1205" s="161" t="s">
        <v>1320</v>
      </c>
      <c r="B1205" s="408" t="s">
        <v>2323</v>
      </c>
      <c r="C1205" s="297" t="str">
        <f>IF(LEN(A1205)=0,"",INDEX('[2]Smelter Reference List'!$C$1:$C$65536,MATCH($A1205,'[2]Smelter Reference List'!$E$1:$E$65536,0)))</f>
        <v>Solar Applied Materials Technology Corp.</v>
      </c>
      <c r="D1205" s="161" t="s">
        <v>1797</v>
      </c>
      <c r="E1205" s="161" t="s">
        <v>1753</v>
      </c>
      <c r="F1205" s="161" t="s">
        <v>1320</v>
      </c>
      <c r="G1205" s="161" t="s">
        <v>3125</v>
      </c>
      <c r="H1205" s="247">
        <v>0</v>
      </c>
      <c r="I1205" s="248" t="s">
        <v>3295</v>
      </c>
      <c r="J1205" s="248" t="s">
        <v>3296</v>
      </c>
      <c r="K1205" s="245"/>
      <c r="L1205" s="245"/>
      <c r="M1205" s="245"/>
      <c r="N1205" s="245"/>
      <c r="O1205" s="245"/>
      <c r="P1205" s="245"/>
      <c r="Q1205" s="246"/>
      <c r="R1205" s="233"/>
      <c r="S1205" s="234">
        <f>IF(C1205="",NA(),MATCH($B1205&amp;$C1205,'Smelter Reference List'!$J:$J,0))</f>
        <v>185</v>
      </c>
      <c r="T1205" s="235"/>
      <c r="U1205" s="235">
        <f t="shared" si="32"/>
        <v>0</v>
      </c>
      <c r="V1205" s="235"/>
      <c r="W1205" s="235"/>
      <c r="Y1205" s="228" t="str">
        <f t="shared" si="33"/>
        <v>GoldSolar Applied Materials Technology Corp.</v>
      </c>
    </row>
    <row r="1206" spans="1:25" s="228" customFormat="1" ht="20.25">
      <c r="A1206" s="161" t="s">
        <v>1329</v>
      </c>
      <c r="B1206" s="408" t="s">
        <v>2323</v>
      </c>
      <c r="C1206" s="297" t="str">
        <f>IF(LEN(A1206)=0,"",INDEX('[2]Smelter Reference List'!$C$1:$C$65536,MATCH($A1206,'[2]Smelter Reference List'!$E$1:$E$65536,0)))</f>
        <v>Umicore S.A. Business Unit Precious Metals Refining</v>
      </c>
      <c r="D1206" s="161" t="s">
        <v>4724</v>
      </c>
      <c r="E1206" s="161" t="s">
        <v>2158</v>
      </c>
      <c r="F1206" s="161" t="s">
        <v>1329</v>
      </c>
      <c r="G1206" s="161" t="s">
        <v>3125</v>
      </c>
      <c r="H1206" s="247">
        <v>0</v>
      </c>
      <c r="I1206" s="248" t="s">
        <v>3314</v>
      </c>
      <c r="J1206" s="248" t="s">
        <v>3315</v>
      </c>
      <c r="K1206" s="245"/>
      <c r="L1206" s="245"/>
      <c r="M1206" s="245"/>
      <c r="N1206" s="245"/>
      <c r="O1206" s="245"/>
      <c r="P1206" s="245"/>
      <c r="Q1206" s="246"/>
      <c r="R1206" s="233"/>
      <c r="S1206" s="234">
        <f>IF(C1206="",NA(),MATCH($B1206&amp;$C1206,'Smelter Reference List'!$J:$J,0))</f>
        <v>214</v>
      </c>
      <c r="T1206" s="235"/>
      <c r="U1206" s="235">
        <f t="shared" si="32"/>
        <v>0</v>
      </c>
      <c r="V1206" s="235"/>
      <c r="W1206" s="235"/>
      <c r="Y1206" s="228" t="str">
        <f t="shared" si="33"/>
        <v>GoldUmicore S.A. Business Unit Precious Metals Refining</v>
      </c>
    </row>
    <row r="1207" spans="1:25" s="228" customFormat="1" ht="20.25">
      <c r="A1207" s="161" t="s">
        <v>1330</v>
      </c>
      <c r="B1207" s="408" t="s">
        <v>2323</v>
      </c>
      <c r="C1207" s="297" t="str">
        <f>IF(LEN(A1207)=0,"",INDEX('[2]Smelter Reference List'!$C$1:$C$65536,MATCH($A1207,'[2]Smelter Reference List'!$E$1:$E$65536,0)))</f>
        <v>United Precious Metal Refining, Inc.</v>
      </c>
      <c r="D1207" s="161" t="s">
        <v>1470</v>
      </c>
      <c r="E1207" s="161" t="s">
        <v>1759</v>
      </c>
      <c r="F1207" s="161" t="s">
        <v>1330</v>
      </c>
      <c r="G1207" s="161" t="s">
        <v>3125</v>
      </c>
      <c r="H1207" s="247">
        <v>0</v>
      </c>
      <c r="I1207" s="248" t="s">
        <v>3316</v>
      </c>
      <c r="J1207" s="248" t="s">
        <v>3230</v>
      </c>
      <c r="K1207" s="245"/>
      <c r="L1207" s="245"/>
      <c r="M1207" s="245"/>
      <c r="N1207" s="245"/>
      <c r="O1207" s="245"/>
      <c r="P1207" s="245"/>
      <c r="Q1207" s="246"/>
      <c r="R1207" s="233"/>
      <c r="S1207" s="234">
        <f>IF(C1207="",NA(),MATCH($B1207&amp;$C1207,'Smelter Reference List'!$J:$J,0))</f>
        <v>215</v>
      </c>
      <c r="T1207" s="235"/>
      <c r="U1207" s="235">
        <f t="shared" si="32"/>
        <v>0</v>
      </c>
      <c r="V1207" s="235"/>
      <c r="W1207" s="235"/>
      <c r="Y1207" s="228" t="str">
        <f t="shared" si="33"/>
        <v>GoldUnited Precious Metal Refining, Inc.</v>
      </c>
    </row>
    <row r="1208" spans="1:25" s="228" customFormat="1" ht="20.25">
      <c r="A1208" s="161" t="s">
        <v>1331</v>
      </c>
      <c r="B1208" s="408" t="s">
        <v>2323</v>
      </c>
      <c r="C1208" s="297" t="str">
        <f>IF(LEN(A1208)=0,"",INDEX('[2]Smelter Reference List'!$C$1:$C$65536,MATCH($A1208,'[2]Smelter Reference List'!$E$1:$E$65536,0)))</f>
        <v>Valcambi S.A.</v>
      </c>
      <c r="D1208" s="161" t="s">
        <v>4728</v>
      </c>
      <c r="E1208" s="161" t="s">
        <v>2179</v>
      </c>
      <c r="F1208" s="161" t="s">
        <v>1331</v>
      </c>
      <c r="G1208" s="161" t="s">
        <v>3125</v>
      </c>
      <c r="H1208" s="247">
        <v>0</v>
      </c>
      <c r="I1208" s="248" t="s">
        <v>3317</v>
      </c>
      <c r="J1208" s="248" t="s">
        <v>3138</v>
      </c>
      <c r="K1208" s="245"/>
      <c r="L1208" s="245"/>
      <c r="M1208" s="245"/>
      <c r="N1208" s="245"/>
      <c r="O1208" s="245"/>
      <c r="P1208" s="245"/>
      <c r="Q1208" s="246"/>
      <c r="R1208" s="233"/>
      <c r="S1208" s="234">
        <f>IF(C1208="",NA(),MATCH($B1208&amp;$C1208,'Smelter Reference List'!$J:$J,0))</f>
        <v>217</v>
      </c>
      <c r="T1208" s="235"/>
      <c r="U1208" s="235">
        <f t="shared" si="32"/>
        <v>0</v>
      </c>
      <c r="V1208" s="235"/>
      <c r="W1208" s="235"/>
      <c r="Y1208" s="228" t="str">
        <f t="shared" si="33"/>
        <v>GoldValcambi S.A.</v>
      </c>
    </row>
    <row r="1209" spans="1:25" s="228" customFormat="1" ht="20.25">
      <c r="A1209" s="161" t="s">
        <v>1332</v>
      </c>
      <c r="B1209" s="408" t="s">
        <v>2323</v>
      </c>
      <c r="C1209" s="297" t="str">
        <f>IF(LEN(A1209)=0,"",INDEX('[2]Smelter Reference List'!$C$1:$C$65536,MATCH($A1209,'[2]Smelter Reference List'!$E$1:$E$65536,0)))</f>
        <v>Western Australian Mint trading as The Perth Mint</v>
      </c>
      <c r="D1209" s="161" t="s">
        <v>2322</v>
      </c>
      <c r="E1209" s="161" t="s">
        <v>2154</v>
      </c>
      <c r="F1209" s="161" t="s">
        <v>1332</v>
      </c>
      <c r="G1209" s="161" t="s">
        <v>3125</v>
      </c>
      <c r="H1209" s="247">
        <v>0</v>
      </c>
      <c r="I1209" s="248" t="s">
        <v>3318</v>
      </c>
      <c r="J1209" s="248" t="s">
        <v>3319</v>
      </c>
      <c r="K1209" s="245"/>
      <c r="L1209" s="245"/>
      <c r="M1209" s="245"/>
      <c r="N1209" s="245"/>
      <c r="O1209" s="245"/>
      <c r="P1209" s="245"/>
      <c r="Q1209" s="246"/>
      <c r="R1209" s="233"/>
      <c r="S1209" s="234">
        <f>IF(C1209="",NA(),MATCH($B1209&amp;$C1209,'Smelter Reference List'!$J:$J,0))</f>
        <v>218</v>
      </c>
      <c r="T1209" s="235"/>
      <c r="U1209" s="235">
        <f t="shared" si="32"/>
        <v>0</v>
      </c>
      <c r="V1209" s="235"/>
      <c r="W1209" s="235"/>
      <c r="Y1209" s="228" t="str">
        <f t="shared" si="33"/>
        <v>GoldWestern Australian Mint trading as The Perth Mint</v>
      </c>
    </row>
    <row r="1210" spans="1:25" s="228" customFormat="1" ht="20.25">
      <c r="A1210" s="161" t="s">
        <v>1364</v>
      </c>
      <c r="B1210" s="408" t="s">
        <v>2324</v>
      </c>
      <c r="C1210" s="297" t="str">
        <f>IF(LEN(A1210)=0,"",INDEX('[2]Smelter Reference List'!$C$1:$C$65536,MATCH($A1210,'[2]Smelter Reference List'!$E$1:$E$65536,0)))</f>
        <v>Alpha</v>
      </c>
      <c r="D1210" s="161" t="s">
        <v>67</v>
      </c>
      <c r="E1210" s="161" t="s">
        <v>1759</v>
      </c>
      <c r="F1210" s="161" t="s">
        <v>1364</v>
      </c>
      <c r="G1210" s="161" t="s">
        <v>3125</v>
      </c>
      <c r="H1210" s="247">
        <v>0</v>
      </c>
      <c r="I1210" s="248" t="s">
        <v>3444</v>
      </c>
      <c r="J1210" s="248" t="s">
        <v>3401</v>
      </c>
      <c r="K1210" s="245"/>
      <c r="L1210" s="245"/>
      <c r="M1210" s="245"/>
      <c r="N1210" s="245"/>
      <c r="O1210" s="245"/>
      <c r="P1210" s="245"/>
      <c r="Q1210" s="246"/>
      <c r="R1210" s="233"/>
      <c r="S1210" s="234">
        <f>IF(C1210="",NA(),MATCH($B1210&amp;$C1210,'Smelter Reference List'!$J:$J,0))</f>
        <v>304</v>
      </c>
      <c r="T1210" s="235"/>
      <c r="U1210" s="235">
        <f t="shared" si="32"/>
        <v>0</v>
      </c>
      <c r="V1210" s="235"/>
      <c r="W1210" s="235"/>
      <c r="Y1210" s="228" t="str">
        <f t="shared" si="33"/>
        <v>TinAlpha</v>
      </c>
    </row>
    <row r="1211" spans="1:25" s="228" customFormat="1" ht="20.25">
      <c r="A1211" s="161" t="s">
        <v>1371</v>
      </c>
      <c r="B1211" s="408" t="s">
        <v>2324</v>
      </c>
      <c r="C1211" s="297" t="str">
        <f>IF(LEN(A1211)=0,"",INDEX('[2]Smelter Reference List'!$C$1:$C$65536,MATCH($A1211,'[2]Smelter Reference List'!$E$1:$E$65536,0)))</f>
        <v>Fenix Metals</v>
      </c>
      <c r="D1211" s="161" t="s">
        <v>1462</v>
      </c>
      <c r="E1211" s="161" t="s">
        <v>1708</v>
      </c>
      <c r="F1211" s="161" t="s">
        <v>1371</v>
      </c>
      <c r="G1211" s="161" t="s">
        <v>3125</v>
      </c>
      <c r="H1211" s="247">
        <v>0</v>
      </c>
      <c r="I1211" s="248" t="s">
        <v>3466</v>
      </c>
      <c r="J1211" s="248" t="s">
        <v>3467</v>
      </c>
      <c r="K1211" s="245"/>
      <c r="L1211" s="245"/>
      <c r="M1211" s="245"/>
      <c r="N1211" s="245"/>
      <c r="O1211" s="245"/>
      <c r="P1211" s="245"/>
      <c r="Q1211" s="246"/>
      <c r="R1211" s="233"/>
      <c r="S1211" s="234">
        <f>IF(C1211="",NA(),MATCH($B1211&amp;$C1211,'Smelter Reference List'!$J:$J,0))</f>
        <v>347</v>
      </c>
      <c r="T1211" s="235"/>
      <c r="U1211" s="235">
        <f t="shared" si="32"/>
        <v>0</v>
      </c>
      <c r="V1211" s="235"/>
      <c r="W1211" s="235"/>
      <c r="Y1211" s="228" t="str">
        <f t="shared" si="33"/>
        <v>TinFenix Metals</v>
      </c>
    </row>
    <row r="1212" spans="1:25" s="228" customFormat="1" ht="20.25">
      <c r="A1212" s="161" t="s">
        <v>1372</v>
      </c>
      <c r="B1212" s="408" t="s">
        <v>2324</v>
      </c>
      <c r="C1212" s="297" t="str">
        <f>IF(LEN(A1212)=0,"",INDEX('[2]Smelter Reference List'!$C$1:$C$65536,MATCH($A1212,'[2]Smelter Reference List'!$E$1:$E$65536,0)))</f>
        <v>Gejiu Non-Ferrous Metal Processing Co., Ltd.</v>
      </c>
      <c r="D1212" s="161" t="s">
        <v>4152</v>
      </c>
      <c r="E1212" s="161" t="s">
        <v>2181</v>
      </c>
      <c r="F1212" s="161" t="s">
        <v>1372</v>
      </c>
      <c r="G1212" s="161" t="s">
        <v>3125</v>
      </c>
      <c r="H1212" s="247">
        <v>0</v>
      </c>
      <c r="I1212" s="248" t="s">
        <v>3468</v>
      </c>
      <c r="J1212" s="248" t="s">
        <v>3161</v>
      </c>
      <c r="K1212" s="245"/>
      <c r="L1212" s="245"/>
      <c r="M1212" s="245"/>
      <c r="N1212" s="245"/>
      <c r="O1212" s="245"/>
      <c r="P1212" s="245"/>
      <c r="Q1212" s="246"/>
      <c r="R1212" s="233"/>
      <c r="S1212" s="234">
        <f>IF(C1212="",NA(),MATCH($B1212&amp;$C1212,'Smelter Reference List'!$J:$J,0))</f>
        <v>353</v>
      </c>
      <c r="T1212" s="235"/>
      <c r="U1212" s="235">
        <f t="shared" si="32"/>
        <v>0</v>
      </c>
      <c r="V1212" s="235"/>
      <c r="W1212" s="235"/>
      <c r="Y1212" s="228" t="str">
        <f t="shared" si="33"/>
        <v>TinGejiu Non-Ferrous Metal Processing Co., Ltd.</v>
      </c>
    </row>
    <row r="1213" spans="1:25" s="228" customFormat="1" ht="20.25">
      <c r="A1213" s="161" t="s">
        <v>1396</v>
      </c>
      <c r="B1213" s="408" t="s">
        <v>2324</v>
      </c>
      <c r="C1213" s="297" t="str">
        <f>IF(LEN(A1213)=0,"",INDEX('[2]Smelter Reference List'!$C$1:$C$65536,MATCH($A1213,'[2]Smelter Reference List'!$E$1:$E$65536,0)))</f>
        <v>PT Refined Bangka Tin</v>
      </c>
      <c r="D1213" s="161" t="s">
        <v>4169</v>
      </c>
      <c r="E1213" s="161" t="s">
        <v>2238</v>
      </c>
      <c r="F1213" s="161" t="s">
        <v>1396</v>
      </c>
      <c r="G1213" s="161" t="s">
        <v>3125</v>
      </c>
      <c r="H1213" s="247">
        <v>0</v>
      </c>
      <c r="I1213" s="248" t="s">
        <v>3453</v>
      </c>
      <c r="J1213" s="248" t="s">
        <v>3454</v>
      </c>
      <c r="K1213" s="245"/>
      <c r="L1213" s="245"/>
      <c r="M1213" s="245"/>
      <c r="N1213" s="245"/>
      <c r="O1213" s="245"/>
      <c r="P1213" s="245"/>
      <c r="Q1213" s="246"/>
      <c r="R1213" s="233"/>
      <c r="S1213" s="234">
        <f>IF(C1213="",NA(),MATCH($B1213&amp;$C1213,'Smelter Reference List'!$J:$J,0))</f>
        <v>424</v>
      </c>
      <c r="T1213" s="235"/>
      <c r="U1213" s="235">
        <f t="shared" si="32"/>
        <v>0</v>
      </c>
      <c r="V1213" s="235"/>
      <c r="W1213" s="235"/>
      <c r="Y1213" s="228" t="str">
        <f t="shared" si="33"/>
        <v>TinPT Refined Bangka Tin</v>
      </c>
    </row>
    <row r="1214" spans="1:25" s="228" customFormat="1" ht="20.25">
      <c r="A1214" s="161" t="s">
        <v>1424</v>
      </c>
      <c r="B1214" s="408" t="s">
        <v>2324</v>
      </c>
      <c r="C1214" s="297" t="str">
        <f>IF(LEN(A1214)=0,"",INDEX('[2]Smelter Reference List'!$C$1:$C$65536,MATCH($A1214,'[2]Smelter Reference List'!$E$1:$E$65536,0)))</f>
        <v>PT Timah (Persero) Tbk Kundur</v>
      </c>
      <c r="D1214" s="161" t="s">
        <v>3503</v>
      </c>
      <c r="E1214" s="161" t="s">
        <v>2238</v>
      </c>
      <c r="F1214" s="161" t="s">
        <v>1424</v>
      </c>
      <c r="G1214" s="161" t="s">
        <v>3125</v>
      </c>
      <c r="H1214" s="247">
        <v>0</v>
      </c>
      <c r="I1214" s="248" t="s">
        <v>3504</v>
      </c>
      <c r="J1214" s="248" t="s">
        <v>3505</v>
      </c>
      <c r="K1214" s="245"/>
      <c r="L1214" s="245"/>
      <c r="M1214" s="245"/>
      <c r="N1214" s="245"/>
      <c r="O1214" s="245"/>
      <c r="P1214" s="245"/>
      <c r="Q1214" s="246"/>
      <c r="R1214" s="233"/>
      <c r="S1214" s="234">
        <f>IF(C1214="",NA(),MATCH($B1214&amp;$C1214,'Smelter Reference List'!$J:$J,0))</f>
        <v>431</v>
      </c>
      <c r="T1214" s="235"/>
      <c r="U1214" s="235">
        <f t="shared" si="32"/>
        <v>0</v>
      </c>
      <c r="V1214" s="235"/>
      <c r="W1214" s="235"/>
      <c r="Y1214" s="228" t="str">
        <f t="shared" si="33"/>
        <v>TinPT Timah (Persero) Tbk Kundur</v>
      </c>
    </row>
    <row r="1215" spans="1:25" s="228" customFormat="1" ht="20.25">
      <c r="A1215" s="161" t="s">
        <v>1405</v>
      </c>
      <c r="B1215" s="408" t="s">
        <v>2324</v>
      </c>
      <c r="C1215" s="297" t="str">
        <f>IF(LEN(A1215)=0,"",INDEX('[2]Smelter Reference List'!$C$1:$C$65536,MATCH($A1215,'[2]Smelter Reference List'!$E$1:$E$65536,0)))</f>
        <v>White Solder Metalurgia e Mineração Ltda.</v>
      </c>
      <c r="D1215" s="161" t="s">
        <v>68</v>
      </c>
      <c r="E1215" s="161" t="s">
        <v>2170</v>
      </c>
      <c r="F1215" s="161" t="s">
        <v>1405</v>
      </c>
      <c r="G1215" s="161" t="s">
        <v>3125</v>
      </c>
      <c r="H1215" s="247">
        <v>0</v>
      </c>
      <c r="I1215" s="248" t="s">
        <v>3451</v>
      </c>
      <c r="J1215" s="248" t="s">
        <v>3452</v>
      </c>
      <c r="K1215" s="245"/>
      <c r="L1215" s="245"/>
      <c r="M1215" s="245"/>
      <c r="N1215" s="245"/>
      <c r="O1215" s="245"/>
      <c r="P1215" s="245"/>
      <c r="Q1215" s="246"/>
      <c r="R1215" s="233"/>
      <c r="S1215" s="234">
        <f>IF(C1215="",NA(),MATCH($B1215&amp;$C1215,'Smelter Reference List'!$J:$J,0))</f>
        <v>452</v>
      </c>
      <c r="T1215" s="235"/>
      <c r="U1215" s="235">
        <f t="shared" si="32"/>
        <v>0</v>
      </c>
      <c r="V1215" s="235"/>
      <c r="W1215" s="235"/>
      <c r="Y1215" s="228" t="str">
        <f t="shared" si="33"/>
        <v>TinWhite Solder Metalurgia e Mineração Ltda.</v>
      </c>
    </row>
    <row r="1216" spans="1:25" s="228" customFormat="1" ht="20.25">
      <c r="A1216" s="161" t="s">
        <v>1400</v>
      </c>
      <c r="B1216" s="408" t="s">
        <v>2324</v>
      </c>
      <c r="C1216" s="297" t="str">
        <f>IF(LEN(A1216)=0,"",INDEX('[2]Smelter Reference List'!$C$1:$C$65536,MATCH($A1216,'[2]Smelter Reference List'!$E$1:$E$65536,0)))</f>
        <v>PT Tinindo Inter Nusa</v>
      </c>
      <c r="D1216" s="161" t="s">
        <v>972</v>
      </c>
      <c r="E1216" s="161" t="s">
        <v>2238</v>
      </c>
      <c r="F1216" s="161" t="s">
        <v>1400</v>
      </c>
      <c r="G1216" s="161" t="s">
        <v>3125</v>
      </c>
      <c r="H1216" s="247">
        <v>0</v>
      </c>
      <c r="I1216" s="248" t="s">
        <v>3457</v>
      </c>
      <c r="J1216" s="248" t="s">
        <v>3454</v>
      </c>
      <c r="K1216" s="245"/>
      <c r="L1216" s="245"/>
      <c r="M1216" s="245"/>
      <c r="N1216" s="245"/>
      <c r="O1216" s="245"/>
      <c r="P1216" s="245"/>
      <c r="Q1216" s="246"/>
      <c r="R1216" s="233"/>
      <c r="S1216" s="234">
        <f>IF(C1216="",NA(),MATCH($B1216&amp;$C1216,'Smelter Reference List'!$J:$J,0))</f>
        <v>434</v>
      </c>
      <c r="T1216" s="235"/>
      <c r="U1216" s="235">
        <f t="shared" si="32"/>
        <v>0</v>
      </c>
      <c r="V1216" s="235"/>
      <c r="W1216" s="235"/>
      <c r="Y1216" s="228" t="str">
        <f t="shared" si="33"/>
        <v>TinPT Tinindo Inter Nusa</v>
      </c>
    </row>
    <row r="1217" spans="1:25" s="228" customFormat="1" ht="20.25">
      <c r="A1217" s="161" t="s">
        <v>1391</v>
      </c>
      <c r="B1217" s="408" t="s">
        <v>2324</v>
      </c>
      <c r="C1217" s="297" t="str">
        <f>IF(LEN(A1217)=0,"",INDEX('[2]Smelter Reference List'!$C$1:$C$65536,MATCH($A1217,'[2]Smelter Reference List'!$E$1:$E$65536,0)))</f>
        <v>PT Eunindo Usaha Mandiri</v>
      </c>
      <c r="D1217" s="161" t="s">
        <v>1195</v>
      </c>
      <c r="E1217" s="161" t="s">
        <v>2238</v>
      </c>
      <c r="F1217" s="161" t="s">
        <v>1391</v>
      </c>
      <c r="G1217" s="161" t="s">
        <v>3125</v>
      </c>
      <c r="H1217" s="247">
        <v>0</v>
      </c>
      <c r="I1217" s="248" t="s">
        <v>3500</v>
      </c>
      <c r="J1217" s="248" t="s">
        <v>3499</v>
      </c>
      <c r="K1217" s="245"/>
      <c r="L1217" s="245"/>
      <c r="M1217" s="245"/>
      <c r="N1217" s="245"/>
      <c r="O1217" s="245"/>
      <c r="P1217" s="245"/>
      <c r="Q1217" s="246"/>
      <c r="R1217" s="233"/>
      <c r="S1217" s="234">
        <f>IF(C1217="",NA(),MATCH($B1217&amp;$C1217,'Smelter Reference List'!$J:$J,0))</f>
        <v>411</v>
      </c>
      <c r="T1217" s="235"/>
      <c r="U1217" s="235">
        <f t="shared" si="32"/>
        <v>0</v>
      </c>
      <c r="V1217" s="235"/>
      <c r="W1217" s="235"/>
      <c r="Y1217" s="228" t="str">
        <f t="shared" si="33"/>
        <v>TinPT Eunindo Usaha Mandiri</v>
      </c>
    </row>
    <row r="1218" spans="1:25" s="228" customFormat="1" ht="20.25">
      <c r="A1218" s="161" t="s">
        <v>722</v>
      </c>
      <c r="B1218" s="408" t="s">
        <v>2326</v>
      </c>
      <c r="C1218" s="297" t="str">
        <f>IF(LEN(A1218)=0,"",INDEX('[2]Smelter Reference List'!$C$1:$C$65536,MATCH($A1218,'[2]Smelter Reference List'!$E$1:$E$65536,0)))</f>
        <v>Ganzhou Seadragon W &amp; Mo Co., Ltd.</v>
      </c>
      <c r="D1218" s="161" t="s">
        <v>721</v>
      </c>
      <c r="E1218" s="161" t="s">
        <v>2181</v>
      </c>
      <c r="F1218" s="161" t="s">
        <v>722</v>
      </c>
      <c r="G1218" s="161" t="s">
        <v>3125</v>
      </c>
      <c r="H1218" s="247">
        <v>0</v>
      </c>
      <c r="I1218" s="248" t="s">
        <v>3471</v>
      </c>
      <c r="J1218" s="248" t="s">
        <v>3204</v>
      </c>
      <c r="K1218" s="245"/>
      <c r="L1218" s="245"/>
      <c r="M1218" s="245"/>
      <c r="N1218" s="245"/>
      <c r="O1218" s="245"/>
      <c r="P1218" s="245"/>
      <c r="Q1218" s="246"/>
      <c r="R1218" s="233"/>
      <c r="S1218" s="234">
        <f>IF(C1218="",NA(),MATCH($B1218&amp;$C1218,'Smelter Reference List'!$J:$J,0))</f>
        <v>488</v>
      </c>
      <c r="T1218" s="235"/>
      <c r="U1218" s="235">
        <f t="shared" si="32"/>
        <v>0</v>
      </c>
      <c r="V1218" s="235"/>
      <c r="W1218" s="235"/>
      <c r="Y1218" s="228" t="str">
        <f t="shared" si="33"/>
        <v>TungstenGanzhou Seadragon W &amp; Mo Co., Ltd.</v>
      </c>
    </row>
    <row r="1219" spans="1:25" s="228" customFormat="1" ht="20.25">
      <c r="A1219" s="161" t="s">
        <v>1414</v>
      </c>
      <c r="B1219" s="408" t="s">
        <v>2326</v>
      </c>
      <c r="C1219" s="297" t="str">
        <f>IF(LEN(A1219)=0,"",INDEX('[2]Smelter Reference List'!$C$1:$C$65536,MATCH($A1219,'[2]Smelter Reference List'!$E$1:$E$65536,0)))</f>
        <v>Global Tungsten &amp; Powders Corp.</v>
      </c>
      <c r="D1219" s="161" t="s">
        <v>1</v>
      </c>
      <c r="E1219" s="161" t="s">
        <v>1759</v>
      </c>
      <c r="F1219" s="161" t="s">
        <v>1414</v>
      </c>
      <c r="G1219" s="161" t="s">
        <v>3125</v>
      </c>
      <c r="H1219" s="247">
        <v>0</v>
      </c>
      <c r="I1219" s="248" t="s">
        <v>3560</v>
      </c>
      <c r="J1219" s="248" t="s">
        <v>3401</v>
      </c>
      <c r="K1219" s="245"/>
      <c r="L1219" s="245"/>
      <c r="M1219" s="245"/>
      <c r="N1219" s="245"/>
      <c r="O1219" s="245"/>
      <c r="P1219" s="245"/>
      <c r="Q1219" s="246"/>
      <c r="R1219" s="233"/>
      <c r="S1219" s="234">
        <f>IF(C1219="",NA(),MATCH($B1219&amp;$C1219,'Smelter Reference List'!$J:$J,0))</f>
        <v>490</v>
      </c>
      <c r="T1219" s="235"/>
      <c r="U1219" s="235">
        <f t="shared" si="32"/>
        <v>0</v>
      </c>
      <c r="V1219" s="235"/>
      <c r="W1219" s="235"/>
      <c r="Y1219" s="228" t="str">
        <f t="shared" si="33"/>
        <v>TungstenGlobal Tungsten &amp; Powders Corp.</v>
      </c>
    </row>
    <row r="1220" spans="1:25" s="228" customFormat="1" ht="20.25">
      <c r="A1220" s="161"/>
      <c r="B1220" s="408" t="s">
        <v>2326</v>
      </c>
      <c r="C1220" s="297" t="s">
        <v>3604</v>
      </c>
      <c r="D1220" s="228" t="s">
        <v>5814</v>
      </c>
      <c r="E1220" s="228" t="s">
        <v>1717</v>
      </c>
      <c r="F1220" s="161">
        <v>0</v>
      </c>
      <c r="G1220" s="228" t="s">
        <v>5584</v>
      </c>
      <c r="H1220" s="228" t="s">
        <v>5815</v>
      </c>
      <c r="M1220" s="228" t="s">
        <v>5602</v>
      </c>
      <c r="R1220" s="233"/>
      <c r="S1220" s="234">
        <f>IF(C1220="",NA(),MATCH($B1220&amp;$C1220,'Smelter Reference List'!$J:$J,0))</f>
        <v>536</v>
      </c>
      <c r="T1220" s="235"/>
      <c r="U1220" s="235">
        <f t="shared" si="32"/>
        <v>0</v>
      </c>
      <c r="V1220" s="235"/>
      <c r="W1220" s="235"/>
      <c r="Y1220" s="228" t="str">
        <f t="shared" si="33"/>
        <v>TungstenSmelter not listed</v>
      </c>
    </row>
    <row r="1221" spans="1:25" s="228" customFormat="1" ht="20.25">
      <c r="A1221" s="161" t="s">
        <v>206</v>
      </c>
      <c r="B1221" s="408" t="s">
        <v>2326</v>
      </c>
      <c r="C1221" s="297" t="str">
        <f>IF(LEN(A1221)=0,"",INDEX('[2]Smelter Reference List'!$C$1:$C$65536,MATCH($A1221,'[2]Smelter Reference List'!$E$1:$E$65536,0)))</f>
        <v>Xiamen Tungsten (H.C.) Co., Ltd.</v>
      </c>
      <c r="D1221" s="161" t="s">
        <v>218</v>
      </c>
      <c r="E1221" s="161" t="s">
        <v>2181</v>
      </c>
      <c r="F1221" s="161" t="s">
        <v>206</v>
      </c>
      <c r="G1221" s="161" t="s">
        <v>3125</v>
      </c>
      <c r="H1221" s="247">
        <v>0</v>
      </c>
      <c r="I1221" s="248" t="s">
        <v>3569</v>
      </c>
      <c r="J1221" s="248" t="s">
        <v>3332</v>
      </c>
      <c r="K1221" s="245"/>
      <c r="L1221" s="245"/>
      <c r="M1221" s="245"/>
      <c r="N1221" s="245"/>
      <c r="O1221" s="245"/>
      <c r="P1221" s="245"/>
      <c r="Q1221" s="246"/>
      <c r="R1221" s="233"/>
      <c r="S1221" s="234">
        <f>IF(C1221="",NA(),MATCH($B1221&amp;$C1221,'Smelter Reference List'!$J:$J,0))</f>
        <v>531</v>
      </c>
      <c r="T1221" s="235"/>
      <c r="U1221" s="235">
        <f t="shared" si="32"/>
        <v>0</v>
      </c>
      <c r="V1221" s="235"/>
      <c r="W1221" s="235"/>
      <c r="Y1221" s="228" t="str">
        <f t="shared" si="33"/>
        <v>TungstenXiamen Tungsten (H.C.) Co., Ltd.</v>
      </c>
    </row>
    <row r="1222" spans="1:25" s="228" customFormat="1" ht="20.25">
      <c r="A1222" s="161" t="s">
        <v>1411</v>
      </c>
      <c r="B1222" s="408" t="s">
        <v>2326</v>
      </c>
      <c r="C1222" s="297" t="str">
        <f>IF(LEN(A1222)=0,"",INDEX('[2]Smelter Reference List'!$C$1:$C$65536,MATCH($A1222,'[2]Smelter Reference List'!$E$1:$E$65536,0)))</f>
        <v>Chongyi Zhangyuan Tungsten Co., Ltd.</v>
      </c>
      <c r="D1222" s="161" t="s">
        <v>2659</v>
      </c>
      <c r="E1222" s="161" t="s">
        <v>2181</v>
      </c>
      <c r="F1222" s="161" t="s">
        <v>1411</v>
      </c>
      <c r="G1222" s="161" t="s">
        <v>3125</v>
      </c>
      <c r="H1222" s="247">
        <v>0</v>
      </c>
      <c r="I1222" s="248" t="s">
        <v>3471</v>
      </c>
      <c r="J1222" s="248" t="s">
        <v>3204</v>
      </c>
      <c r="K1222" s="245"/>
      <c r="L1222" s="245"/>
      <c r="M1222" s="245"/>
      <c r="N1222" s="245"/>
      <c r="O1222" s="245"/>
      <c r="P1222" s="245"/>
      <c r="Q1222" s="246"/>
      <c r="R1222" s="233"/>
      <c r="S1222" s="234">
        <f>IF(C1222="",NA(),MATCH($B1222&amp;$C1222,'Smelter Reference List'!$J:$J,0))</f>
        <v>480</v>
      </c>
      <c r="T1222" s="235"/>
      <c r="U1222" s="235">
        <f t="shared" ref="U1222:U1285" si="34">IF(AND(C1222="Smelter not listed",OR(LEN(D1222)=0,LEN(E1222)=0)),1,0)</f>
        <v>0</v>
      </c>
      <c r="V1222" s="235"/>
      <c r="W1222" s="235"/>
      <c r="Y1222" s="228" t="str">
        <f t="shared" ref="Y1222:Y1285" si="35">B1222&amp;C1222</f>
        <v>TungstenChongyi Zhangyuan Tungsten Co., Ltd.</v>
      </c>
    </row>
    <row r="1223" spans="1:25" s="228" customFormat="1" ht="20.25">
      <c r="A1223" s="161" t="s">
        <v>1416</v>
      </c>
      <c r="B1223" s="408" t="s">
        <v>2326</v>
      </c>
      <c r="C1223" s="297" t="str">
        <f>IF(LEN(A1223)=0,"",INDEX('[2]Smelter Reference List'!$C$1:$C$65536,MATCH($A1223,'[2]Smelter Reference List'!$E$1:$E$65536,0)))</f>
        <v>Hunan Chunchang Nonferrous Metals Co., Ltd.</v>
      </c>
      <c r="D1223" s="161" t="s">
        <v>2661</v>
      </c>
      <c r="E1223" s="161" t="s">
        <v>2181</v>
      </c>
      <c r="F1223" s="161" t="s">
        <v>1416</v>
      </c>
      <c r="G1223" s="161" t="s">
        <v>3125</v>
      </c>
      <c r="H1223" s="247">
        <v>0</v>
      </c>
      <c r="I1223" s="248" t="s">
        <v>3407</v>
      </c>
      <c r="J1223" s="248" t="s">
        <v>3186</v>
      </c>
      <c r="K1223" s="245"/>
      <c r="L1223" s="245"/>
      <c r="M1223" s="245"/>
      <c r="N1223" s="245"/>
      <c r="O1223" s="245"/>
      <c r="P1223" s="245"/>
      <c r="Q1223" s="246"/>
      <c r="R1223" s="233"/>
      <c r="S1223" s="234">
        <f>IF(C1223="",NA(),MATCH($B1223&amp;$C1223,'Smelter Reference List'!$J:$J,0))</f>
        <v>500</v>
      </c>
      <c r="T1223" s="235"/>
      <c r="U1223" s="235">
        <f t="shared" si="34"/>
        <v>0</v>
      </c>
      <c r="V1223" s="235"/>
      <c r="W1223" s="235"/>
      <c r="Y1223" s="228" t="str">
        <f t="shared" si="35"/>
        <v>TungstenHunan Chunchang Nonferrous Metals Co., Ltd.</v>
      </c>
    </row>
    <row r="1224" spans="1:25" s="228" customFormat="1" ht="20.25">
      <c r="A1224" s="161" t="s">
        <v>1419</v>
      </c>
      <c r="B1224" s="408" t="s">
        <v>2326</v>
      </c>
      <c r="C1224" s="297" t="str">
        <f>IF(LEN(A1224)=0,"",INDEX('[2]Smelter Reference List'!$C$1:$C$65536,MATCH($A1224,'[2]Smelter Reference List'!$E$1:$E$65536,0)))</f>
        <v>Ganzhou Huaxing Tungsten Products Co., Ltd.</v>
      </c>
      <c r="D1224" s="161" t="s">
        <v>211</v>
      </c>
      <c r="E1224" s="161" t="s">
        <v>2181</v>
      </c>
      <c r="F1224" s="161" t="s">
        <v>1419</v>
      </c>
      <c r="G1224" s="161" t="s">
        <v>3125</v>
      </c>
      <c r="H1224" s="247">
        <v>0</v>
      </c>
      <c r="I1224" s="248" t="s">
        <v>3471</v>
      </c>
      <c r="J1224" s="248" t="s">
        <v>3204</v>
      </c>
      <c r="K1224" s="245"/>
      <c r="L1224" s="245"/>
      <c r="M1224" s="245"/>
      <c r="N1224" s="245"/>
      <c r="O1224" s="245"/>
      <c r="P1224" s="245"/>
      <c r="Q1224" s="246"/>
      <c r="R1224" s="233"/>
      <c r="S1224" s="234">
        <f>IF(C1224="",NA(),MATCH($B1224&amp;$C1224,'Smelter Reference List'!$J:$J,0))</f>
        <v>485</v>
      </c>
      <c r="T1224" s="235"/>
      <c r="U1224" s="235">
        <f t="shared" si="34"/>
        <v>0</v>
      </c>
      <c r="V1224" s="235"/>
      <c r="W1224" s="235"/>
      <c r="Y1224" s="228" t="str">
        <f t="shared" si="35"/>
        <v>TungstenGanzhou Huaxing Tungsten Products Co., Ltd.</v>
      </c>
    </row>
    <row r="1225" spans="1:25" s="228" customFormat="1" ht="20.25">
      <c r="A1225" s="161" t="s">
        <v>1423</v>
      </c>
      <c r="B1225" s="408" t="s">
        <v>2326</v>
      </c>
      <c r="C1225" s="297" t="str">
        <f>IF(LEN(A1225)=0,"",INDEX('[2]Smelter Reference List'!$C$1:$C$65536,MATCH($A1225,'[2]Smelter Reference List'!$E$1:$E$65536,0)))</f>
        <v>Xiamen Tungsten Co., Ltd.</v>
      </c>
      <c r="D1225" s="161" t="s">
        <v>2663</v>
      </c>
      <c r="E1225" s="161" t="s">
        <v>2181</v>
      </c>
      <c r="F1225" s="161" t="s">
        <v>1423</v>
      </c>
      <c r="G1225" s="161" t="s">
        <v>3125</v>
      </c>
      <c r="H1225" s="247">
        <v>0</v>
      </c>
      <c r="I1225" s="248" t="s">
        <v>3569</v>
      </c>
      <c r="J1225" s="248" t="s">
        <v>3332</v>
      </c>
      <c r="K1225" s="245"/>
      <c r="L1225" s="245"/>
      <c r="M1225" s="245"/>
      <c r="N1225" s="245"/>
      <c r="O1225" s="245"/>
      <c r="P1225" s="245"/>
      <c r="Q1225" s="246"/>
      <c r="R1225" s="233"/>
      <c r="S1225" s="234">
        <f>IF(C1225="",NA(),MATCH($B1225&amp;$C1225,'Smelter Reference List'!$J:$J,0))</f>
        <v>532</v>
      </c>
      <c r="T1225" s="235"/>
      <c r="U1225" s="235">
        <f t="shared" si="34"/>
        <v>0</v>
      </c>
      <c r="V1225" s="235"/>
      <c r="W1225" s="235"/>
      <c r="Y1225" s="228" t="str">
        <f t="shared" si="35"/>
        <v>TungstenXiamen Tungsten Co., Ltd.</v>
      </c>
    </row>
    <row r="1226" spans="1:25" s="228" customFormat="1" ht="20.25">
      <c r="A1226" s="161" t="s">
        <v>1409</v>
      </c>
      <c r="B1226" s="408" t="s">
        <v>2326</v>
      </c>
      <c r="C1226" s="297" t="str">
        <f>IF(LEN(A1226)=0,"",INDEX('[2]Smelter Reference List'!$C$1:$C$65536,MATCH($A1226,'[2]Smelter Reference List'!$E$1:$E$65536,0)))</f>
        <v>Kennametal Huntsville</v>
      </c>
      <c r="D1226" s="161" t="s">
        <v>209</v>
      </c>
      <c r="E1226" s="161" t="s">
        <v>1759</v>
      </c>
      <c r="F1226" s="161" t="s">
        <v>1409</v>
      </c>
      <c r="G1226" s="161" t="s">
        <v>3125</v>
      </c>
      <c r="H1226" s="247">
        <v>0</v>
      </c>
      <c r="I1226" s="248" t="s">
        <v>3555</v>
      </c>
      <c r="J1226" s="248" t="s">
        <v>3556</v>
      </c>
      <c r="K1226" s="245"/>
      <c r="L1226" s="245"/>
      <c r="M1226" s="245"/>
      <c r="N1226" s="245"/>
      <c r="O1226" s="245"/>
      <c r="P1226" s="245"/>
      <c r="Q1226" s="246"/>
      <c r="R1226" s="233"/>
      <c r="S1226" s="234">
        <f>IF(C1226="",NA(),MATCH($B1226&amp;$C1226,'Smelter Reference List'!$J:$J,0))</f>
        <v>514</v>
      </c>
      <c r="T1226" s="235"/>
      <c r="U1226" s="235">
        <f t="shared" si="34"/>
        <v>0</v>
      </c>
      <c r="V1226" s="235"/>
      <c r="W1226" s="235"/>
      <c r="Y1226" s="228" t="str">
        <f t="shared" si="35"/>
        <v>TungstenKennametal Huntsville</v>
      </c>
    </row>
    <row r="1227" spans="1:25" s="228" customFormat="1" ht="20.25">
      <c r="A1227" s="161" t="s">
        <v>1387</v>
      </c>
      <c r="B1227" s="408" t="s">
        <v>2324</v>
      </c>
      <c r="C1227" s="297" t="str">
        <f>IF(LEN(A1227)=0,"",INDEX('[2]Smelter Reference List'!$C$1:$C$65536,MATCH($A1227,'[2]Smelter Reference List'!$E$1:$E$65536,0)))</f>
        <v>PT Bangka Tin Industry</v>
      </c>
      <c r="D1227" s="161" t="s">
        <v>1173</v>
      </c>
      <c r="E1227" s="161" t="s">
        <v>2238</v>
      </c>
      <c r="F1227" s="161" t="s">
        <v>1387</v>
      </c>
      <c r="G1227" s="161" t="s">
        <v>3125</v>
      </c>
      <c r="H1227" s="247">
        <v>0</v>
      </c>
      <c r="I1227" s="248" t="s">
        <v>3453</v>
      </c>
      <c r="J1227" s="248" t="s">
        <v>3454</v>
      </c>
      <c r="K1227" s="245"/>
      <c r="L1227" s="245"/>
      <c r="M1227" s="245"/>
      <c r="N1227" s="245"/>
      <c r="O1227" s="245"/>
      <c r="P1227" s="245"/>
      <c r="Q1227" s="246"/>
      <c r="R1227" s="233"/>
      <c r="S1227" s="234">
        <f>IF(C1227="",NA(),MATCH($B1227&amp;$C1227,'Smelter Reference List'!$J:$J,0))</f>
        <v>405</v>
      </c>
      <c r="T1227" s="235"/>
      <c r="U1227" s="235">
        <f t="shared" si="34"/>
        <v>0</v>
      </c>
      <c r="V1227" s="235"/>
      <c r="W1227" s="235"/>
      <c r="Y1227" s="228" t="str">
        <f t="shared" si="35"/>
        <v>TinPT Bangka Tin Industry</v>
      </c>
    </row>
    <row r="1228" spans="1:25" s="228" customFormat="1" ht="20.25">
      <c r="A1228" s="161" t="s">
        <v>1378</v>
      </c>
      <c r="B1228" s="408" t="s">
        <v>2324</v>
      </c>
      <c r="C1228" s="297" t="str">
        <f>IF(LEN(A1228)=0,"",INDEX('[2]Smelter Reference List'!$C$1:$C$65536,MATCH($A1228,'[2]Smelter Reference List'!$E$1:$E$65536,0)))</f>
        <v>Malaysia Smelting Corporation (MSC)</v>
      </c>
      <c r="D1228" s="161" t="s">
        <v>1471</v>
      </c>
      <c r="E1228" s="161" t="s">
        <v>2289</v>
      </c>
      <c r="F1228" s="161" t="s">
        <v>1378</v>
      </c>
      <c r="G1228" s="161" t="s">
        <v>3125</v>
      </c>
      <c r="H1228" s="247">
        <v>0</v>
      </c>
      <c r="I1228" s="248" t="s">
        <v>3481</v>
      </c>
      <c r="J1228" s="248" t="s">
        <v>3482</v>
      </c>
      <c r="K1228" s="245"/>
      <c r="L1228" s="245"/>
      <c r="M1228" s="245"/>
      <c r="N1228" s="245"/>
      <c r="O1228" s="245"/>
      <c r="P1228" s="245"/>
      <c r="Q1228" s="246"/>
      <c r="R1228" s="233"/>
      <c r="S1228" s="234">
        <f>IF(C1228="",NA(),MATCH($B1228&amp;$C1228,'Smelter Reference List'!$J:$J,0))</f>
        <v>377</v>
      </c>
      <c r="T1228" s="235"/>
      <c r="U1228" s="235">
        <f t="shared" si="34"/>
        <v>0</v>
      </c>
      <c r="V1228" s="235"/>
      <c r="W1228" s="235"/>
      <c r="Y1228" s="228" t="str">
        <f t="shared" si="35"/>
        <v>TinMalaysia Smelting Corporation (MSC)</v>
      </c>
    </row>
    <row r="1229" spans="1:25" s="228" customFormat="1" ht="20.25">
      <c r="A1229" s="161" t="s">
        <v>1238</v>
      </c>
      <c r="B1229" s="408" t="s">
        <v>2323</v>
      </c>
      <c r="C1229" s="297" t="str">
        <f>IF(LEN(A1229)=0,"",INDEX('[2]Smelter Reference List'!$C$1:$C$65536,MATCH($A1229,'[2]Smelter Reference List'!$E$1:$E$65536,0)))</f>
        <v>Argor-Heraeus S.A.</v>
      </c>
      <c r="D1229" s="161" t="s">
        <v>4669</v>
      </c>
      <c r="E1229" s="161" t="s">
        <v>2179</v>
      </c>
      <c r="F1229" s="161" t="s">
        <v>1238</v>
      </c>
      <c r="G1229" s="161" t="s">
        <v>3125</v>
      </c>
      <c r="H1229" s="247">
        <v>0</v>
      </c>
      <c r="I1229" s="248" t="s">
        <v>3137</v>
      </c>
      <c r="J1229" s="248" t="s">
        <v>3138</v>
      </c>
      <c r="K1229" s="245"/>
      <c r="L1229" s="245"/>
      <c r="M1229" s="245"/>
      <c r="N1229" s="245"/>
      <c r="O1229" s="245"/>
      <c r="P1229" s="245"/>
      <c r="Q1229" s="246"/>
      <c r="R1229" s="233"/>
      <c r="S1229" s="234">
        <f>IF(C1229="",NA(),MATCH($B1229&amp;$C1229,'Smelter Reference List'!$J:$J,0))</f>
        <v>17</v>
      </c>
      <c r="T1229" s="235"/>
      <c r="U1229" s="235">
        <f t="shared" si="34"/>
        <v>0</v>
      </c>
      <c r="V1229" s="235"/>
      <c r="W1229" s="235"/>
      <c r="Y1229" s="228" t="str">
        <f t="shared" si="35"/>
        <v>GoldArgor-Heraeus S.A.</v>
      </c>
    </row>
    <row r="1230" spans="1:25" s="228" customFormat="1" ht="20.25">
      <c r="A1230" s="161" t="s">
        <v>1239</v>
      </c>
      <c r="B1230" s="408" t="s">
        <v>2323</v>
      </c>
      <c r="C1230" s="297" t="str">
        <f>IF(LEN(A1230)=0,"",INDEX('[2]Smelter Reference List'!$C$1:$C$65536,MATCH($A1230,'[2]Smelter Reference List'!$E$1:$E$65536,0)))</f>
        <v>Asahi Pretec Corp.</v>
      </c>
      <c r="D1230" s="161" t="s">
        <v>4670</v>
      </c>
      <c r="E1230" s="161" t="s">
        <v>2249</v>
      </c>
      <c r="F1230" s="161" t="s">
        <v>1239</v>
      </c>
      <c r="G1230" s="161" t="s">
        <v>3125</v>
      </c>
      <c r="H1230" s="247">
        <v>0</v>
      </c>
      <c r="I1230" s="248" t="s">
        <v>3139</v>
      </c>
      <c r="J1230" s="248" t="s">
        <v>3140</v>
      </c>
      <c r="K1230" s="245"/>
      <c r="L1230" s="245"/>
      <c r="M1230" s="245"/>
      <c r="N1230" s="245"/>
      <c r="O1230" s="245"/>
      <c r="P1230" s="245"/>
      <c r="Q1230" s="246"/>
      <c r="R1230" s="233"/>
      <c r="S1230" s="234">
        <f>IF(C1230="",NA(),MATCH($B1230&amp;$C1230,'Smelter Reference List'!$J:$J,0))</f>
        <v>18</v>
      </c>
      <c r="T1230" s="235"/>
      <c r="U1230" s="235">
        <f t="shared" si="34"/>
        <v>0</v>
      </c>
      <c r="V1230" s="235"/>
      <c r="W1230" s="235"/>
      <c r="Y1230" s="228" t="str">
        <f t="shared" si="35"/>
        <v>GoldAsahi Pretec Corp.</v>
      </c>
    </row>
    <row r="1231" spans="1:25" s="228" customFormat="1" ht="20.25">
      <c r="A1231" s="161" t="s">
        <v>1324</v>
      </c>
      <c r="B1231" s="408" t="s">
        <v>2323</v>
      </c>
      <c r="C1231" s="297" t="str">
        <f>IF(LEN(A1231)=0,"",INDEX('[2]Smelter Reference List'!$C$1:$C$65536,MATCH($A1231,'[2]Smelter Reference List'!$E$1:$E$65536,0)))</f>
        <v>The Refinery of Shandong Gold Mining Co., Ltd.</v>
      </c>
      <c r="D1231" s="161" t="s">
        <v>4177</v>
      </c>
      <c r="E1231" s="161" t="s">
        <v>2181</v>
      </c>
      <c r="F1231" s="161" t="s">
        <v>1324</v>
      </c>
      <c r="G1231" s="161" t="s">
        <v>3125</v>
      </c>
      <c r="H1231" s="247">
        <v>0</v>
      </c>
      <c r="I1231" s="248" t="s">
        <v>3286</v>
      </c>
      <c r="J1231" s="248" t="s">
        <v>3263</v>
      </c>
      <c r="K1231" s="245"/>
      <c r="L1231" s="245"/>
      <c r="M1231" s="245"/>
      <c r="N1231" s="245"/>
      <c r="O1231" s="245"/>
      <c r="P1231" s="245"/>
      <c r="Q1231" s="246"/>
      <c r="R1231" s="233"/>
      <c r="S1231" s="234">
        <f>IF(C1231="",NA(),MATCH($B1231&amp;$C1231,'Smelter Reference List'!$J:$J,0))</f>
        <v>204</v>
      </c>
      <c r="T1231" s="235"/>
      <c r="U1231" s="235">
        <f t="shared" si="34"/>
        <v>0</v>
      </c>
      <c r="V1231" s="235"/>
      <c r="W1231" s="235"/>
      <c r="Y1231" s="228" t="str">
        <f t="shared" si="35"/>
        <v>GoldThe Refinery of Shandong Gold Mining Co., Ltd.</v>
      </c>
    </row>
    <row r="1232" spans="1:25" s="228" customFormat="1" ht="20.25">
      <c r="A1232" s="161" t="s">
        <v>1264</v>
      </c>
      <c r="B1232" s="408" t="s">
        <v>2323</v>
      </c>
      <c r="C1232" s="297" t="str">
        <f>IF(LEN(A1232)=0,"",INDEX('[2]Smelter Reference List'!$C$1:$C$65536,MATCH($A1232,'[2]Smelter Reference List'!$E$1:$E$65536,0)))</f>
        <v>Heraeus Ltd. Hong Kong</v>
      </c>
      <c r="D1232" s="161" t="s">
        <v>72</v>
      </c>
      <c r="E1232" s="161" t="s">
        <v>2181</v>
      </c>
      <c r="F1232" s="161" t="s">
        <v>1264</v>
      </c>
      <c r="G1232" s="161" t="s">
        <v>3125</v>
      </c>
      <c r="H1232" s="247">
        <v>0</v>
      </c>
      <c r="I1232" s="248" t="s">
        <v>3190</v>
      </c>
      <c r="J1232" s="248" t="s">
        <v>3191</v>
      </c>
      <c r="K1232" s="245"/>
      <c r="L1232" s="245"/>
      <c r="M1232" s="245"/>
      <c r="N1232" s="245"/>
      <c r="O1232" s="245"/>
      <c r="P1232" s="245"/>
      <c r="Q1232" s="246"/>
      <c r="R1232" s="233"/>
      <c r="S1232" s="234">
        <f>IF(C1232="",NA(),MATCH($B1232&amp;$C1232,'Smelter Reference List'!$J:$J,0))</f>
        <v>75</v>
      </c>
      <c r="T1232" s="235"/>
      <c r="U1232" s="235">
        <f t="shared" si="34"/>
        <v>0</v>
      </c>
      <c r="V1232" s="235"/>
      <c r="W1232" s="235"/>
      <c r="Y1232" s="228" t="str">
        <f t="shared" si="35"/>
        <v>GoldHeraeus Ltd. Hong Kong</v>
      </c>
    </row>
    <row r="1233" spans="1:25" s="228" customFormat="1" ht="20.25">
      <c r="A1233" s="161" t="s">
        <v>1265</v>
      </c>
      <c r="B1233" s="408" t="s">
        <v>2323</v>
      </c>
      <c r="C1233" s="297" t="str">
        <f>IF(LEN(A1233)=0,"",INDEX('[2]Smelter Reference List'!$C$1:$C$65536,MATCH($A1233,'[2]Smelter Reference List'!$E$1:$E$65536,0)))</f>
        <v>Heraeus Precious Metals GmbH &amp; Co. KG</v>
      </c>
      <c r="D1233" s="161" t="s">
        <v>2451</v>
      </c>
      <c r="E1233" s="161" t="s">
        <v>2195</v>
      </c>
      <c r="F1233" s="161" t="s">
        <v>1265</v>
      </c>
      <c r="G1233" s="161" t="s">
        <v>3125</v>
      </c>
      <c r="H1233" s="247">
        <v>0</v>
      </c>
      <c r="I1233" s="248" t="s">
        <v>3192</v>
      </c>
      <c r="J1233" s="248" t="s">
        <v>3193</v>
      </c>
      <c r="K1233" s="245"/>
      <c r="L1233" s="245"/>
      <c r="M1233" s="245"/>
      <c r="N1233" s="245"/>
      <c r="O1233" s="245"/>
      <c r="P1233" s="245"/>
      <c r="Q1233" s="246"/>
      <c r="R1233" s="233"/>
      <c r="S1233" s="234">
        <f>IF(C1233="",NA(),MATCH($B1233&amp;$C1233,'Smelter Reference List'!$J:$J,0))</f>
        <v>76</v>
      </c>
      <c r="T1233" s="235"/>
      <c r="U1233" s="235">
        <f t="shared" si="34"/>
        <v>0</v>
      </c>
      <c r="V1233" s="235"/>
      <c r="W1233" s="235"/>
      <c r="Y1233" s="228" t="str">
        <f t="shared" si="35"/>
        <v>GoldHeraeus Precious Metals GmbH &amp; Co. KG</v>
      </c>
    </row>
    <row r="1234" spans="1:25" s="228" customFormat="1" ht="20.25">
      <c r="A1234" s="161" t="s">
        <v>1290</v>
      </c>
      <c r="B1234" s="408" t="s">
        <v>2323</v>
      </c>
      <c r="C1234" s="297" t="str">
        <f>IF(LEN(A1234)=0,"",INDEX('[2]Smelter Reference List'!$C$1:$C$65536,MATCH($A1234,'[2]Smelter Reference List'!$E$1:$E$65536,0)))</f>
        <v>Matsuda Sangyo Co., Ltd.</v>
      </c>
      <c r="D1234" s="161" t="s">
        <v>75</v>
      </c>
      <c r="E1234" s="161" t="s">
        <v>2249</v>
      </c>
      <c r="F1234" s="161" t="s">
        <v>1290</v>
      </c>
      <c r="G1234" s="161" t="s">
        <v>3125</v>
      </c>
      <c r="H1234" s="247">
        <v>0</v>
      </c>
      <c r="I1234" s="248" t="s">
        <v>3231</v>
      </c>
      <c r="J1234" s="248" t="s">
        <v>3179</v>
      </c>
      <c r="K1234" s="245"/>
      <c r="L1234" s="245"/>
      <c r="M1234" s="245"/>
      <c r="N1234" s="245"/>
      <c r="O1234" s="245"/>
      <c r="P1234" s="245"/>
      <c r="Q1234" s="246"/>
      <c r="R1234" s="233"/>
      <c r="S1234" s="234">
        <f>IF(C1234="",NA(),MATCH($B1234&amp;$C1234,'Smelter Reference List'!$J:$J,0))</f>
        <v>116</v>
      </c>
      <c r="T1234" s="235"/>
      <c r="U1234" s="235">
        <f t="shared" si="34"/>
        <v>0</v>
      </c>
      <c r="V1234" s="235"/>
      <c r="W1234" s="235"/>
      <c r="Y1234" s="228" t="str">
        <f t="shared" si="35"/>
        <v>GoldMatsuda Sangyo Co., Ltd.</v>
      </c>
    </row>
    <row r="1235" spans="1:25" s="228" customFormat="1" ht="20.25">
      <c r="A1235" s="161" t="s">
        <v>1296</v>
      </c>
      <c r="B1235" s="408" t="s">
        <v>2323</v>
      </c>
      <c r="C1235" s="297" t="str">
        <f>IF(LEN(A1235)=0,"",INDEX('[2]Smelter Reference List'!$C$1:$C$65536,MATCH($A1235,'[2]Smelter Reference List'!$E$1:$E$65536,0)))</f>
        <v>Mitsubishi Materials Corporation</v>
      </c>
      <c r="D1235" s="161" t="s">
        <v>2371</v>
      </c>
      <c r="E1235" s="161" t="s">
        <v>2249</v>
      </c>
      <c r="F1235" s="161" t="s">
        <v>1296</v>
      </c>
      <c r="G1235" s="161" t="s">
        <v>3125</v>
      </c>
      <c r="H1235" s="247">
        <v>0</v>
      </c>
      <c r="I1235" s="248" t="s">
        <v>3245</v>
      </c>
      <c r="J1235" s="248" t="s">
        <v>4283</v>
      </c>
      <c r="K1235" s="245"/>
      <c r="L1235" s="245"/>
      <c r="M1235" s="245"/>
      <c r="N1235" s="245"/>
      <c r="O1235" s="245"/>
      <c r="P1235" s="245"/>
      <c r="Q1235" s="246"/>
      <c r="R1235" s="233"/>
      <c r="S1235" s="234">
        <f>IF(C1235="",NA(),MATCH($B1235&amp;$C1235,'Smelter Reference List'!$J:$J,0))</f>
        <v>128</v>
      </c>
      <c r="T1235" s="235"/>
      <c r="U1235" s="235">
        <f t="shared" si="34"/>
        <v>0</v>
      </c>
      <c r="V1235" s="235"/>
      <c r="W1235" s="235"/>
      <c r="Y1235" s="228" t="str">
        <f t="shared" si="35"/>
        <v>GoldMitsubishi Materials Corporation</v>
      </c>
    </row>
    <row r="1236" spans="1:25" s="228" customFormat="1" ht="20.25">
      <c r="A1236" s="161" t="s">
        <v>1301</v>
      </c>
      <c r="B1236" s="408" t="s">
        <v>2323</v>
      </c>
      <c r="C1236" s="297" t="str">
        <f>IF(LEN(A1236)=0,"",INDEX('[2]Smelter Reference List'!$C$1:$C$65536,MATCH($A1236,'[2]Smelter Reference List'!$E$1:$E$65536,0)))</f>
        <v>Nihon Material Co., Ltd.</v>
      </c>
      <c r="D1236" s="161" t="s">
        <v>4166</v>
      </c>
      <c r="E1236" s="161" t="s">
        <v>2249</v>
      </c>
      <c r="F1236" s="161" t="s">
        <v>1301</v>
      </c>
      <c r="G1236" s="161" t="s">
        <v>3125</v>
      </c>
      <c r="H1236" s="247">
        <v>0</v>
      </c>
      <c r="I1236" s="248" t="s">
        <v>3253</v>
      </c>
      <c r="J1236" s="248" t="s">
        <v>3254</v>
      </c>
      <c r="K1236" s="245"/>
      <c r="L1236" s="245"/>
      <c r="M1236" s="245"/>
      <c r="N1236" s="245"/>
      <c r="O1236" s="245"/>
      <c r="P1236" s="245"/>
      <c r="Q1236" s="246"/>
      <c r="R1236" s="233"/>
      <c r="S1236" s="234">
        <f>IF(C1236="",NA(),MATCH($B1236&amp;$C1236,'Smelter Reference List'!$J:$J,0))</f>
        <v>137</v>
      </c>
      <c r="T1236" s="235"/>
      <c r="U1236" s="235">
        <f t="shared" si="34"/>
        <v>0</v>
      </c>
      <c r="V1236" s="235"/>
      <c r="W1236" s="235"/>
      <c r="Y1236" s="228" t="str">
        <f t="shared" si="35"/>
        <v>GoldNihon Material Co., Ltd.</v>
      </c>
    </row>
    <row r="1237" spans="1:25" s="228" customFormat="1" ht="20.25">
      <c r="A1237" s="161" t="s">
        <v>1277</v>
      </c>
      <c r="B1237" s="408" t="s">
        <v>2323</v>
      </c>
      <c r="C1237" s="297" t="str">
        <f>IF(LEN(A1237)=0,"",INDEX('[2]Smelter Reference List'!$C$1:$C$65536,MATCH($A1237,'[2]Smelter Reference List'!$E$1:$E$65536,0)))</f>
        <v>JX Nippon Mining &amp; Metals Co., Ltd.</v>
      </c>
      <c r="D1237" s="161" t="s">
        <v>73</v>
      </c>
      <c r="E1237" s="161" t="s">
        <v>2249</v>
      </c>
      <c r="F1237" s="161" t="s">
        <v>1277</v>
      </c>
      <c r="G1237" s="161" t="s">
        <v>3125</v>
      </c>
      <c r="H1237" s="247">
        <v>0</v>
      </c>
      <c r="I1237" s="248" t="s">
        <v>4844</v>
      </c>
      <c r="J1237" s="248" t="s">
        <v>4844</v>
      </c>
      <c r="K1237" s="245"/>
      <c r="L1237" s="245"/>
      <c r="M1237" s="245"/>
      <c r="N1237" s="245"/>
      <c r="O1237" s="245"/>
      <c r="P1237" s="245"/>
      <c r="Q1237" s="246"/>
      <c r="R1237" s="233"/>
      <c r="S1237" s="234">
        <f>IF(C1237="",NA(),MATCH($B1237&amp;$C1237,'Smelter Reference List'!$J:$J,0))</f>
        <v>93</v>
      </c>
      <c r="T1237" s="235"/>
      <c r="U1237" s="235">
        <f t="shared" si="34"/>
        <v>0</v>
      </c>
      <c r="V1237" s="235"/>
      <c r="W1237" s="235"/>
      <c r="Y1237" s="228" t="str">
        <f t="shared" si="35"/>
        <v>GoldJX Nippon Mining &amp; Metals Co., Ltd.</v>
      </c>
    </row>
    <row r="1238" spans="1:25" s="228" customFormat="1" ht="20.25">
      <c r="A1238" s="161" t="s">
        <v>1321</v>
      </c>
      <c r="B1238" s="408" t="s">
        <v>2323</v>
      </c>
      <c r="C1238" s="297" t="str">
        <f>IF(LEN(A1238)=0,"",INDEX('[2]Smelter Reference List'!$C$1:$C$65536,MATCH($A1238,'[2]Smelter Reference List'!$E$1:$E$65536,0)))</f>
        <v>Sumitomo Metal Mining Co., Ltd.</v>
      </c>
      <c r="D1238" s="161" t="s">
        <v>77</v>
      </c>
      <c r="E1238" s="161" t="s">
        <v>2249</v>
      </c>
      <c r="F1238" s="161" t="s">
        <v>1321</v>
      </c>
      <c r="G1238" s="161" t="s">
        <v>3125</v>
      </c>
      <c r="H1238" s="247">
        <v>0</v>
      </c>
      <c r="I1238" s="248" t="s">
        <v>3297</v>
      </c>
      <c r="J1238" s="248" t="s">
        <v>4284</v>
      </c>
      <c r="K1238" s="245"/>
      <c r="L1238" s="245"/>
      <c r="M1238" s="245"/>
      <c r="N1238" s="245"/>
      <c r="O1238" s="245"/>
      <c r="P1238" s="245"/>
      <c r="Q1238" s="246"/>
      <c r="R1238" s="233"/>
      <c r="S1238" s="234">
        <f>IF(C1238="",NA(),MATCH($B1238&amp;$C1238,'Smelter Reference List'!$J:$J,0))</f>
        <v>190</v>
      </c>
      <c r="T1238" s="235"/>
      <c r="U1238" s="235">
        <f t="shared" si="34"/>
        <v>0</v>
      </c>
      <c r="V1238" s="235"/>
      <c r="W1238" s="235"/>
      <c r="Y1238" s="228" t="str">
        <f t="shared" si="35"/>
        <v>GoldSumitomo Metal Mining Co., Ltd.</v>
      </c>
    </row>
    <row r="1239" spans="1:25" s="228" customFormat="1" ht="20.25">
      <c r="A1239" s="161" t="s">
        <v>1322</v>
      </c>
      <c r="B1239" s="408" t="s">
        <v>2323</v>
      </c>
      <c r="C1239" s="297" t="str">
        <f>IF(LEN(A1239)=0,"",INDEX('[2]Smelter Reference List'!$C$1:$C$65536,MATCH($A1239,'[2]Smelter Reference List'!$E$1:$E$65536,0)))</f>
        <v>Tanaka Kikinzoku Kogyo K.K.</v>
      </c>
      <c r="D1239" s="161" t="s">
        <v>2457</v>
      </c>
      <c r="E1239" s="161" t="s">
        <v>2249</v>
      </c>
      <c r="F1239" s="161" t="s">
        <v>1322</v>
      </c>
      <c r="G1239" s="161" t="s">
        <v>3125</v>
      </c>
      <c r="H1239" s="247">
        <v>0</v>
      </c>
      <c r="I1239" s="248" t="s">
        <v>3299</v>
      </c>
      <c r="J1239" s="248" t="s">
        <v>3300</v>
      </c>
      <c r="K1239" s="245"/>
      <c r="L1239" s="245"/>
      <c r="M1239" s="245"/>
      <c r="N1239" s="245"/>
      <c r="O1239" s="245"/>
      <c r="P1239" s="245"/>
      <c r="Q1239" s="246"/>
      <c r="R1239" s="233"/>
      <c r="S1239" s="234">
        <f>IF(C1239="",NA(),MATCH($B1239&amp;$C1239,'Smelter Reference List'!$J:$J,0))</f>
        <v>200</v>
      </c>
      <c r="T1239" s="235"/>
      <c r="U1239" s="235">
        <f t="shared" si="34"/>
        <v>0</v>
      </c>
      <c r="V1239" s="235"/>
      <c r="W1239" s="235"/>
      <c r="Y1239" s="228" t="str">
        <f t="shared" si="35"/>
        <v>GoldTanaka Kikinzoku Kogyo K.K.</v>
      </c>
    </row>
    <row r="1240" spans="1:25" s="228" customFormat="1" ht="20.25">
      <c r="A1240" s="161" t="s">
        <v>1332</v>
      </c>
      <c r="B1240" s="408" t="s">
        <v>2323</v>
      </c>
      <c r="C1240" s="297" t="str">
        <f>IF(LEN(A1240)=0,"",INDEX('[2]Smelter Reference List'!$C$1:$C$65536,MATCH($A1240,'[2]Smelter Reference List'!$E$1:$E$65536,0)))</f>
        <v>Western Australian Mint trading as The Perth Mint</v>
      </c>
      <c r="D1240" s="161" t="s">
        <v>2322</v>
      </c>
      <c r="E1240" s="161" t="s">
        <v>2154</v>
      </c>
      <c r="F1240" s="161" t="s">
        <v>1332</v>
      </c>
      <c r="G1240" s="161" t="s">
        <v>3125</v>
      </c>
      <c r="H1240" s="247">
        <v>0</v>
      </c>
      <c r="I1240" s="248" t="s">
        <v>3318</v>
      </c>
      <c r="J1240" s="248" t="s">
        <v>3319</v>
      </c>
      <c r="K1240" s="245"/>
      <c r="L1240" s="245"/>
      <c r="M1240" s="245"/>
      <c r="N1240" s="245"/>
      <c r="O1240" s="245"/>
      <c r="P1240" s="245"/>
      <c r="Q1240" s="246"/>
      <c r="R1240" s="233"/>
      <c r="S1240" s="234">
        <f>IF(C1240="",NA(),MATCH($B1240&amp;$C1240,'Smelter Reference List'!$J:$J,0))</f>
        <v>218</v>
      </c>
      <c r="T1240" s="235"/>
      <c r="U1240" s="235">
        <f t="shared" si="34"/>
        <v>0</v>
      </c>
      <c r="V1240" s="235"/>
      <c r="W1240" s="235"/>
      <c r="Y1240" s="228" t="str">
        <f t="shared" si="35"/>
        <v>GoldWestern Australian Mint trading as The Perth Mint</v>
      </c>
    </row>
    <row r="1241" spans="1:25" s="228" customFormat="1" ht="20.25">
      <c r="A1241" s="161" t="s">
        <v>2736</v>
      </c>
      <c r="B1241" s="408" t="s">
        <v>2325</v>
      </c>
      <c r="C1241" s="297" t="str">
        <f>IF(LEN(A1241)=0,"",INDEX('[2]Smelter Reference List'!$C$1:$C$65536,MATCH($A1241,'[2]Smelter Reference List'!$E$1:$E$65536,0)))</f>
        <v>Global Advanced Metals Boyertown</v>
      </c>
      <c r="D1241" s="161" t="s">
        <v>2735</v>
      </c>
      <c r="E1241" s="161" t="s">
        <v>1759</v>
      </c>
      <c r="F1241" s="161" t="s">
        <v>2736</v>
      </c>
      <c r="G1241" s="161" t="s">
        <v>3125</v>
      </c>
      <c r="H1241" s="247">
        <v>0</v>
      </c>
      <c r="I1241" s="248" t="s">
        <v>3428</v>
      </c>
      <c r="J1241" s="248" t="s">
        <v>3401</v>
      </c>
      <c r="K1241" s="245"/>
      <c r="L1241" s="245"/>
      <c r="M1241" s="245"/>
      <c r="N1241" s="245"/>
      <c r="O1241" s="245"/>
      <c r="P1241" s="245"/>
      <c r="Q1241" s="246"/>
      <c r="R1241" s="233"/>
      <c r="S1241" s="234">
        <f>IF(C1241="",NA(),MATCH($B1241&amp;$C1241,'Smelter Reference List'!$J:$J,0))</f>
        <v>252</v>
      </c>
      <c r="T1241" s="235"/>
      <c r="U1241" s="235">
        <f t="shared" si="34"/>
        <v>0</v>
      </c>
      <c r="V1241" s="235"/>
      <c r="W1241" s="235"/>
      <c r="Y1241" s="228" t="str">
        <f t="shared" si="35"/>
        <v>TantalumGlobal Advanced Metals Boyertown</v>
      </c>
    </row>
    <row r="1242" spans="1:25" s="228" customFormat="1" ht="20.25">
      <c r="A1242" s="161" t="s">
        <v>2740</v>
      </c>
      <c r="B1242" s="408" t="s">
        <v>2325</v>
      </c>
      <c r="C1242" s="297" t="str">
        <f>IF(LEN(A1242)=0,"",INDEX('[2]Smelter Reference List'!$C$1:$C$65536,MATCH($A1242,'[2]Smelter Reference List'!$E$1:$E$65536,0)))</f>
        <v>H.C. Starck GmbH Goslar</v>
      </c>
      <c r="D1242" s="161" t="s">
        <v>2739</v>
      </c>
      <c r="E1242" s="161" t="s">
        <v>2195</v>
      </c>
      <c r="F1242" s="161" t="s">
        <v>2740</v>
      </c>
      <c r="G1242" s="161" t="s">
        <v>3125</v>
      </c>
      <c r="H1242" s="247">
        <v>0</v>
      </c>
      <c r="I1242" s="248" t="s">
        <v>3418</v>
      </c>
      <c r="J1242" s="248" t="s">
        <v>3419</v>
      </c>
      <c r="K1242" s="245"/>
      <c r="L1242" s="245"/>
      <c r="M1242" s="245"/>
      <c r="N1242" s="245"/>
      <c r="O1242" s="245"/>
      <c r="P1242" s="245"/>
      <c r="Q1242" s="246"/>
      <c r="R1242" s="233"/>
      <c r="S1242" s="234">
        <f>IF(C1242="",NA(),MATCH($B1242&amp;$C1242,'Smelter Reference List'!$J:$J,0))</f>
        <v>255</v>
      </c>
      <c r="T1242" s="235"/>
      <c r="U1242" s="235">
        <f t="shared" si="34"/>
        <v>0</v>
      </c>
      <c r="V1242" s="235"/>
      <c r="W1242" s="235"/>
      <c r="Y1242" s="228" t="str">
        <f t="shared" si="35"/>
        <v>TantalumH.C. Starck GmbH Goslar</v>
      </c>
    </row>
    <row r="1243" spans="1:25" s="228" customFormat="1" ht="20.25">
      <c r="A1243" s="161" t="s">
        <v>1354</v>
      </c>
      <c r="B1243" s="408" t="s">
        <v>2325</v>
      </c>
      <c r="C1243" s="297" t="str">
        <f>IF(LEN(A1243)=0,"",INDEX('[2]Smelter Reference List'!$C$1:$C$65536,MATCH($A1243,'[2]Smelter Reference List'!$E$1:$E$65536,0)))</f>
        <v>Ningxia Orient Tantalum Industry Co., Ltd.</v>
      </c>
      <c r="D1243" s="161" t="s">
        <v>1950</v>
      </c>
      <c r="E1243" s="161" t="s">
        <v>2181</v>
      </c>
      <c r="F1243" s="161" t="s">
        <v>1354</v>
      </c>
      <c r="G1243" s="161" t="s">
        <v>3125</v>
      </c>
      <c r="H1243" s="247">
        <v>0</v>
      </c>
      <c r="I1243" s="248" t="s">
        <v>3391</v>
      </c>
      <c r="J1243" s="248" t="s">
        <v>3392</v>
      </c>
      <c r="K1243" s="245"/>
      <c r="L1243" s="245"/>
      <c r="M1243" s="245"/>
      <c r="N1243" s="245"/>
      <c r="O1243" s="245"/>
      <c r="P1243" s="245"/>
      <c r="Q1243" s="246"/>
      <c r="R1243" s="233"/>
      <c r="S1243" s="234">
        <f>IF(C1243="",NA(),MATCH($B1243&amp;$C1243,'Smelter Reference List'!$J:$J,0))</f>
        <v>278</v>
      </c>
      <c r="T1243" s="235"/>
      <c r="U1243" s="235">
        <f t="shared" si="34"/>
        <v>0</v>
      </c>
      <c r="V1243" s="235"/>
      <c r="W1243" s="235"/>
      <c r="Y1243" s="228" t="str">
        <f t="shared" si="35"/>
        <v>TantalumNingxia Orient Tantalum Industry Co., Ltd.</v>
      </c>
    </row>
    <row r="1244" spans="1:25" s="228" customFormat="1" ht="20.25">
      <c r="A1244" s="161" t="s">
        <v>1360</v>
      </c>
      <c r="B1244" s="408" t="s">
        <v>2325</v>
      </c>
      <c r="C1244" s="297" t="str">
        <f>IF(LEN(A1244)=0,"",INDEX('[2]Smelter Reference List'!$C$1:$C$65536,MATCH($A1244,'[2]Smelter Reference List'!$E$1:$E$65536,0)))</f>
        <v>Ulba Metallurgical Plant JSC</v>
      </c>
      <c r="D1244" s="161" t="s">
        <v>3402</v>
      </c>
      <c r="E1244" s="161" t="s">
        <v>2250</v>
      </c>
      <c r="F1244" s="161" t="s">
        <v>1360</v>
      </c>
      <c r="G1244" s="161" t="s">
        <v>3125</v>
      </c>
      <c r="H1244" s="247">
        <v>0</v>
      </c>
      <c r="I1244" s="248" t="s">
        <v>3214</v>
      </c>
      <c r="J1244" s="248" t="s">
        <v>3403</v>
      </c>
      <c r="K1244" s="245"/>
      <c r="L1244" s="245"/>
      <c r="M1244" s="245"/>
      <c r="N1244" s="245"/>
      <c r="O1244" s="245"/>
      <c r="P1244" s="245"/>
      <c r="Q1244" s="246"/>
      <c r="R1244" s="233"/>
      <c r="S1244" s="234">
        <f>IF(C1244="",NA(),MATCH($B1244&amp;$C1244,'Smelter Reference List'!$J:$J,0))</f>
        <v>294</v>
      </c>
      <c r="T1244" s="235"/>
      <c r="U1244" s="235">
        <f t="shared" si="34"/>
        <v>0</v>
      </c>
      <c r="V1244" s="235"/>
      <c r="W1244" s="235"/>
      <c r="Y1244" s="228" t="str">
        <f t="shared" si="35"/>
        <v>TantalumUlba Metallurgical Plant JSC</v>
      </c>
    </row>
    <row r="1245" spans="1:25" s="228" customFormat="1" ht="20.25">
      <c r="A1245" s="161" t="s">
        <v>1367</v>
      </c>
      <c r="B1245" s="408" t="s">
        <v>2324</v>
      </c>
      <c r="C1245" s="297" t="str">
        <f>IF(LEN(A1245)=0,"",INDEX('[2]Smelter Reference List'!$C$1:$C$65536,MATCH($A1245,'[2]Smelter Reference List'!$E$1:$E$65536,0)))</f>
        <v>CV United Smelting</v>
      </c>
      <c r="D1245" s="161" t="s">
        <v>1505</v>
      </c>
      <c r="E1245" s="161" t="s">
        <v>2238</v>
      </c>
      <c r="F1245" s="161" t="s">
        <v>1367</v>
      </c>
      <c r="G1245" s="161" t="s">
        <v>3125</v>
      </c>
      <c r="H1245" s="247">
        <v>0</v>
      </c>
      <c r="I1245" s="248" t="s">
        <v>3457</v>
      </c>
      <c r="J1245" s="248" t="s">
        <v>3454</v>
      </c>
      <c r="K1245" s="245"/>
      <c r="L1245" s="245"/>
      <c r="M1245" s="245"/>
      <c r="N1245" s="245"/>
      <c r="O1245" s="245"/>
      <c r="P1245" s="245"/>
      <c r="Q1245" s="246"/>
      <c r="R1245" s="233"/>
      <c r="S1245" s="234">
        <f>IF(C1245="",NA(),MATCH($B1245&amp;$C1245,'Smelter Reference List'!$J:$J,0))</f>
        <v>335</v>
      </c>
      <c r="T1245" s="235"/>
      <c r="U1245" s="235">
        <f t="shared" si="34"/>
        <v>0</v>
      </c>
      <c r="V1245" s="235"/>
      <c r="W1245" s="235"/>
      <c r="Y1245" s="228" t="str">
        <f t="shared" si="35"/>
        <v>TinCV United Smelting</v>
      </c>
    </row>
    <row r="1246" spans="1:25" s="228" customFormat="1" ht="20.25">
      <c r="A1246" s="161" t="s">
        <v>1368</v>
      </c>
      <c r="B1246" s="408" t="s">
        <v>2324</v>
      </c>
      <c r="C1246" s="297" t="str">
        <f>IF(LEN(A1246)=0,"",INDEX('[2]Smelter Reference List'!$C$1:$C$65536,MATCH($A1246,'[2]Smelter Reference List'!$E$1:$E$65536,0)))</f>
        <v>EM Vinto</v>
      </c>
      <c r="D1246" s="161" t="s">
        <v>1506</v>
      </c>
      <c r="E1246" s="161" t="s">
        <v>2169</v>
      </c>
      <c r="F1246" s="161" t="s">
        <v>1368</v>
      </c>
      <c r="G1246" s="161" t="s">
        <v>3125</v>
      </c>
      <c r="H1246" s="247">
        <v>0</v>
      </c>
      <c r="I1246" s="248" t="s">
        <v>3459</v>
      </c>
      <c r="J1246" s="248" t="s">
        <v>3460</v>
      </c>
      <c r="K1246" s="245"/>
      <c r="L1246" s="245"/>
      <c r="M1246" s="245"/>
      <c r="N1246" s="245"/>
      <c r="O1246" s="245"/>
      <c r="P1246" s="245"/>
      <c r="Q1246" s="246"/>
      <c r="R1246" s="233"/>
      <c r="S1246" s="234">
        <f>IF(C1246="",NA(),MATCH($B1246&amp;$C1246,'Smelter Reference List'!$J:$J,0))</f>
        <v>341</v>
      </c>
      <c r="T1246" s="235"/>
      <c r="U1246" s="235">
        <f t="shared" si="34"/>
        <v>0</v>
      </c>
      <c r="V1246" s="235"/>
      <c r="W1246" s="235"/>
      <c r="Y1246" s="228" t="str">
        <f t="shared" si="35"/>
        <v>TinEM Vinto</v>
      </c>
    </row>
    <row r="1247" spans="1:25" s="228" customFormat="1" ht="20.25">
      <c r="A1247" s="161" t="s">
        <v>1372</v>
      </c>
      <c r="B1247" s="408" t="s">
        <v>2324</v>
      </c>
      <c r="C1247" s="297" t="str">
        <f>IF(LEN(A1247)=0,"",INDEX('[2]Smelter Reference List'!$C$1:$C$65536,MATCH($A1247,'[2]Smelter Reference List'!$E$1:$E$65536,0)))</f>
        <v>Gejiu Non-Ferrous Metal Processing Co., Ltd.</v>
      </c>
      <c r="D1247" s="161" t="s">
        <v>4152</v>
      </c>
      <c r="E1247" s="161" t="s">
        <v>2181</v>
      </c>
      <c r="F1247" s="161" t="s">
        <v>1372</v>
      </c>
      <c r="G1247" s="161" t="s">
        <v>3125</v>
      </c>
      <c r="H1247" s="247">
        <v>0</v>
      </c>
      <c r="I1247" s="248" t="s">
        <v>3468</v>
      </c>
      <c r="J1247" s="248" t="s">
        <v>3161</v>
      </c>
      <c r="K1247" s="245"/>
      <c r="L1247" s="245"/>
      <c r="M1247" s="245"/>
      <c r="N1247" s="245"/>
      <c r="O1247" s="245"/>
      <c r="P1247" s="245"/>
      <c r="Q1247" s="246"/>
      <c r="R1247" s="233"/>
      <c r="S1247" s="234">
        <f>IF(C1247="",NA(),MATCH($B1247&amp;$C1247,'Smelter Reference List'!$J:$J,0))</f>
        <v>353</v>
      </c>
      <c r="T1247" s="235"/>
      <c r="U1247" s="235">
        <f t="shared" si="34"/>
        <v>0</v>
      </c>
      <c r="V1247" s="235"/>
      <c r="W1247" s="235"/>
      <c r="Y1247" s="228" t="str">
        <f t="shared" si="35"/>
        <v>TinGejiu Non-Ferrous Metal Processing Co., Ltd.</v>
      </c>
    </row>
    <row r="1248" spans="1:25" s="228" customFormat="1" ht="20.25">
      <c r="A1248" s="161" t="s">
        <v>1378</v>
      </c>
      <c r="B1248" s="408" t="s">
        <v>2324</v>
      </c>
      <c r="C1248" s="297" t="str">
        <f>IF(LEN(A1248)=0,"",INDEX('[2]Smelter Reference List'!$C$1:$C$65536,MATCH($A1248,'[2]Smelter Reference List'!$E$1:$E$65536,0)))</f>
        <v>Malaysia Smelting Corporation (MSC)</v>
      </c>
      <c r="D1248" s="161" t="s">
        <v>1471</v>
      </c>
      <c r="E1248" s="161" t="s">
        <v>2289</v>
      </c>
      <c r="F1248" s="161" t="s">
        <v>1378</v>
      </c>
      <c r="G1248" s="161" t="s">
        <v>3125</v>
      </c>
      <c r="H1248" s="247">
        <v>0</v>
      </c>
      <c r="I1248" s="248" t="s">
        <v>3481</v>
      </c>
      <c r="J1248" s="248" t="s">
        <v>3482</v>
      </c>
      <c r="K1248" s="245"/>
      <c r="L1248" s="245"/>
      <c r="M1248" s="245"/>
      <c r="N1248" s="245"/>
      <c r="O1248" s="245"/>
      <c r="P1248" s="245"/>
      <c r="Q1248" s="246"/>
      <c r="R1248" s="233"/>
      <c r="S1248" s="234">
        <f>IF(C1248="",NA(),MATCH($B1248&amp;$C1248,'Smelter Reference List'!$J:$J,0))</f>
        <v>377</v>
      </c>
      <c r="T1248" s="235"/>
      <c r="U1248" s="235">
        <f t="shared" si="34"/>
        <v>0</v>
      </c>
      <c r="V1248" s="235"/>
      <c r="W1248" s="235"/>
      <c r="Y1248" s="228" t="str">
        <f t="shared" si="35"/>
        <v>TinMalaysia Smelting Corporation (MSC)</v>
      </c>
    </row>
    <row r="1249" spans="1:25" s="228" customFormat="1" ht="20.25">
      <c r="A1249" s="161"/>
      <c r="B1249" s="408" t="s">
        <v>2324</v>
      </c>
      <c r="C1249" s="297" t="s">
        <v>3604</v>
      </c>
      <c r="D1249" s="228" t="s">
        <v>5676</v>
      </c>
      <c r="E1249" s="228" t="s">
        <v>2158</v>
      </c>
      <c r="F1249" s="161">
        <v>0</v>
      </c>
      <c r="G1249" s="228" t="s">
        <v>5584</v>
      </c>
      <c r="H1249" s="228" t="s">
        <v>5884</v>
      </c>
      <c r="I1249" s="228" t="s">
        <v>3548</v>
      </c>
      <c r="J1249" s="228" t="s">
        <v>5761</v>
      </c>
      <c r="M1249" s="228" t="s">
        <v>5885</v>
      </c>
      <c r="N1249" s="228" t="s">
        <v>5061</v>
      </c>
      <c r="O1249" s="228" t="s">
        <v>5061</v>
      </c>
      <c r="P1249" s="228" t="s">
        <v>924</v>
      </c>
      <c r="R1249" s="233"/>
      <c r="S1249" s="234">
        <f>IF(C1249="",NA(),MATCH($B1249&amp;$C1249,'Smelter Reference List'!$J:$J,0))</f>
        <v>467</v>
      </c>
      <c r="T1249" s="235"/>
      <c r="U1249" s="235">
        <f t="shared" si="34"/>
        <v>0</v>
      </c>
      <c r="V1249" s="235"/>
      <c r="W1249" s="235"/>
      <c r="Y1249" s="228" t="str">
        <f t="shared" si="35"/>
        <v>TinSmelter not listed</v>
      </c>
    </row>
    <row r="1250" spans="1:25" s="228" customFormat="1" ht="20.25">
      <c r="A1250" s="161" t="s">
        <v>1379</v>
      </c>
      <c r="B1250" s="408" t="s">
        <v>2324</v>
      </c>
      <c r="C1250" s="297" t="str">
        <f>IF(LEN(A1250)=0,"",INDEX('[2]Smelter Reference List'!$C$1:$C$65536,MATCH($A1250,'[2]Smelter Reference List'!$E$1:$E$65536,0)))</f>
        <v>Mineração Taboca S.A.</v>
      </c>
      <c r="D1250" s="161" t="s">
        <v>1953</v>
      </c>
      <c r="E1250" s="161" t="s">
        <v>2170</v>
      </c>
      <c r="F1250" s="161" t="s">
        <v>1379</v>
      </c>
      <c r="G1250" s="161" t="s">
        <v>3125</v>
      </c>
      <c r="H1250" s="247">
        <v>0</v>
      </c>
      <c r="I1250" s="248" t="s">
        <v>3485</v>
      </c>
      <c r="J1250" s="248" t="s">
        <v>3313</v>
      </c>
      <c r="K1250" s="245"/>
      <c r="L1250" s="245"/>
      <c r="M1250" s="245"/>
      <c r="N1250" s="245"/>
      <c r="O1250" s="245"/>
      <c r="P1250" s="245"/>
      <c r="Q1250" s="246"/>
      <c r="R1250" s="233"/>
      <c r="S1250" s="234">
        <f>IF(C1250="",NA(),MATCH($B1250&amp;$C1250,'Smelter Reference List'!$J:$J,0))</f>
        <v>383</v>
      </c>
      <c r="T1250" s="235"/>
      <c r="U1250" s="235">
        <f t="shared" si="34"/>
        <v>0</v>
      </c>
      <c r="V1250" s="235"/>
      <c r="W1250" s="235"/>
      <c r="Y1250" s="228" t="str">
        <f t="shared" si="35"/>
        <v>TinMineração Taboca S.A.</v>
      </c>
    </row>
    <row r="1251" spans="1:25" s="228" customFormat="1" ht="20.25">
      <c r="A1251" s="161" t="s">
        <v>1380</v>
      </c>
      <c r="B1251" s="408" t="s">
        <v>2324</v>
      </c>
      <c r="C1251" s="297" t="str">
        <f>IF(LEN(A1251)=0,"",INDEX('[2]Smelter Reference List'!$C$1:$C$65536,MATCH($A1251,'[2]Smelter Reference List'!$E$1:$E$65536,0)))</f>
        <v>Minsur</v>
      </c>
      <c r="D1251" s="161" t="s">
        <v>1954</v>
      </c>
      <c r="E1251" s="161" t="s">
        <v>1704</v>
      </c>
      <c r="F1251" s="161" t="s">
        <v>1380</v>
      </c>
      <c r="G1251" s="161" t="s">
        <v>3125</v>
      </c>
      <c r="H1251" s="247">
        <v>0</v>
      </c>
      <c r="I1251" s="248" t="s">
        <v>3487</v>
      </c>
      <c r="J1251" s="248" t="s">
        <v>3488</v>
      </c>
      <c r="K1251" s="245"/>
      <c r="L1251" s="245"/>
      <c r="M1251" s="245"/>
      <c r="N1251" s="245"/>
      <c r="O1251" s="245"/>
      <c r="P1251" s="245"/>
      <c r="Q1251" s="246"/>
      <c r="R1251" s="233"/>
      <c r="S1251" s="234">
        <f>IF(C1251="",NA(),MATCH($B1251&amp;$C1251,'Smelter Reference List'!$J:$J,0))</f>
        <v>384</v>
      </c>
      <c r="T1251" s="235"/>
      <c r="U1251" s="235">
        <f t="shared" si="34"/>
        <v>0</v>
      </c>
      <c r="V1251" s="235"/>
      <c r="W1251" s="235"/>
      <c r="Y1251" s="228" t="str">
        <f t="shared" si="35"/>
        <v>TinMinsur</v>
      </c>
    </row>
    <row r="1252" spans="1:25" s="228" customFormat="1" ht="20.25">
      <c r="A1252" s="161" t="s">
        <v>1384</v>
      </c>
      <c r="B1252" s="408" t="s">
        <v>2324</v>
      </c>
      <c r="C1252" s="297" t="str">
        <f>IF(LEN(A1252)=0,"",INDEX('[2]Smelter Reference List'!$C$1:$C$65536,MATCH($A1252,'[2]Smelter Reference List'!$E$1:$E$65536,0)))</f>
        <v>Operaciones Metalurgical S.A.</v>
      </c>
      <c r="D1252" s="161" t="s">
        <v>3494</v>
      </c>
      <c r="E1252" s="161" t="s">
        <v>2169</v>
      </c>
      <c r="F1252" s="161" t="s">
        <v>1384</v>
      </c>
      <c r="G1252" s="161" t="s">
        <v>3125</v>
      </c>
      <c r="H1252" s="247">
        <v>0</v>
      </c>
      <c r="I1252" s="248" t="s">
        <v>3459</v>
      </c>
      <c r="J1252" s="248" t="s">
        <v>3460</v>
      </c>
      <c r="K1252" s="245"/>
      <c r="L1252" s="245"/>
      <c r="M1252" s="245"/>
      <c r="N1252" s="245"/>
      <c r="O1252" s="245"/>
      <c r="P1252" s="245"/>
      <c r="Q1252" s="246"/>
      <c r="R1252" s="233"/>
      <c r="S1252" s="234">
        <f>IF(C1252="",NA(),MATCH($B1252&amp;$C1252,'Smelter Reference List'!$J:$J,0))</f>
        <v>394</v>
      </c>
      <c r="T1252" s="235"/>
      <c r="U1252" s="235">
        <f t="shared" si="34"/>
        <v>0</v>
      </c>
      <c r="V1252" s="235"/>
      <c r="W1252" s="235"/>
      <c r="Y1252" s="228" t="str">
        <f t="shared" si="35"/>
        <v>TinOperaciones Metalurgical S.A.</v>
      </c>
    </row>
    <row r="1253" spans="1:25" s="228" customFormat="1" ht="20.25">
      <c r="A1253" s="161"/>
      <c r="B1253" s="408" t="s">
        <v>2324</v>
      </c>
      <c r="C1253" s="297" t="s">
        <v>3604</v>
      </c>
      <c r="D1253" s="228" t="s">
        <v>5698</v>
      </c>
      <c r="E1253" s="228" t="s">
        <v>2238</v>
      </c>
      <c r="F1253" s="161">
        <v>0</v>
      </c>
      <c r="G1253" s="228" t="s">
        <v>5584</v>
      </c>
      <c r="H1253" s="228" t="s">
        <v>5886</v>
      </c>
      <c r="I1253" s="228" t="s">
        <v>5887</v>
      </c>
      <c r="J1253" s="228" t="s">
        <v>5367</v>
      </c>
      <c r="M1253" s="228" t="s">
        <v>5888</v>
      </c>
      <c r="N1253" s="228" t="s">
        <v>5889</v>
      </c>
      <c r="O1253" s="228" t="s">
        <v>5889</v>
      </c>
      <c r="P1253" s="228" t="s">
        <v>925</v>
      </c>
      <c r="R1253" s="233"/>
      <c r="S1253" s="234">
        <f>IF(C1253="",NA(),MATCH($B1253&amp;$C1253,'Smelter Reference List'!$J:$J,0))</f>
        <v>467</v>
      </c>
      <c r="T1253" s="235"/>
      <c r="U1253" s="235">
        <f t="shared" si="34"/>
        <v>0</v>
      </c>
      <c r="V1253" s="235"/>
      <c r="W1253" s="235"/>
      <c r="Y1253" s="228" t="str">
        <f t="shared" si="35"/>
        <v>TinSmelter not listed</v>
      </c>
    </row>
    <row r="1254" spans="1:25" s="228" customFormat="1" ht="20.25">
      <c r="A1254" s="161" t="s">
        <v>1387</v>
      </c>
      <c r="B1254" s="408" t="s">
        <v>2324</v>
      </c>
      <c r="C1254" s="297" t="str">
        <f>IF(LEN(A1254)=0,"",INDEX('[2]Smelter Reference List'!$C$1:$C$65536,MATCH($A1254,'[2]Smelter Reference List'!$E$1:$E$65536,0)))</f>
        <v>PT Bangka Tin Industry</v>
      </c>
      <c r="D1254" s="161" t="s">
        <v>1173</v>
      </c>
      <c r="E1254" s="161" t="s">
        <v>2238</v>
      </c>
      <c r="F1254" s="161" t="s">
        <v>1387</v>
      </c>
      <c r="G1254" s="161" t="s">
        <v>3125</v>
      </c>
      <c r="H1254" s="247">
        <v>0</v>
      </c>
      <c r="I1254" s="248" t="s">
        <v>3453</v>
      </c>
      <c r="J1254" s="248" t="s">
        <v>3454</v>
      </c>
      <c r="K1254" s="245"/>
      <c r="L1254" s="245"/>
      <c r="M1254" s="245"/>
      <c r="N1254" s="245"/>
      <c r="O1254" s="245"/>
      <c r="P1254" s="245"/>
      <c r="Q1254" s="246"/>
      <c r="R1254" s="233"/>
      <c r="S1254" s="234">
        <f>IF(C1254="",NA(),MATCH($B1254&amp;$C1254,'Smelter Reference List'!$J:$J,0))</f>
        <v>405</v>
      </c>
      <c r="T1254" s="235"/>
      <c r="U1254" s="235">
        <f t="shared" si="34"/>
        <v>0</v>
      </c>
      <c r="V1254" s="235"/>
      <c r="W1254" s="235"/>
      <c r="Y1254" s="228" t="str">
        <f t="shared" si="35"/>
        <v>TinPT Bangka Tin Industry</v>
      </c>
    </row>
    <row r="1255" spans="1:25" s="228" customFormat="1" ht="20.25">
      <c r="A1255" s="161" t="s">
        <v>1389</v>
      </c>
      <c r="B1255" s="408" t="s">
        <v>2324</v>
      </c>
      <c r="C1255" s="297" t="str">
        <f>IF(LEN(A1255)=0,"",INDEX('[2]Smelter Reference List'!$C$1:$C$65536,MATCH($A1255,'[2]Smelter Reference List'!$E$1:$E$65536,0)))</f>
        <v>PT Bukit Timah</v>
      </c>
      <c r="D1255" s="161" t="s">
        <v>1194</v>
      </c>
      <c r="E1255" s="161" t="s">
        <v>2238</v>
      </c>
      <c r="F1255" s="161" t="s">
        <v>1389</v>
      </c>
      <c r="G1255" s="161" t="s">
        <v>3125</v>
      </c>
      <c r="H1255" s="247">
        <v>0</v>
      </c>
      <c r="I1255" s="248" t="s">
        <v>3457</v>
      </c>
      <c r="J1255" s="248" t="s">
        <v>3454</v>
      </c>
      <c r="K1255" s="245"/>
      <c r="L1255" s="245"/>
      <c r="M1255" s="245"/>
      <c r="N1255" s="245"/>
      <c r="O1255" s="245"/>
      <c r="P1255" s="245"/>
      <c r="Q1255" s="246"/>
      <c r="R1255" s="233"/>
      <c r="S1255" s="234">
        <f>IF(C1255="",NA(),MATCH($B1255&amp;$C1255,'Smelter Reference List'!$J:$J,0))</f>
        <v>408</v>
      </c>
      <c r="T1255" s="235"/>
      <c r="U1255" s="235">
        <f t="shared" si="34"/>
        <v>0</v>
      </c>
      <c r="V1255" s="235"/>
      <c r="W1255" s="235"/>
      <c r="Y1255" s="228" t="str">
        <f t="shared" si="35"/>
        <v>TinPT Bukit Timah</v>
      </c>
    </row>
    <row r="1256" spans="1:25" s="228" customFormat="1" ht="20.25">
      <c r="A1256" s="161" t="s">
        <v>1398</v>
      </c>
      <c r="B1256" s="408" t="s">
        <v>2324</v>
      </c>
      <c r="C1256" s="297" t="str">
        <f>IF(LEN(A1256)=0,"",INDEX('[2]Smelter Reference List'!$C$1:$C$65536,MATCH($A1256,'[2]Smelter Reference List'!$E$1:$E$65536,0)))</f>
        <v>PT Stanindo Inti Perkasa</v>
      </c>
      <c r="D1256" s="161" t="s">
        <v>2369</v>
      </c>
      <c r="E1256" s="161" t="s">
        <v>2238</v>
      </c>
      <c r="F1256" s="161" t="s">
        <v>1398</v>
      </c>
      <c r="G1256" s="161" t="s">
        <v>3125</v>
      </c>
      <c r="H1256" s="247">
        <v>0</v>
      </c>
      <c r="I1256" s="248" t="s">
        <v>3457</v>
      </c>
      <c r="J1256" s="248" t="s">
        <v>3454</v>
      </c>
      <c r="K1256" s="245"/>
      <c r="L1256" s="245"/>
      <c r="M1256" s="245"/>
      <c r="N1256" s="245"/>
      <c r="O1256" s="245"/>
      <c r="P1256" s="245"/>
      <c r="Q1256" s="246"/>
      <c r="R1256" s="233"/>
      <c r="S1256" s="234">
        <f>IF(C1256="",NA(),MATCH($B1256&amp;$C1256,'Smelter Reference List'!$J:$J,0))</f>
        <v>427</v>
      </c>
      <c r="T1256" s="235"/>
      <c r="U1256" s="235">
        <f t="shared" si="34"/>
        <v>0</v>
      </c>
      <c r="V1256" s="235"/>
      <c r="W1256" s="235"/>
      <c r="Y1256" s="228" t="str">
        <f t="shared" si="35"/>
        <v>TinPT Stanindo Inti Perkasa</v>
      </c>
    </row>
    <row r="1257" spans="1:25" s="228" customFormat="1" ht="20.25">
      <c r="A1257" s="161" t="s">
        <v>1399</v>
      </c>
      <c r="B1257" s="408" t="s">
        <v>2324</v>
      </c>
      <c r="C1257" s="297" t="str">
        <f>IF(LEN(A1257)=0,"",INDEX('[2]Smelter Reference List'!$C$1:$C$65536,MATCH($A1257,'[2]Smelter Reference List'!$E$1:$E$65536,0)))</f>
        <v>PT Timah (Persero) Tbk Mentok</v>
      </c>
      <c r="D1257" s="161" t="s">
        <v>4266</v>
      </c>
      <c r="E1257" s="161" t="s">
        <v>2238</v>
      </c>
      <c r="F1257" s="161" t="s">
        <v>1399</v>
      </c>
      <c r="G1257" s="161" t="s">
        <v>3125</v>
      </c>
      <c r="H1257" s="247">
        <v>0</v>
      </c>
      <c r="I1257" s="248" t="s">
        <v>3507</v>
      </c>
      <c r="J1257" s="248" t="s">
        <v>3454</v>
      </c>
      <c r="K1257" s="245"/>
      <c r="L1257" s="245"/>
      <c r="M1257" s="245"/>
      <c r="N1257" s="245"/>
      <c r="O1257" s="245"/>
      <c r="P1257" s="245"/>
      <c r="Q1257" s="246"/>
      <c r="R1257" s="233"/>
      <c r="S1257" s="234">
        <f>IF(C1257="",NA(),MATCH($B1257&amp;$C1257,'Smelter Reference List'!$J:$J,0))</f>
        <v>432</v>
      </c>
      <c r="T1257" s="235"/>
      <c r="U1257" s="235">
        <f t="shared" si="34"/>
        <v>0</v>
      </c>
      <c r="V1257" s="235"/>
      <c r="W1257" s="235"/>
      <c r="Y1257" s="228" t="str">
        <f t="shared" si="35"/>
        <v>TinPT Timah (Persero) Tbk Mentok</v>
      </c>
    </row>
    <row r="1258" spans="1:25" s="228" customFormat="1" ht="20.25">
      <c r="A1258" s="161" t="s">
        <v>1404</v>
      </c>
      <c r="B1258" s="408" t="s">
        <v>2324</v>
      </c>
      <c r="C1258" s="297" t="str">
        <f>IF(LEN(A1258)=0,"",INDEX('[2]Smelter Reference List'!$C$1:$C$65536,MATCH($A1258,'[2]Smelter Reference List'!$E$1:$E$65536,0)))</f>
        <v>Thaisarco</v>
      </c>
      <c r="D1258" s="161" t="s">
        <v>1951</v>
      </c>
      <c r="E1258" s="161" t="s">
        <v>1743</v>
      </c>
      <c r="F1258" s="161" t="s">
        <v>1404</v>
      </c>
      <c r="G1258" s="161" t="s">
        <v>3125</v>
      </c>
      <c r="H1258" s="247">
        <v>0</v>
      </c>
      <c r="I1258" s="248" t="s">
        <v>3510</v>
      </c>
      <c r="J1258" s="248" t="s">
        <v>3511</v>
      </c>
      <c r="K1258" s="245"/>
      <c r="L1258" s="245"/>
      <c r="M1258" s="245"/>
      <c r="N1258" s="245"/>
      <c r="O1258" s="245"/>
      <c r="P1258" s="245"/>
      <c r="Q1258" s="246"/>
      <c r="R1258" s="233"/>
      <c r="S1258" s="234">
        <f>IF(C1258="",NA(),MATCH($B1258&amp;$C1258,'Smelter Reference List'!$J:$J,0))</f>
        <v>445</v>
      </c>
      <c r="T1258" s="235"/>
      <c r="U1258" s="235">
        <f t="shared" si="34"/>
        <v>0</v>
      </c>
      <c r="V1258" s="235"/>
      <c r="W1258" s="235"/>
      <c r="Y1258" s="228" t="str">
        <f t="shared" si="35"/>
        <v>TinThaisarco</v>
      </c>
    </row>
    <row r="1259" spans="1:25" s="228" customFormat="1" ht="20.25">
      <c r="A1259" s="161" t="s">
        <v>1411</v>
      </c>
      <c r="B1259" s="408" t="s">
        <v>2326</v>
      </c>
      <c r="C1259" s="297" t="str">
        <f>IF(LEN(A1259)=0,"",INDEX('[2]Smelter Reference List'!$C$1:$C$65536,MATCH($A1259,'[2]Smelter Reference List'!$E$1:$E$65536,0)))</f>
        <v>Chongyi Zhangyuan Tungsten Co., Ltd.</v>
      </c>
      <c r="D1259" s="161" t="s">
        <v>2659</v>
      </c>
      <c r="E1259" s="161" t="s">
        <v>2181</v>
      </c>
      <c r="F1259" s="161" t="s">
        <v>1411</v>
      </c>
      <c r="G1259" s="161" t="s">
        <v>3125</v>
      </c>
      <c r="H1259" s="247">
        <v>0</v>
      </c>
      <c r="I1259" s="248" t="s">
        <v>3471</v>
      </c>
      <c r="J1259" s="248" t="s">
        <v>3204</v>
      </c>
      <c r="K1259" s="245"/>
      <c r="L1259" s="245"/>
      <c r="M1259" s="245"/>
      <c r="N1259" s="245"/>
      <c r="O1259" s="245"/>
      <c r="P1259" s="245"/>
      <c r="Q1259" s="246"/>
      <c r="R1259" s="233"/>
      <c r="S1259" s="234">
        <f>IF(C1259="",NA(),MATCH($B1259&amp;$C1259,'Smelter Reference List'!$J:$J,0))</f>
        <v>480</v>
      </c>
      <c r="T1259" s="235"/>
      <c r="U1259" s="235">
        <f t="shared" si="34"/>
        <v>0</v>
      </c>
      <c r="V1259" s="235"/>
      <c r="W1259" s="235"/>
      <c r="Y1259" s="228" t="str">
        <f t="shared" si="35"/>
        <v>TungstenChongyi Zhangyuan Tungsten Co., Ltd.</v>
      </c>
    </row>
    <row r="1260" spans="1:25" s="228" customFormat="1" ht="20.25">
      <c r="A1260" s="161" t="s">
        <v>1419</v>
      </c>
      <c r="B1260" s="408" t="s">
        <v>2326</v>
      </c>
      <c r="C1260" s="297" t="str">
        <f>IF(LEN(A1260)=0,"",INDEX('[2]Smelter Reference List'!$C$1:$C$65536,MATCH($A1260,'[2]Smelter Reference List'!$E$1:$E$65536,0)))</f>
        <v>Ganzhou Huaxing Tungsten Products Co., Ltd.</v>
      </c>
      <c r="D1260" s="161" t="s">
        <v>211</v>
      </c>
      <c r="E1260" s="161" t="s">
        <v>2181</v>
      </c>
      <c r="F1260" s="161" t="s">
        <v>1419</v>
      </c>
      <c r="G1260" s="161" t="s">
        <v>3125</v>
      </c>
      <c r="H1260" s="247">
        <v>0</v>
      </c>
      <c r="I1260" s="248" t="s">
        <v>3471</v>
      </c>
      <c r="J1260" s="248" t="s">
        <v>3204</v>
      </c>
      <c r="K1260" s="245"/>
      <c r="L1260" s="245"/>
      <c r="M1260" s="245"/>
      <c r="N1260" s="245"/>
      <c r="O1260" s="245"/>
      <c r="P1260" s="245"/>
      <c r="Q1260" s="246"/>
      <c r="R1260" s="233"/>
      <c r="S1260" s="234">
        <f>IF(C1260="",NA(),MATCH($B1260&amp;$C1260,'Smelter Reference List'!$J:$J,0))</f>
        <v>485</v>
      </c>
      <c r="T1260" s="235"/>
      <c r="U1260" s="235">
        <f t="shared" si="34"/>
        <v>0</v>
      </c>
      <c r="V1260" s="235"/>
      <c r="W1260" s="235"/>
      <c r="Y1260" s="228" t="str">
        <f t="shared" si="35"/>
        <v>TungstenGanzhou Huaxing Tungsten Products Co., Ltd.</v>
      </c>
    </row>
    <row r="1261" spans="1:25" s="228" customFormat="1" ht="20.25">
      <c r="A1261" s="161" t="s">
        <v>722</v>
      </c>
      <c r="B1261" s="408" t="s">
        <v>2326</v>
      </c>
      <c r="C1261" s="297" t="str">
        <f>IF(LEN(A1261)=0,"",INDEX('[2]Smelter Reference List'!$C$1:$C$65536,MATCH($A1261,'[2]Smelter Reference List'!$E$1:$E$65536,0)))</f>
        <v>Ganzhou Seadragon W &amp; Mo Co., Ltd.</v>
      </c>
      <c r="D1261" s="161" t="s">
        <v>721</v>
      </c>
      <c r="E1261" s="161" t="s">
        <v>2181</v>
      </c>
      <c r="F1261" s="161" t="s">
        <v>722</v>
      </c>
      <c r="G1261" s="161" t="s">
        <v>3125</v>
      </c>
      <c r="H1261" s="247">
        <v>0</v>
      </c>
      <c r="I1261" s="248" t="s">
        <v>3471</v>
      </c>
      <c r="J1261" s="248" t="s">
        <v>3204</v>
      </c>
      <c r="K1261" s="245"/>
      <c r="L1261" s="245"/>
      <c r="M1261" s="245"/>
      <c r="N1261" s="245"/>
      <c r="O1261" s="245"/>
      <c r="P1261" s="245"/>
      <c r="Q1261" s="246"/>
      <c r="R1261" s="233"/>
      <c r="S1261" s="234">
        <f>IF(C1261="",NA(),MATCH($B1261&amp;$C1261,'Smelter Reference List'!$J:$J,0))</f>
        <v>488</v>
      </c>
      <c r="T1261" s="235"/>
      <c r="U1261" s="235">
        <f t="shared" si="34"/>
        <v>0</v>
      </c>
      <c r="V1261" s="235"/>
      <c r="W1261" s="235"/>
      <c r="Y1261" s="228" t="str">
        <f t="shared" si="35"/>
        <v>TungstenGanzhou Seadragon W &amp; Mo Co., Ltd.</v>
      </c>
    </row>
    <row r="1262" spans="1:25" s="228" customFormat="1" ht="20.25">
      <c r="A1262" s="161" t="s">
        <v>1416</v>
      </c>
      <c r="B1262" s="408" t="s">
        <v>2326</v>
      </c>
      <c r="C1262" s="297" t="str">
        <f>IF(LEN(A1262)=0,"",INDEX('[2]Smelter Reference List'!$C$1:$C$65536,MATCH($A1262,'[2]Smelter Reference List'!$E$1:$E$65536,0)))</f>
        <v>Hunan Chunchang Nonferrous Metals Co., Ltd.</v>
      </c>
      <c r="D1262" s="161" t="s">
        <v>2661</v>
      </c>
      <c r="E1262" s="161" t="s">
        <v>2181</v>
      </c>
      <c r="F1262" s="161" t="s">
        <v>1416</v>
      </c>
      <c r="G1262" s="161" t="s">
        <v>3125</v>
      </c>
      <c r="H1262" s="247">
        <v>0</v>
      </c>
      <c r="I1262" s="248" t="s">
        <v>3407</v>
      </c>
      <c r="J1262" s="248" t="s">
        <v>3186</v>
      </c>
      <c r="K1262" s="245"/>
      <c r="L1262" s="245"/>
      <c r="M1262" s="245"/>
      <c r="N1262" s="245"/>
      <c r="O1262" s="245"/>
      <c r="P1262" s="245"/>
      <c r="Q1262" s="246"/>
      <c r="R1262" s="233"/>
      <c r="S1262" s="234">
        <f>IF(C1262="",NA(),MATCH($B1262&amp;$C1262,'Smelter Reference List'!$J:$J,0))</f>
        <v>500</v>
      </c>
      <c r="T1262" s="235"/>
      <c r="U1262" s="235">
        <f t="shared" si="34"/>
        <v>0</v>
      </c>
      <c r="V1262" s="235"/>
      <c r="W1262" s="235"/>
      <c r="Y1262" s="228" t="str">
        <f t="shared" si="35"/>
        <v>TungstenHunan Chunchang Nonferrous Metals Co., Ltd.</v>
      </c>
    </row>
    <row r="1263" spans="1:25" s="228" customFormat="1" ht="20.25">
      <c r="A1263" s="161" t="s">
        <v>206</v>
      </c>
      <c r="B1263" s="408" t="s">
        <v>2326</v>
      </c>
      <c r="C1263" s="297" t="str">
        <f>IF(LEN(A1263)=0,"",INDEX('[2]Smelter Reference List'!$C$1:$C$65536,MATCH($A1263,'[2]Smelter Reference List'!$E$1:$E$65536,0)))</f>
        <v>Xiamen Tungsten (H.C.) Co., Ltd.</v>
      </c>
      <c r="D1263" s="161" t="s">
        <v>218</v>
      </c>
      <c r="E1263" s="161" t="s">
        <v>2181</v>
      </c>
      <c r="F1263" s="161" t="s">
        <v>206</v>
      </c>
      <c r="G1263" s="161" t="s">
        <v>3125</v>
      </c>
      <c r="H1263" s="247">
        <v>0</v>
      </c>
      <c r="I1263" s="248" t="s">
        <v>3569</v>
      </c>
      <c r="J1263" s="248" t="s">
        <v>3332</v>
      </c>
      <c r="K1263" s="245"/>
      <c r="L1263" s="245"/>
      <c r="M1263" s="245"/>
      <c r="N1263" s="245"/>
      <c r="O1263" s="245"/>
      <c r="P1263" s="245"/>
      <c r="Q1263" s="246"/>
      <c r="R1263" s="233"/>
      <c r="S1263" s="234">
        <f>IF(C1263="",NA(),MATCH($B1263&amp;$C1263,'Smelter Reference List'!$J:$J,0))</f>
        <v>531</v>
      </c>
      <c r="T1263" s="235"/>
      <c r="U1263" s="235">
        <f t="shared" si="34"/>
        <v>0</v>
      </c>
      <c r="V1263" s="235"/>
      <c r="W1263" s="235"/>
      <c r="Y1263" s="228" t="str">
        <f t="shared" si="35"/>
        <v>TungstenXiamen Tungsten (H.C.) Co., Ltd.</v>
      </c>
    </row>
    <row r="1264" spans="1:25" s="228" customFormat="1" ht="20.25">
      <c r="A1264" s="161" t="s">
        <v>1423</v>
      </c>
      <c r="B1264" s="408" t="s">
        <v>2326</v>
      </c>
      <c r="C1264" s="297" t="str">
        <f>IF(LEN(A1264)=0,"",INDEX('[2]Smelter Reference List'!$C$1:$C$65536,MATCH($A1264,'[2]Smelter Reference List'!$E$1:$E$65536,0)))</f>
        <v>Xiamen Tungsten Co., Ltd.</v>
      </c>
      <c r="D1264" s="161" t="s">
        <v>2663</v>
      </c>
      <c r="E1264" s="161" t="s">
        <v>2181</v>
      </c>
      <c r="F1264" s="161" t="s">
        <v>1423</v>
      </c>
      <c r="G1264" s="161" t="s">
        <v>3125</v>
      </c>
      <c r="H1264" s="247">
        <v>0</v>
      </c>
      <c r="I1264" s="248" t="s">
        <v>3569</v>
      </c>
      <c r="J1264" s="248" t="s">
        <v>3332</v>
      </c>
      <c r="K1264" s="245"/>
      <c r="L1264" s="245"/>
      <c r="M1264" s="245"/>
      <c r="N1264" s="245"/>
      <c r="O1264" s="245"/>
      <c r="P1264" s="245"/>
      <c r="Q1264" s="246"/>
      <c r="R1264" s="233"/>
      <c r="S1264" s="234">
        <f>IF(C1264="",NA(),MATCH($B1264&amp;$C1264,'Smelter Reference List'!$J:$J,0))</f>
        <v>532</v>
      </c>
      <c r="T1264" s="235"/>
      <c r="U1264" s="235">
        <f t="shared" si="34"/>
        <v>0</v>
      </c>
      <c r="V1264" s="235"/>
      <c r="W1264" s="235"/>
      <c r="Y1264" s="228" t="str">
        <f t="shared" si="35"/>
        <v>TungstenXiamen Tungsten Co., Ltd.</v>
      </c>
    </row>
    <row r="1265" spans="1:25" s="228" customFormat="1" ht="20.25">
      <c r="A1265" s="161" t="s">
        <v>1378</v>
      </c>
      <c r="B1265" s="408" t="s">
        <v>2324</v>
      </c>
      <c r="C1265" s="297" t="str">
        <f>IF(LEN(A1265)=0,"",INDEX('[2]Smelter Reference List'!$C$1:$C$65536,MATCH($A1265,'[2]Smelter Reference List'!$E$1:$E$65536,0)))</f>
        <v>Malaysia Smelting Corporation (MSC)</v>
      </c>
      <c r="D1265" s="161" t="s">
        <v>1471</v>
      </c>
      <c r="E1265" s="161" t="s">
        <v>2289</v>
      </c>
      <c r="F1265" s="161" t="s">
        <v>1378</v>
      </c>
      <c r="G1265" s="161" t="s">
        <v>3125</v>
      </c>
      <c r="H1265" s="247">
        <v>0</v>
      </c>
      <c r="I1265" s="248" t="s">
        <v>3481</v>
      </c>
      <c r="J1265" s="248" t="s">
        <v>3482</v>
      </c>
      <c r="K1265" s="245"/>
      <c r="L1265" s="245"/>
      <c r="M1265" s="245"/>
      <c r="N1265" s="245"/>
      <c r="O1265" s="245"/>
      <c r="P1265" s="245"/>
      <c r="Q1265" s="246"/>
      <c r="R1265" s="233"/>
      <c r="S1265" s="234">
        <f>IF(C1265="",NA(),MATCH($B1265&amp;$C1265,'Smelter Reference List'!$J:$J,0))</f>
        <v>377</v>
      </c>
      <c r="T1265" s="235"/>
      <c r="U1265" s="235">
        <f t="shared" si="34"/>
        <v>0</v>
      </c>
      <c r="V1265" s="235"/>
      <c r="W1265" s="235"/>
      <c r="Y1265" s="228" t="str">
        <f t="shared" si="35"/>
        <v>TinMalaysia Smelting Corporation (MSC)</v>
      </c>
    </row>
    <row r="1266" spans="1:25" s="228" customFormat="1" ht="20.25">
      <c r="A1266" s="161" t="s">
        <v>1406</v>
      </c>
      <c r="B1266" s="408" t="s">
        <v>2324</v>
      </c>
      <c r="C1266" s="297" t="str">
        <f>IF(LEN(A1266)=0,"",INDEX('[2]Smelter Reference List'!$C$1:$C$65536,MATCH($A1266,'[2]Smelter Reference List'!$E$1:$E$65536,0)))</f>
        <v>Yunnan Chengfeng Non-ferrous Metals Co., Ltd.</v>
      </c>
      <c r="D1266" s="161" t="s">
        <v>4183</v>
      </c>
      <c r="E1266" s="161" t="s">
        <v>2181</v>
      </c>
      <c r="F1266" s="161" t="s">
        <v>1406</v>
      </c>
      <c r="G1266" s="161" t="s">
        <v>3125</v>
      </c>
      <c r="H1266" s="247">
        <v>0</v>
      </c>
      <c r="I1266" s="248" t="s">
        <v>3468</v>
      </c>
      <c r="J1266" s="248" t="s">
        <v>3161</v>
      </c>
      <c r="K1266" s="245"/>
      <c r="L1266" s="245"/>
      <c r="M1266" s="245"/>
      <c r="N1266" s="245"/>
      <c r="O1266" s="245"/>
      <c r="P1266" s="245"/>
      <c r="Q1266" s="246"/>
      <c r="R1266" s="233"/>
      <c r="S1266" s="234">
        <f>IF(C1266="",NA(),MATCH($B1266&amp;$C1266,'Smelter Reference List'!$J:$J,0))</f>
        <v>459</v>
      </c>
      <c r="T1266" s="235"/>
      <c r="U1266" s="235">
        <f t="shared" si="34"/>
        <v>0</v>
      </c>
      <c r="V1266" s="235"/>
      <c r="W1266" s="235"/>
      <c r="Y1266" s="228" t="str">
        <f t="shared" si="35"/>
        <v>TinYunnan Chengfeng Non-ferrous Metals Co., Ltd.</v>
      </c>
    </row>
    <row r="1267" spans="1:25" s="228" customFormat="1" ht="20.25">
      <c r="A1267" s="161" t="s">
        <v>1399</v>
      </c>
      <c r="B1267" s="408" t="s">
        <v>2324</v>
      </c>
      <c r="C1267" s="297" t="str">
        <f>IF(LEN(A1267)=0,"",INDEX('[2]Smelter Reference List'!$C$1:$C$65536,MATCH($A1267,'[2]Smelter Reference List'!$E$1:$E$65536,0)))</f>
        <v>PT Timah (Persero) Tbk Mentok</v>
      </c>
      <c r="D1267" s="161" t="s">
        <v>4266</v>
      </c>
      <c r="E1267" s="161" t="s">
        <v>2238</v>
      </c>
      <c r="F1267" s="161" t="s">
        <v>1399</v>
      </c>
      <c r="G1267" s="161" t="s">
        <v>3125</v>
      </c>
      <c r="H1267" s="247">
        <v>0</v>
      </c>
      <c r="I1267" s="248" t="s">
        <v>3507</v>
      </c>
      <c r="J1267" s="248" t="s">
        <v>3454</v>
      </c>
      <c r="K1267" s="245"/>
      <c r="L1267" s="245"/>
      <c r="M1267" s="245"/>
      <c r="N1267" s="245"/>
      <c r="O1267" s="245"/>
      <c r="P1267" s="245"/>
      <c r="Q1267" s="246"/>
      <c r="R1267" s="233"/>
      <c r="S1267" s="234">
        <f>IF(C1267="",NA(),MATCH($B1267&amp;$C1267,'Smelter Reference List'!$J:$J,0))</f>
        <v>432</v>
      </c>
      <c r="T1267" s="235"/>
      <c r="U1267" s="235">
        <f t="shared" si="34"/>
        <v>0</v>
      </c>
      <c r="V1267" s="235"/>
      <c r="W1267" s="235"/>
      <c r="Y1267" s="228" t="str">
        <f t="shared" si="35"/>
        <v>TinPT Timah (Persero) Tbk Mentok</v>
      </c>
    </row>
    <row r="1268" spans="1:25" s="228" customFormat="1" ht="20.25">
      <c r="A1268" s="161" t="s">
        <v>1378</v>
      </c>
      <c r="B1268" s="408" t="s">
        <v>2324</v>
      </c>
      <c r="C1268" s="297" t="str">
        <f>IF(LEN(A1268)=0,"",INDEX('[2]Smelter Reference List'!$C$1:$C$65536,MATCH($A1268,'[2]Smelter Reference List'!$E$1:$E$65536,0)))</f>
        <v>Malaysia Smelting Corporation (MSC)</v>
      </c>
      <c r="D1268" s="161" t="s">
        <v>1471</v>
      </c>
      <c r="E1268" s="161" t="s">
        <v>2289</v>
      </c>
      <c r="F1268" s="161" t="s">
        <v>1378</v>
      </c>
      <c r="G1268" s="161" t="s">
        <v>3125</v>
      </c>
      <c r="H1268" s="247">
        <v>0</v>
      </c>
      <c r="I1268" s="248" t="s">
        <v>3481</v>
      </c>
      <c r="J1268" s="248" t="s">
        <v>3482</v>
      </c>
      <c r="K1268" s="245"/>
      <c r="L1268" s="245"/>
      <c r="M1268" s="245"/>
      <c r="N1268" s="245"/>
      <c r="O1268" s="245"/>
      <c r="P1268" s="245"/>
      <c r="Q1268" s="246"/>
      <c r="R1268" s="233"/>
      <c r="S1268" s="234">
        <f>IF(C1268="",NA(),MATCH($B1268&amp;$C1268,'Smelter Reference List'!$J:$J,0))</f>
        <v>377</v>
      </c>
      <c r="T1268" s="235"/>
      <c r="U1268" s="235">
        <f t="shared" si="34"/>
        <v>0</v>
      </c>
      <c r="V1268" s="235"/>
      <c r="W1268" s="235"/>
      <c r="Y1268" s="228" t="str">
        <f t="shared" si="35"/>
        <v>TinMalaysia Smelting Corporation (MSC)</v>
      </c>
    </row>
    <row r="1269" spans="1:25" s="228" customFormat="1" ht="20.25">
      <c r="A1269" s="161" t="s">
        <v>1372</v>
      </c>
      <c r="B1269" s="408" t="s">
        <v>2324</v>
      </c>
      <c r="C1269" s="297" t="str">
        <f>IF(LEN(A1269)=0,"",INDEX('[2]Smelter Reference List'!$C$1:$C$65536,MATCH($A1269,'[2]Smelter Reference List'!$E$1:$E$65536,0)))</f>
        <v>Gejiu Non-Ferrous Metal Processing Co., Ltd.</v>
      </c>
      <c r="D1269" s="161" t="s">
        <v>4152</v>
      </c>
      <c r="E1269" s="161" t="s">
        <v>2181</v>
      </c>
      <c r="F1269" s="161" t="s">
        <v>1372</v>
      </c>
      <c r="G1269" s="161" t="s">
        <v>3125</v>
      </c>
      <c r="H1269" s="247">
        <v>0</v>
      </c>
      <c r="I1269" s="248" t="s">
        <v>3468</v>
      </c>
      <c r="J1269" s="248" t="s">
        <v>3161</v>
      </c>
      <c r="K1269" s="245"/>
      <c r="L1269" s="245"/>
      <c r="M1269" s="245"/>
      <c r="N1269" s="245"/>
      <c r="O1269" s="245"/>
      <c r="P1269" s="245"/>
      <c r="Q1269" s="246"/>
      <c r="R1269" s="233"/>
      <c r="S1269" s="234">
        <f>IF(C1269="",NA(),MATCH($B1269&amp;$C1269,'Smelter Reference List'!$J:$J,0))</f>
        <v>353</v>
      </c>
      <c r="T1269" s="235"/>
      <c r="U1269" s="235">
        <f t="shared" si="34"/>
        <v>0</v>
      </c>
      <c r="V1269" s="235"/>
      <c r="W1269" s="235"/>
      <c r="Y1269" s="228" t="str">
        <f t="shared" si="35"/>
        <v>TinGejiu Non-Ferrous Metal Processing Co., Ltd.</v>
      </c>
    </row>
    <row r="1270" spans="1:25" s="228" customFormat="1" ht="20.25">
      <c r="A1270" s="161" t="s">
        <v>1389</v>
      </c>
      <c r="B1270" s="408" t="s">
        <v>2324</v>
      </c>
      <c r="C1270" s="297" t="str">
        <f>IF(LEN(A1270)=0,"",INDEX('[2]Smelter Reference List'!$C$1:$C$65536,MATCH($A1270,'[2]Smelter Reference List'!$E$1:$E$65536,0)))</f>
        <v>PT Bukit Timah</v>
      </c>
      <c r="D1270" s="161" t="s">
        <v>1194</v>
      </c>
      <c r="E1270" s="161" t="s">
        <v>2238</v>
      </c>
      <c r="F1270" s="161" t="s">
        <v>1389</v>
      </c>
      <c r="G1270" s="161" t="s">
        <v>3125</v>
      </c>
      <c r="H1270" s="247">
        <v>0</v>
      </c>
      <c r="I1270" s="248" t="s">
        <v>3457</v>
      </c>
      <c r="J1270" s="248" t="s">
        <v>3454</v>
      </c>
      <c r="K1270" s="245"/>
      <c r="L1270" s="245"/>
      <c r="M1270" s="245"/>
      <c r="N1270" s="245"/>
      <c r="O1270" s="245"/>
      <c r="P1270" s="245"/>
      <c r="Q1270" s="246"/>
      <c r="R1270" s="233"/>
      <c r="S1270" s="234">
        <f>IF(C1270="",NA(),MATCH($B1270&amp;$C1270,'Smelter Reference List'!$J:$J,0))</f>
        <v>408</v>
      </c>
      <c r="T1270" s="235"/>
      <c r="U1270" s="235">
        <f t="shared" si="34"/>
        <v>0</v>
      </c>
      <c r="V1270" s="235"/>
      <c r="W1270" s="235"/>
      <c r="Y1270" s="228" t="str">
        <f t="shared" si="35"/>
        <v>TinPT Bukit Timah</v>
      </c>
    </row>
    <row r="1271" spans="1:25" s="228" customFormat="1" ht="20.25">
      <c r="A1271" s="161" t="s">
        <v>1407</v>
      </c>
      <c r="B1271" s="408" t="s">
        <v>2324</v>
      </c>
      <c r="C1271" s="297" t="str">
        <f>IF(LEN(A1271)=0,"",INDEX('[2]Smelter Reference List'!$C$1:$C$65536,MATCH($A1271,'[2]Smelter Reference List'!$E$1:$E$65536,0)))</f>
        <v>Yunnan Tin Company Limited</v>
      </c>
      <c r="D1271" s="161" t="s">
        <v>4749</v>
      </c>
      <c r="E1271" s="161" t="s">
        <v>2181</v>
      </c>
      <c r="F1271" s="161" t="s">
        <v>1407</v>
      </c>
      <c r="G1271" s="161" t="s">
        <v>3125</v>
      </c>
      <c r="H1271" s="247">
        <v>0</v>
      </c>
      <c r="I1271" s="248" t="s">
        <v>3468</v>
      </c>
      <c r="J1271" s="248" t="s">
        <v>3161</v>
      </c>
      <c r="K1271" s="245"/>
      <c r="L1271" s="245"/>
      <c r="M1271" s="245"/>
      <c r="N1271" s="245"/>
      <c r="O1271" s="245"/>
      <c r="P1271" s="245"/>
      <c r="Q1271" s="246"/>
      <c r="R1271" s="233"/>
      <c r="S1271" s="234">
        <f>IF(C1271="",NA(),MATCH($B1271&amp;$C1271,'Smelter Reference List'!$J:$J,0))</f>
        <v>462</v>
      </c>
      <c r="T1271" s="235"/>
      <c r="U1271" s="235">
        <f t="shared" si="34"/>
        <v>0</v>
      </c>
      <c r="V1271" s="235"/>
      <c r="W1271" s="235"/>
      <c r="Y1271" s="228" t="str">
        <f t="shared" si="35"/>
        <v>TinYunnan Tin Company Limited</v>
      </c>
    </row>
    <row r="1272" spans="1:25" s="228" customFormat="1" ht="20.25">
      <c r="A1272" s="161" t="s">
        <v>1316</v>
      </c>
      <c r="B1272" s="408" t="s">
        <v>2323</v>
      </c>
      <c r="C1272" s="297" t="str">
        <f>IF(LEN(A1272)=0,"",INDEX('[2]Smelter Reference List'!$C$1:$C$65536,MATCH($A1272,'[2]Smelter Reference List'!$E$1:$E$65536,0)))</f>
        <v>Shandong Zhaojin Gold &amp; Silver Refinery Co., Ltd.</v>
      </c>
      <c r="D1272" s="161" t="s">
        <v>4174</v>
      </c>
      <c r="E1272" s="161" t="s">
        <v>2181</v>
      </c>
      <c r="F1272" s="161" t="s">
        <v>1316</v>
      </c>
      <c r="G1272" s="161" t="s">
        <v>3125</v>
      </c>
      <c r="H1272" s="247">
        <v>0</v>
      </c>
      <c r="I1272" s="248" t="s">
        <v>3185</v>
      </c>
      <c r="J1272" s="248" t="s">
        <v>3264</v>
      </c>
      <c r="K1272" s="245"/>
      <c r="L1272" s="245"/>
      <c r="M1272" s="245"/>
      <c r="N1272" s="245"/>
      <c r="O1272" s="245"/>
      <c r="P1272" s="245"/>
      <c r="Q1272" s="246"/>
      <c r="R1272" s="233"/>
      <c r="S1272" s="234">
        <f>IF(C1272="",NA(),MATCH($B1272&amp;$C1272,'Smelter Reference List'!$J:$J,0))</f>
        <v>176</v>
      </c>
      <c r="T1272" s="235"/>
      <c r="U1272" s="235">
        <f t="shared" si="34"/>
        <v>0</v>
      </c>
      <c r="V1272" s="235"/>
      <c r="W1272" s="235"/>
      <c r="Y1272" s="228" t="str">
        <f t="shared" si="35"/>
        <v>GoldShandong Zhaojin Gold &amp; Silver Refinery Co., Ltd.</v>
      </c>
    </row>
    <row r="1273" spans="1:25" s="228" customFormat="1" ht="20.25">
      <c r="A1273" s="161" t="s">
        <v>1324</v>
      </c>
      <c r="B1273" s="408" t="s">
        <v>2323</v>
      </c>
      <c r="C1273" s="297" t="str">
        <f>IF(LEN(A1273)=0,"",INDEX('[2]Smelter Reference List'!$C$1:$C$65536,MATCH($A1273,'[2]Smelter Reference List'!$E$1:$E$65536,0)))</f>
        <v>The Refinery of Shandong Gold Mining Co., Ltd.</v>
      </c>
      <c r="D1273" s="161" t="s">
        <v>4177</v>
      </c>
      <c r="E1273" s="161" t="s">
        <v>2181</v>
      </c>
      <c r="F1273" s="161" t="s">
        <v>1324</v>
      </c>
      <c r="G1273" s="161" t="s">
        <v>3125</v>
      </c>
      <c r="H1273" s="247">
        <v>0</v>
      </c>
      <c r="I1273" s="248" t="s">
        <v>3286</v>
      </c>
      <c r="J1273" s="248" t="s">
        <v>3263</v>
      </c>
      <c r="K1273" s="245"/>
      <c r="L1273" s="245"/>
      <c r="M1273" s="245"/>
      <c r="N1273" s="245"/>
      <c r="O1273" s="245"/>
      <c r="P1273" s="245"/>
      <c r="Q1273" s="246"/>
      <c r="R1273" s="233"/>
      <c r="S1273" s="234">
        <f>IF(C1273="",NA(),MATCH($B1273&amp;$C1273,'Smelter Reference List'!$J:$J,0))</f>
        <v>204</v>
      </c>
      <c r="T1273" s="235"/>
      <c r="U1273" s="235">
        <f t="shared" si="34"/>
        <v>0</v>
      </c>
      <c r="V1273" s="235"/>
      <c r="W1273" s="235"/>
      <c r="Y1273" s="228" t="str">
        <f t="shared" si="35"/>
        <v>GoldThe Refinery of Shandong Gold Mining Co., Ltd.</v>
      </c>
    </row>
    <row r="1274" spans="1:25" s="228" customFormat="1" ht="20.25">
      <c r="A1274" s="161" t="s">
        <v>1264</v>
      </c>
      <c r="B1274" s="408" t="s">
        <v>2323</v>
      </c>
      <c r="C1274" s="297" t="str">
        <f>IF(LEN(A1274)=0,"",INDEX('[2]Smelter Reference List'!$C$1:$C$65536,MATCH($A1274,'[2]Smelter Reference List'!$E$1:$E$65536,0)))</f>
        <v>Heraeus Ltd. Hong Kong</v>
      </c>
      <c r="D1274" s="161" t="s">
        <v>72</v>
      </c>
      <c r="E1274" s="161" t="s">
        <v>2181</v>
      </c>
      <c r="F1274" s="161" t="s">
        <v>1264</v>
      </c>
      <c r="G1274" s="161" t="s">
        <v>3125</v>
      </c>
      <c r="H1274" s="247">
        <v>0</v>
      </c>
      <c r="I1274" s="248" t="s">
        <v>3190</v>
      </c>
      <c r="J1274" s="248" t="s">
        <v>3191</v>
      </c>
      <c r="K1274" s="245"/>
      <c r="L1274" s="245"/>
      <c r="M1274" s="245"/>
      <c r="N1274" s="245"/>
      <c r="O1274" s="245"/>
      <c r="P1274" s="245"/>
      <c r="Q1274" s="246"/>
      <c r="R1274" s="233"/>
      <c r="S1274" s="234">
        <f>IF(C1274="",NA(),MATCH($B1274&amp;$C1274,'Smelter Reference List'!$J:$J,0))</f>
        <v>75</v>
      </c>
      <c r="T1274" s="235"/>
      <c r="U1274" s="235">
        <f t="shared" si="34"/>
        <v>0</v>
      </c>
      <c r="V1274" s="235"/>
      <c r="W1274" s="235"/>
      <c r="Y1274" s="228" t="str">
        <f t="shared" si="35"/>
        <v>GoldHeraeus Ltd. Hong Kong</v>
      </c>
    </row>
    <row r="1275" spans="1:25" s="228" customFormat="1" ht="20.25">
      <c r="A1275" s="161" t="s">
        <v>1316</v>
      </c>
      <c r="B1275" s="408" t="s">
        <v>2323</v>
      </c>
      <c r="C1275" s="297" t="str">
        <f>IF(LEN(A1275)=0,"",INDEX('[2]Smelter Reference List'!$C$1:$C$65536,MATCH($A1275,'[2]Smelter Reference List'!$E$1:$E$65536,0)))</f>
        <v>Shandong Zhaojin Gold &amp; Silver Refinery Co., Ltd.</v>
      </c>
      <c r="D1275" s="161" t="s">
        <v>4174</v>
      </c>
      <c r="E1275" s="161" t="s">
        <v>2181</v>
      </c>
      <c r="F1275" s="161" t="s">
        <v>1316</v>
      </c>
      <c r="G1275" s="161" t="s">
        <v>3125</v>
      </c>
      <c r="H1275" s="247">
        <v>0</v>
      </c>
      <c r="I1275" s="248" t="s">
        <v>3185</v>
      </c>
      <c r="J1275" s="248" t="s">
        <v>3264</v>
      </c>
      <c r="K1275" s="245"/>
      <c r="L1275" s="245"/>
      <c r="M1275" s="245"/>
      <c r="N1275" s="245"/>
      <c r="O1275" s="245"/>
      <c r="P1275" s="245"/>
      <c r="Q1275" s="246"/>
      <c r="R1275" s="233"/>
      <c r="S1275" s="234">
        <f>IF(C1275="",NA(),MATCH($B1275&amp;$C1275,'Smelter Reference List'!$J:$J,0))</f>
        <v>176</v>
      </c>
      <c r="T1275" s="235"/>
      <c r="U1275" s="235">
        <f t="shared" si="34"/>
        <v>0</v>
      </c>
      <c r="V1275" s="235"/>
      <c r="W1275" s="235"/>
      <c r="Y1275" s="228" t="str">
        <f t="shared" si="35"/>
        <v>GoldShandong Zhaojin Gold &amp; Silver Refinery Co., Ltd.</v>
      </c>
    </row>
    <row r="1276" spans="1:25" s="228" customFormat="1" ht="20.25">
      <c r="A1276" s="161" t="s">
        <v>1293</v>
      </c>
      <c r="B1276" s="408" t="s">
        <v>2323</v>
      </c>
      <c r="C1276" s="297" t="str">
        <f>IF(LEN(A1276)=0,"",INDEX('[2]Smelter Reference List'!$C$1:$C$65536,MATCH($A1276,'[2]Smelter Reference List'!$E$1:$E$65536,0)))</f>
        <v>Metalor Technologies S.A.</v>
      </c>
      <c r="D1276" s="161" t="s">
        <v>4697</v>
      </c>
      <c r="E1276" s="161" t="s">
        <v>2179</v>
      </c>
      <c r="F1276" s="161" t="s">
        <v>1293</v>
      </c>
      <c r="G1276" s="161" t="s">
        <v>3125</v>
      </c>
      <c r="H1276" s="247">
        <v>0</v>
      </c>
      <c r="I1276" s="248" t="s">
        <v>3239</v>
      </c>
      <c r="J1276" s="248" t="s">
        <v>3240</v>
      </c>
      <c r="K1276" s="245"/>
      <c r="L1276" s="245"/>
      <c r="M1276" s="245"/>
      <c r="N1276" s="245"/>
      <c r="O1276" s="245"/>
      <c r="P1276" s="245"/>
      <c r="Q1276" s="246"/>
      <c r="R1276" s="233"/>
      <c r="S1276" s="234">
        <f>IF(C1276="",NA(),MATCH($B1276&amp;$C1276,'Smelter Reference List'!$J:$J,0))</f>
        <v>123</v>
      </c>
      <c r="T1276" s="235"/>
      <c r="U1276" s="235">
        <f t="shared" si="34"/>
        <v>0</v>
      </c>
      <c r="V1276" s="235"/>
      <c r="W1276" s="235"/>
      <c r="Y1276" s="228" t="str">
        <f t="shared" si="35"/>
        <v>GoldMetalor Technologies S.A.</v>
      </c>
    </row>
    <row r="1277" spans="1:25" s="228" customFormat="1" ht="20.25">
      <c r="A1277" s="161" t="s">
        <v>1293</v>
      </c>
      <c r="B1277" s="408" t="s">
        <v>2323</v>
      </c>
      <c r="C1277" s="297" t="str">
        <f>IF(LEN(A1277)=0,"",INDEX('[2]Smelter Reference List'!$C$1:$C$65536,MATCH($A1277,'[2]Smelter Reference List'!$E$1:$E$65536,0)))</f>
        <v>Metalor Technologies S.A.</v>
      </c>
      <c r="D1277" s="161" t="s">
        <v>4697</v>
      </c>
      <c r="E1277" s="161" t="s">
        <v>2179</v>
      </c>
      <c r="F1277" s="161" t="s">
        <v>1293</v>
      </c>
      <c r="G1277" s="161" t="s">
        <v>3125</v>
      </c>
      <c r="H1277" s="247">
        <v>0</v>
      </c>
      <c r="I1277" s="248" t="s">
        <v>3239</v>
      </c>
      <c r="J1277" s="248" t="s">
        <v>3240</v>
      </c>
      <c r="K1277" s="245"/>
      <c r="L1277" s="245"/>
      <c r="M1277" s="245"/>
      <c r="N1277" s="245"/>
      <c r="O1277" s="245"/>
      <c r="P1277" s="245"/>
      <c r="Q1277" s="246"/>
      <c r="R1277" s="233"/>
      <c r="S1277" s="234">
        <f>IF(C1277="",NA(),MATCH($B1277&amp;$C1277,'Smelter Reference List'!$J:$J,0))</f>
        <v>123</v>
      </c>
      <c r="T1277" s="235"/>
      <c r="U1277" s="235">
        <f t="shared" si="34"/>
        <v>0</v>
      </c>
      <c r="V1277" s="235"/>
      <c r="W1277" s="235"/>
      <c r="Y1277" s="228" t="str">
        <f t="shared" si="35"/>
        <v>GoldMetalor Technologies S.A.</v>
      </c>
    </row>
    <row r="1278" spans="1:25" s="228" customFormat="1" ht="20.25">
      <c r="A1278" s="161" t="s">
        <v>1407</v>
      </c>
      <c r="B1278" s="408" t="s">
        <v>2324</v>
      </c>
      <c r="C1278" s="297" t="str">
        <f>IF(LEN(A1278)=0,"",INDEX('[2]Smelter Reference List'!$C$1:$C$65536,MATCH($A1278,'[2]Smelter Reference List'!$E$1:$E$65536,0)))</f>
        <v>Yunnan Tin Company Limited</v>
      </c>
      <c r="D1278" s="161" t="s">
        <v>4749</v>
      </c>
      <c r="E1278" s="161" t="s">
        <v>2181</v>
      </c>
      <c r="F1278" s="161" t="s">
        <v>1407</v>
      </c>
      <c r="G1278" s="161" t="s">
        <v>3125</v>
      </c>
      <c r="H1278" s="247">
        <v>0</v>
      </c>
      <c r="I1278" s="248" t="s">
        <v>3468</v>
      </c>
      <c r="J1278" s="248" t="s">
        <v>3161</v>
      </c>
      <c r="K1278" s="245"/>
      <c r="L1278" s="245"/>
      <c r="M1278" s="245"/>
      <c r="N1278" s="245"/>
      <c r="O1278" s="245"/>
      <c r="P1278" s="245"/>
      <c r="Q1278" s="246"/>
      <c r="R1278" s="233"/>
      <c r="S1278" s="234">
        <f>IF(C1278="",NA(),MATCH($B1278&amp;$C1278,'Smelter Reference List'!$J:$J,0))</f>
        <v>462</v>
      </c>
      <c r="T1278" s="235"/>
      <c r="U1278" s="235">
        <f t="shared" si="34"/>
        <v>0</v>
      </c>
      <c r="V1278" s="235"/>
      <c r="W1278" s="235"/>
      <c r="Y1278" s="228" t="str">
        <f t="shared" si="35"/>
        <v>TinYunnan Tin Company Limited</v>
      </c>
    </row>
    <row r="1279" spans="1:25" s="228" customFormat="1" ht="20.25">
      <c r="A1279" s="161" t="s">
        <v>1316</v>
      </c>
      <c r="B1279" s="408" t="s">
        <v>2323</v>
      </c>
      <c r="C1279" s="297" t="str">
        <f>IF(LEN(A1279)=0,"",INDEX('[2]Smelter Reference List'!$C$1:$C$65536,MATCH($A1279,'[2]Smelter Reference List'!$E$1:$E$65536,0)))</f>
        <v>Shandong Zhaojin Gold &amp; Silver Refinery Co., Ltd.</v>
      </c>
      <c r="D1279" s="161" t="s">
        <v>4174</v>
      </c>
      <c r="E1279" s="161" t="s">
        <v>2181</v>
      </c>
      <c r="F1279" s="161" t="s">
        <v>1316</v>
      </c>
      <c r="G1279" s="161" t="s">
        <v>3125</v>
      </c>
      <c r="H1279" s="247">
        <v>0</v>
      </c>
      <c r="I1279" s="248" t="s">
        <v>3185</v>
      </c>
      <c r="J1279" s="248" t="s">
        <v>3264</v>
      </c>
      <c r="K1279" s="245"/>
      <c r="L1279" s="245"/>
      <c r="M1279" s="245"/>
      <c r="N1279" s="245"/>
      <c r="O1279" s="245"/>
      <c r="P1279" s="245"/>
      <c r="Q1279" s="246"/>
      <c r="R1279" s="233"/>
      <c r="S1279" s="234">
        <f>IF(C1279="",NA(),MATCH($B1279&amp;$C1279,'Smelter Reference List'!$J:$J,0))</f>
        <v>176</v>
      </c>
      <c r="T1279" s="235"/>
      <c r="U1279" s="235">
        <f t="shared" si="34"/>
        <v>0</v>
      </c>
      <c r="V1279" s="235"/>
      <c r="W1279" s="235"/>
      <c r="Y1279" s="228" t="str">
        <f t="shared" si="35"/>
        <v>GoldShandong Zhaojin Gold &amp; Silver Refinery Co., Ltd.</v>
      </c>
    </row>
    <row r="1280" spans="1:25" s="228" customFormat="1" ht="20.25">
      <c r="A1280" s="161" t="s">
        <v>1235</v>
      </c>
      <c r="B1280" s="423" t="s">
        <v>2323</v>
      </c>
      <c r="C1280" s="297" t="str">
        <f>IF(LEN(A1280)=0,"",INDEX('[2]Smelter Reference List'!$C$1:$C$65536,MATCH($A1280,'[2]Smelter Reference List'!$E$1:$E$65536,0)))</f>
        <v>Allgemeine Gold-und Silberscheideanstalt A.G.</v>
      </c>
      <c r="D1280" s="161" t="s">
        <v>70</v>
      </c>
      <c r="E1280" s="161" t="s">
        <v>2195</v>
      </c>
      <c r="F1280" s="161" t="s">
        <v>1235</v>
      </c>
      <c r="G1280" s="161" t="s">
        <v>3125</v>
      </c>
      <c r="H1280" s="247">
        <v>0</v>
      </c>
      <c r="I1280" s="248" t="s">
        <v>3130</v>
      </c>
      <c r="J1280" s="248" t="s">
        <v>3131</v>
      </c>
      <c r="K1280" s="245"/>
      <c r="L1280" s="245"/>
      <c r="M1280" s="245"/>
      <c r="N1280" s="245"/>
      <c r="O1280" s="245"/>
      <c r="P1280" s="245"/>
      <c r="Q1280" s="246"/>
      <c r="R1280" s="233"/>
      <c r="S1280" s="234">
        <f>IF(C1280="",NA(),MATCH($B1280&amp;$C1280,'Smelter Reference List'!$J:$J,0))</f>
        <v>11</v>
      </c>
      <c r="T1280" s="235"/>
      <c r="U1280" s="235">
        <f t="shared" si="34"/>
        <v>0</v>
      </c>
      <c r="V1280" s="235"/>
      <c r="W1280" s="235"/>
      <c r="Y1280" s="228" t="str">
        <f t="shared" si="35"/>
        <v>GoldAllgemeine Gold-und Silberscheideanstalt A.G.</v>
      </c>
    </row>
    <row r="1281" spans="1:25" s="228" customFormat="1" ht="20.25">
      <c r="A1281" s="161" t="s">
        <v>1237</v>
      </c>
      <c r="B1281" s="423" t="s">
        <v>2323</v>
      </c>
      <c r="C1281" s="297" t="str">
        <f>IF(LEN(A1281)=0,"",INDEX('[2]Smelter Reference List'!$C$1:$C$65536,MATCH($A1281,'[2]Smelter Reference List'!$E$1:$E$65536,0)))</f>
        <v>AngloGold Ashanti Córrego do Sítio Mineração</v>
      </c>
      <c r="D1281" s="161" t="s">
        <v>3134</v>
      </c>
      <c r="E1281" s="161" t="s">
        <v>2170</v>
      </c>
      <c r="F1281" s="161" t="s">
        <v>1237</v>
      </c>
      <c r="G1281" s="161" t="s">
        <v>3125</v>
      </c>
      <c r="H1281" s="247">
        <v>0</v>
      </c>
      <c r="I1281" s="248" t="s">
        <v>3135</v>
      </c>
      <c r="J1281" s="248" t="s">
        <v>3136</v>
      </c>
      <c r="K1281" s="245"/>
      <c r="L1281" s="245"/>
      <c r="M1281" s="245"/>
      <c r="N1281" s="245"/>
      <c r="O1281" s="245"/>
      <c r="P1281" s="245"/>
      <c r="Q1281" s="246"/>
      <c r="R1281" s="233"/>
      <c r="S1281" s="234">
        <f>IF(C1281="",NA(),MATCH($B1281&amp;$C1281,'Smelter Reference List'!$J:$J,0))</f>
        <v>14</v>
      </c>
      <c r="T1281" s="235"/>
      <c r="U1281" s="235">
        <f t="shared" si="34"/>
        <v>0</v>
      </c>
      <c r="V1281" s="235"/>
      <c r="W1281" s="235"/>
      <c r="Y1281" s="228" t="str">
        <f t="shared" si="35"/>
        <v>GoldAngloGold Ashanti Córrego do Sítio Mineração</v>
      </c>
    </row>
    <row r="1282" spans="1:25" s="228" customFormat="1" ht="20.25">
      <c r="A1282" s="161" t="s">
        <v>1238</v>
      </c>
      <c r="B1282" s="424" t="s">
        <v>2323</v>
      </c>
      <c r="C1282" s="297" t="str">
        <f>IF(LEN(A1282)=0,"",INDEX('[2]Smelter Reference List'!$C$1:$C$65536,MATCH($A1282,'[2]Smelter Reference List'!$E$1:$E$65536,0)))</f>
        <v>Argor-Heraeus S.A.</v>
      </c>
      <c r="D1282" s="161" t="s">
        <v>4669</v>
      </c>
      <c r="E1282" s="161" t="s">
        <v>2179</v>
      </c>
      <c r="F1282" s="161" t="s">
        <v>1238</v>
      </c>
      <c r="G1282" s="161" t="s">
        <v>3125</v>
      </c>
      <c r="H1282" s="247">
        <v>0</v>
      </c>
      <c r="I1282" s="248" t="s">
        <v>3137</v>
      </c>
      <c r="J1282" s="248" t="s">
        <v>3138</v>
      </c>
      <c r="K1282" s="245"/>
      <c r="L1282" s="245"/>
      <c r="M1282" s="245"/>
      <c r="N1282" s="245"/>
      <c r="O1282" s="245"/>
      <c r="P1282" s="245"/>
      <c r="Q1282" s="246"/>
      <c r="R1282" s="233"/>
      <c r="S1282" s="234">
        <f>IF(C1282="",NA(),MATCH($B1282&amp;$C1282,'Smelter Reference List'!$J:$J,0))</f>
        <v>17</v>
      </c>
      <c r="T1282" s="235"/>
      <c r="U1282" s="235">
        <f t="shared" si="34"/>
        <v>0</v>
      </c>
      <c r="V1282" s="235"/>
      <c r="W1282" s="235"/>
      <c r="Y1282" s="228" t="str">
        <f t="shared" si="35"/>
        <v>GoldArgor-Heraeus S.A.</v>
      </c>
    </row>
    <row r="1283" spans="1:25" s="228" customFormat="1" ht="20.25">
      <c r="A1283" s="161" t="s">
        <v>1239</v>
      </c>
      <c r="B1283" s="423" t="s">
        <v>2323</v>
      </c>
      <c r="C1283" s="297" t="str">
        <f>IF(LEN(A1283)=0,"",INDEX('[2]Smelter Reference List'!$C$1:$C$65536,MATCH($A1283,'[2]Smelter Reference List'!$E$1:$E$65536,0)))</f>
        <v>Asahi Pretec Corp.</v>
      </c>
      <c r="D1283" s="161" t="s">
        <v>4670</v>
      </c>
      <c r="E1283" s="161" t="s">
        <v>2249</v>
      </c>
      <c r="F1283" s="161" t="s">
        <v>1239</v>
      </c>
      <c r="G1283" s="161" t="s">
        <v>3125</v>
      </c>
      <c r="H1283" s="247">
        <v>0</v>
      </c>
      <c r="I1283" s="248" t="s">
        <v>3139</v>
      </c>
      <c r="J1283" s="248" t="s">
        <v>3140</v>
      </c>
      <c r="K1283" s="245"/>
      <c r="L1283" s="245"/>
      <c r="M1283" s="245"/>
      <c r="N1283" s="245"/>
      <c r="O1283" s="245"/>
      <c r="P1283" s="245"/>
      <c r="Q1283" s="246"/>
      <c r="R1283" s="233"/>
      <c r="S1283" s="234">
        <f>IF(C1283="",NA(),MATCH($B1283&amp;$C1283,'Smelter Reference List'!$J:$J,0))</f>
        <v>18</v>
      </c>
      <c r="T1283" s="235"/>
      <c r="U1283" s="235">
        <f t="shared" si="34"/>
        <v>0</v>
      </c>
      <c r="V1283" s="235"/>
      <c r="W1283" s="235"/>
      <c r="Y1283" s="228" t="str">
        <f t="shared" si="35"/>
        <v>GoldAsahi Pretec Corp.</v>
      </c>
    </row>
    <row r="1284" spans="1:25" s="228" customFormat="1" ht="20.25">
      <c r="A1284" s="161" t="s">
        <v>1239</v>
      </c>
      <c r="B1284" s="423" t="s">
        <v>2323</v>
      </c>
      <c r="C1284" s="297" t="str">
        <f>IF(LEN(A1284)=0,"",INDEX('[2]Smelter Reference List'!$C$1:$C$65536,MATCH($A1284,'[2]Smelter Reference List'!$E$1:$E$65536,0)))</f>
        <v>Asahi Pretec Corp.</v>
      </c>
      <c r="D1284" s="161" t="s">
        <v>4670</v>
      </c>
      <c r="E1284" s="161" t="s">
        <v>2249</v>
      </c>
      <c r="F1284" s="161" t="s">
        <v>1239</v>
      </c>
      <c r="G1284" s="161" t="s">
        <v>3125</v>
      </c>
      <c r="H1284" s="247">
        <v>0</v>
      </c>
      <c r="I1284" s="248" t="s">
        <v>3139</v>
      </c>
      <c r="J1284" s="248" t="s">
        <v>3140</v>
      </c>
      <c r="K1284" s="245"/>
      <c r="L1284" s="245"/>
      <c r="M1284" s="245"/>
      <c r="N1284" s="245"/>
      <c r="O1284" s="245"/>
      <c r="P1284" s="245"/>
      <c r="Q1284" s="246"/>
      <c r="R1284" s="233"/>
      <c r="S1284" s="234">
        <f>IF(C1284="",NA(),MATCH($B1284&amp;$C1284,'Smelter Reference List'!$J:$J,0))</f>
        <v>18</v>
      </c>
      <c r="T1284" s="235"/>
      <c r="U1284" s="235">
        <f t="shared" si="34"/>
        <v>0</v>
      </c>
      <c r="V1284" s="235"/>
      <c r="W1284" s="235"/>
      <c r="Y1284" s="228" t="str">
        <f t="shared" si="35"/>
        <v>GoldAsahi Pretec Corp.</v>
      </c>
    </row>
    <row r="1285" spans="1:25" s="228" customFormat="1" ht="20.25">
      <c r="A1285" s="161" t="s">
        <v>1242</v>
      </c>
      <c r="B1285" s="423" t="s">
        <v>2323</v>
      </c>
      <c r="C1285" s="297" t="str">
        <f>IF(LEN(A1285)=0,"",INDEX('[2]Smelter Reference List'!$C$1:$C$65536,MATCH($A1285,'[2]Smelter Reference List'!$E$1:$E$65536,0)))</f>
        <v>Aurubis AG</v>
      </c>
      <c r="D1285" s="161" t="s">
        <v>2448</v>
      </c>
      <c r="E1285" s="161" t="s">
        <v>2195</v>
      </c>
      <c r="F1285" s="161" t="s">
        <v>1242</v>
      </c>
      <c r="G1285" s="161" t="s">
        <v>3125</v>
      </c>
      <c r="H1285" s="247">
        <v>0</v>
      </c>
      <c r="I1285" s="248" t="s">
        <v>3146</v>
      </c>
      <c r="J1285" s="248" t="s">
        <v>3147</v>
      </c>
      <c r="K1285" s="245"/>
      <c r="L1285" s="245"/>
      <c r="M1285" s="245"/>
      <c r="N1285" s="245"/>
      <c r="O1285" s="245"/>
      <c r="P1285" s="245"/>
      <c r="Q1285" s="246"/>
      <c r="R1285" s="233"/>
      <c r="S1285" s="234">
        <f>IF(C1285="",NA(),MATCH($B1285&amp;$C1285,'Smelter Reference List'!$J:$J,0))</f>
        <v>26</v>
      </c>
      <c r="T1285" s="235"/>
      <c r="U1285" s="235">
        <f t="shared" si="34"/>
        <v>0</v>
      </c>
      <c r="V1285" s="235"/>
      <c r="W1285" s="235"/>
      <c r="Y1285" s="228" t="str">
        <f t="shared" si="35"/>
        <v>GoldAurubis AG</v>
      </c>
    </row>
    <row r="1286" spans="1:25" s="228" customFormat="1" ht="20.25">
      <c r="A1286" s="161" t="s">
        <v>1248</v>
      </c>
      <c r="B1286" s="424" t="s">
        <v>2323</v>
      </c>
      <c r="C1286" s="297" t="str">
        <f>IF(LEN(A1286)=0,"",INDEX('[2]Smelter Reference List'!$C$1:$C$65536,MATCH($A1286,'[2]Smelter Reference List'!$E$1:$E$65536,0)))</f>
        <v>CCR Refinery - Glencore Canada Corporation</v>
      </c>
      <c r="D1286" s="161" t="s">
        <v>4323</v>
      </c>
      <c r="E1286" s="161" t="s">
        <v>2177</v>
      </c>
      <c r="F1286" s="161" t="s">
        <v>1248</v>
      </c>
      <c r="G1286" s="161" t="s">
        <v>3125</v>
      </c>
      <c r="H1286" s="247">
        <v>0</v>
      </c>
      <c r="I1286" s="248" t="s">
        <v>3154</v>
      </c>
      <c r="J1286" s="248" t="s">
        <v>3155</v>
      </c>
      <c r="K1286" s="245"/>
      <c r="L1286" s="245"/>
      <c r="M1286" s="245"/>
      <c r="N1286" s="245"/>
      <c r="O1286" s="245"/>
      <c r="P1286" s="245"/>
      <c r="Q1286" s="246"/>
      <c r="R1286" s="233"/>
      <c r="S1286" s="234">
        <f>IF(C1286="",NA(),MATCH($B1286&amp;$C1286,'Smelter Reference List'!$J:$J,0))</f>
        <v>33</v>
      </c>
      <c r="T1286" s="235"/>
      <c r="U1286" s="235">
        <f t="shared" ref="U1286:U1349" si="36">IF(AND(C1286="Smelter not listed",OR(LEN(D1286)=0,LEN(E1286)=0)),1,0)</f>
        <v>0</v>
      </c>
      <c r="V1286" s="235"/>
      <c r="W1286" s="235"/>
      <c r="Y1286" s="228" t="str">
        <f t="shared" ref="Y1286:Y1349" si="37">B1286&amp;C1286</f>
        <v>GoldCCR Refinery - Glencore Canada Corporation</v>
      </c>
    </row>
    <row r="1287" spans="1:25" s="228" customFormat="1" ht="20.25">
      <c r="A1287" s="161" t="s">
        <v>1250</v>
      </c>
      <c r="B1287" s="423" t="s">
        <v>2323</v>
      </c>
      <c r="C1287" s="297" t="str">
        <f>IF(LEN(A1287)=0,"",INDEX('[2]Smelter Reference List'!$C$1:$C$65536,MATCH($A1287,'[2]Smelter Reference List'!$E$1:$E$65536,0)))</f>
        <v>Chimet S.p.A.</v>
      </c>
      <c r="D1287" s="161" t="s">
        <v>71</v>
      </c>
      <c r="E1287" s="161" t="s">
        <v>2246</v>
      </c>
      <c r="F1287" s="161" t="s">
        <v>1250</v>
      </c>
      <c r="G1287" s="161" t="s">
        <v>3125</v>
      </c>
      <c r="H1287" s="247">
        <v>0</v>
      </c>
      <c r="I1287" s="248" t="s">
        <v>3163</v>
      </c>
      <c r="J1287" s="248" t="s">
        <v>3164</v>
      </c>
      <c r="K1287" s="245"/>
      <c r="L1287" s="245"/>
      <c r="M1287" s="245"/>
      <c r="N1287" s="245"/>
      <c r="O1287" s="245"/>
      <c r="P1287" s="245"/>
      <c r="Q1287" s="246"/>
      <c r="R1287" s="233"/>
      <c r="S1287" s="234">
        <f>IF(C1287="",NA(),MATCH($B1287&amp;$C1287,'Smelter Reference List'!$J:$J,0))</f>
        <v>38</v>
      </c>
      <c r="T1287" s="235"/>
      <c r="U1287" s="235">
        <f t="shared" si="36"/>
        <v>0</v>
      </c>
      <c r="V1287" s="235"/>
      <c r="W1287" s="235"/>
      <c r="Y1287" s="228" t="str">
        <f t="shared" si="37"/>
        <v>GoldChimet S.p.A.</v>
      </c>
    </row>
    <row r="1288" spans="1:25" s="228" customFormat="1" ht="20.25">
      <c r="A1288" s="161" t="s">
        <v>1258</v>
      </c>
      <c r="B1288" s="423" t="s">
        <v>2323</v>
      </c>
      <c r="C1288" s="297" t="str">
        <f>IF(LEN(A1288)=0,"",INDEX('[2]Smelter Reference List'!$C$1:$C$65536,MATCH($A1288,'[2]Smelter Reference List'!$E$1:$E$65536,0)))</f>
        <v>Dowa</v>
      </c>
      <c r="D1288" s="161" t="s">
        <v>1788</v>
      </c>
      <c r="E1288" s="161" t="s">
        <v>2249</v>
      </c>
      <c r="F1288" s="161" t="s">
        <v>1258</v>
      </c>
      <c r="G1288" s="161" t="s">
        <v>3125</v>
      </c>
      <c r="H1288" s="247">
        <v>0</v>
      </c>
      <c r="I1288" s="248" t="s">
        <v>3173</v>
      </c>
      <c r="J1288" s="248" t="s">
        <v>3174</v>
      </c>
      <c r="K1288" s="245"/>
      <c r="L1288" s="245"/>
      <c r="M1288" s="245"/>
      <c r="N1288" s="245"/>
      <c r="O1288" s="245"/>
      <c r="P1288" s="245"/>
      <c r="Q1288" s="246"/>
      <c r="R1288" s="233"/>
      <c r="S1288" s="234">
        <f>IF(C1288="",NA(),MATCH($B1288&amp;$C1288,'Smelter Reference List'!$J:$J,0))</f>
        <v>49</v>
      </c>
      <c r="T1288" s="235"/>
      <c r="U1288" s="235">
        <f t="shared" si="36"/>
        <v>0</v>
      </c>
      <c r="V1288" s="235"/>
      <c r="W1288" s="235"/>
      <c r="Y1288" s="228" t="str">
        <f t="shared" si="37"/>
        <v>GoldDowa</v>
      </c>
    </row>
    <row r="1289" spans="1:25" s="228" customFormat="1" ht="20.25">
      <c r="A1289" s="161" t="s">
        <v>727</v>
      </c>
      <c r="B1289" s="423" t="s">
        <v>2323</v>
      </c>
      <c r="C1289" s="297" t="str">
        <f>IF(LEN(A1289)=0,"",INDEX('[2]Smelter Reference List'!$C$1:$C$65536,MATCH($A1289,'[2]Smelter Reference List'!$E$1:$E$65536,0)))</f>
        <v>Eco-System Recycling Co., Ltd.</v>
      </c>
      <c r="D1289" s="161" t="s">
        <v>726</v>
      </c>
      <c r="E1289" s="161" t="s">
        <v>2249</v>
      </c>
      <c r="F1289" s="161" t="s">
        <v>727</v>
      </c>
      <c r="G1289" s="161" t="s">
        <v>3125</v>
      </c>
      <c r="H1289" s="247">
        <v>0</v>
      </c>
      <c r="I1289" s="248" t="s">
        <v>3178</v>
      </c>
      <c r="J1289" s="248" t="s">
        <v>3179</v>
      </c>
      <c r="K1289" s="245"/>
      <c r="L1289" s="245"/>
      <c r="M1289" s="245"/>
      <c r="N1289" s="245"/>
      <c r="O1289" s="245"/>
      <c r="P1289" s="245"/>
      <c r="Q1289" s="246"/>
      <c r="R1289" s="233"/>
      <c r="S1289" s="234">
        <f>IF(C1289="",NA(),MATCH($B1289&amp;$C1289,'Smelter Reference List'!$J:$J,0))</f>
        <v>54</v>
      </c>
      <c r="T1289" s="235"/>
      <c r="U1289" s="235">
        <f t="shared" si="36"/>
        <v>0</v>
      </c>
      <c r="V1289" s="235"/>
      <c r="W1289" s="235"/>
      <c r="Y1289" s="228" t="str">
        <f t="shared" si="37"/>
        <v>GoldEco-System Recycling Co., Ltd.</v>
      </c>
    </row>
    <row r="1290" spans="1:25" s="228" customFormat="1" ht="20.25">
      <c r="A1290" s="161" t="s">
        <v>1263</v>
      </c>
      <c r="B1290" s="423" t="s">
        <v>2323</v>
      </c>
      <c r="C1290" s="297" t="str">
        <f>IF(LEN(A1290)=0,"",INDEX('[2]Smelter Reference List'!$C$1:$C$65536,MATCH($A1290,'[2]Smelter Reference List'!$E$1:$E$65536,0)))</f>
        <v>Heimerle + Meule GmbH</v>
      </c>
      <c r="D1290" s="161" t="s">
        <v>1959</v>
      </c>
      <c r="E1290" s="161" t="s">
        <v>2195</v>
      </c>
      <c r="F1290" s="161" t="s">
        <v>1263</v>
      </c>
      <c r="G1290" s="161" t="s">
        <v>3125</v>
      </c>
      <c r="H1290" s="247">
        <v>0</v>
      </c>
      <c r="I1290" s="248" t="s">
        <v>3130</v>
      </c>
      <c r="J1290" s="248" t="s">
        <v>3131</v>
      </c>
      <c r="K1290" s="245"/>
      <c r="L1290" s="245"/>
      <c r="M1290" s="245"/>
      <c r="N1290" s="245"/>
      <c r="O1290" s="245"/>
      <c r="P1290" s="245"/>
      <c r="Q1290" s="246"/>
      <c r="R1290" s="233"/>
      <c r="S1290" s="234">
        <f>IF(C1290="",NA(),MATCH($B1290&amp;$C1290,'Smelter Reference List'!$J:$J,0))</f>
        <v>71</v>
      </c>
      <c r="T1290" s="235"/>
      <c r="U1290" s="235">
        <f t="shared" si="36"/>
        <v>0</v>
      </c>
      <c r="V1290" s="235"/>
      <c r="W1290" s="235"/>
      <c r="Y1290" s="228" t="str">
        <f t="shared" si="37"/>
        <v>GoldHeimerle + Meule GmbH</v>
      </c>
    </row>
    <row r="1291" spans="1:25" s="228" customFormat="1" ht="20.25">
      <c r="A1291" s="161" t="s">
        <v>1265</v>
      </c>
      <c r="B1291" s="424" t="s">
        <v>2323</v>
      </c>
      <c r="C1291" s="297" t="str">
        <f>IF(LEN(A1291)=0,"",INDEX('[2]Smelter Reference List'!$C$1:$C$65536,MATCH($A1291,'[2]Smelter Reference List'!$E$1:$E$65536,0)))</f>
        <v>Heraeus Precious Metals GmbH &amp; Co. KG</v>
      </c>
      <c r="D1291" s="161" t="s">
        <v>2451</v>
      </c>
      <c r="E1291" s="161" t="s">
        <v>2195</v>
      </c>
      <c r="F1291" s="161" t="s">
        <v>1265</v>
      </c>
      <c r="G1291" s="161" t="s">
        <v>3125</v>
      </c>
      <c r="H1291" s="247">
        <v>0</v>
      </c>
      <c r="I1291" s="248" t="s">
        <v>3192</v>
      </c>
      <c r="J1291" s="248" t="s">
        <v>3193</v>
      </c>
      <c r="K1291" s="245"/>
      <c r="L1291" s="245"/>
      <c r="M1291" s="245"/>
      <c r="N1291" s="245"/>
      <c r="O1291" s="245"/>
      <c r="P1291" s="245"/>
      <c r="Q1291" s="246"/>
      <c r="R1291" s="233"/>
      <c r="S1291" s="234">
        <f>IF(C1291="",NA(),MATCH($B1291&amp;$C1291,'Smelter Reference List'!$J:$J,0))</f>
        <v>76</v>
      </c>
      <c r="T1291" s="235"/>
      <c r="U1291" s="235">
        <f t="shared" si="36"/>
        <v>0</v>
      </c>
      <c r="V1291" s="235"/>
      <c r="W1291" s="235"/>
      <c r="Y1291" s="228" t="str">
        <f t="shared" si="37"/>
        <v>GoldHeraeus Precious Metals GmbH &amp; Co. KG</v>
      </c>
    </row>
    <row r="1292" spans="1:25" s="228" customFormat="1" ht="20.25">
      <c r="A1292" s="161" t="s">
        <v>1269</v>
      </c>
      <c r="B1292" s="424" t="s">
        <v>2323</v>
      </c>
      <c r="C1292" s="297" t="str">
        <f>IF(LEN(A1292)=0,"",INDEX('[2]Smelter Reference List'!$C$1:$C$65536,MATCH($A1292,'[2]Smelter Reference List'!$E$1:$E$65536,0)))</f>
        <v>Ishifuku Metal Industry Co., Ltd.</v>
      </c>
      <c r="D1292" s="161" t="s">
        <v>2452</v>
      </c>
      <c r="E1292" s="161" t="s">
        <v>2249</v>
      </c>
      <c r="F1292" s="161" t="s">
        <v>1269</v>
      </c>
      <c r="G1292" s="161" t="s">
        <v>3125</v>
      </c>
      <c r="H1292" s="247">
        <v>0</v>
      </c>
      <c r="I1292" s="248" t="s">
        <v>3199</v>
      </c>
      <c r="J1292" s="248" t="s">
        <v>3179</v>
      </c>
      <c r="K1292" s="245"/>
      <c r="L1292" s="245"/>
      <c r="M1292" s="245"/>
      <c r="N1292" s="245"/>
      <c r="O1292" s="245"/>
      <c r="P1292" s="245"/>
      <c r="Q1292" s="246"/>
      <c r="R1292" s="233"/>
      <c r="S1292" s="234">
        <f>IF(C1292="",NA(),MATCH($B1292&amp;$C1292,'Smelter Reference List'!$J:$J,0))</f>
        <v>82</v>
      </c>
      <c r="T1292" s="235"/>
      <c r="U1292" s="235">
        <f t="shared" si="36"/>
        <v>0</v>
      </c>
      <c r="V1292" s="235"/>
      <c r="W1292" s="235"/>
      <c r="Y1292" s="228" t="str">
        <f t="shared" si="37"/>
        <v>GoldIshifuku Metal Industry Co., Ltd.</v>
      </c>
    </row>
    <row r="1293" spans="1:25" s="228" customFormat="1" ht="20.25">
      <c r="A1293" s="161" t="s">
        <v>1270</v>
      </c>
      <c r="B1293" s="423" t="s">
        <v>2323</v>
      </c>
      <c r="C1293" s="297" t="str">
        <f>IF(LEN(A1293)=0,"",INDEX('[2]Smelter Reference List'!$C$1:$C$65536,MATCH($A1293,'[2]Smelter Reference List'!$E$1:$E$65536,0)))</f>
        <v>Istanbul Gold Refinery</v>
      </c>
      <c r="D1293" s="161" t="s">
        <v>2459</v>
      </c>
      <c r="E1293" s="161" t="s">
        <v>1751</v>
      </c>
      <c r="F1293" s="161" t="s">
        <v>1270</v>
      </c>
      <c r="G1293" s="161" t="s">
        <v>3125</v>
      </c>
      <c r="H1293" s="247">
        <v>0</v>
      </c>
      <c r="I1293" s="248" t="s">
        <v>3200</v>
      </c>
      <c r="J1293" s="248" t="s">
        <v>3144</v>
      </c>
      <c r="K1293" s="245"/>
      <c r="L1293" s="245"/>
      <c r="M1293" s="245"/>
      <c r="N1293" s="245"/>
      <c r="O1293" s="245"/>
      <c r="P1293" s="245"/>
      <c r="Q1293" s="246"/>
      <c r="R1293" s="233"/>
      <c r="S1293" s="234">
        <f>IF(C1293="",NA(),MATCH($B1293&amp;$C1293,'Smelter Reference List'!$J:$J,0))</f>
        <v>83</v>
      </c>
      <c r="T1293" s="235"/>
      <c r="U1293" s="235">
        <f t="shared" si="36"/>
        <v>0</v>
      </c>
      <c r="V1293" s="235"/>
      <c r="W1293" s="235"/>
      <c r="Y1293" s="228" t="str">
        <f t="shared" si="37"/>
        <v>GoldIstanbul Gold Refinery</v>
      </c>
    </row>
    <row r="1294" spans="1:25" s="228" customFormat="1" ht="20.25">
      <c r="A1294" s="161" t="s">
        <v>1271</v>
      </c>
      <c r="B1294" s="423" t="s">
        <v>2323</v>
      </c>
      <c r="C1294" s="297" t="str">
        <f>IF(LEN(A1294)=0,"",INDEX('[2]Smelter Reference List'!$C$1:$C$65536,MATCH($A1294,'[2]Smelter Reference List'!$E$1:$E$65536,0)))</f>
        <v>Japan Mint</v>
      </c>
      <c r="D1294" s="161" t="s">
        <v>1790</v>
      </c>
      <c r="E1294" s="161" t="s">
        <v>2249</v>
      </c>
      <c r="F1294" s="161" t="s">
        <v>1271</v>
      </c>
      <c r="G1294" s="161" t="s">
        <v>3125</v>
      </c>
      <c r="H1294" s="247">
        <v>0</v>
      </c>
      <c r="I1294" s="248" t="s">
        <v>3201</v>
      </c>
      <c r="J1294" s="248" t="s">
        <v>3202</v>
      </c>
      <c r="K1294" s="245"/>
      <c r="L1294" s="245"/>
      <c r="M1294" s="245"/>
      <c r="N1294" s="245"/>
      <c r="O1294" s="245"/>
      <c r="P1294" s="245"/>
      <c r="Q1294" s="246"/>
      <c r="R1294" s="233"/>
      <c r="S1294" s="234">
        <f>IF(C1294="",NA(),MATCH($B1294&amp;$C1294,'Smelter Reference List'!$J:$J,0))</f>
        <v>84</v>
      </c>
      <c r="T1294" s="235"/>
      <c r="U1294" s="235">
        <f t="shared" si="36"/>
        <v>0</v>
      </c>
      <c r="V1294" s="235"/>
      <c r="W1294" s="235"/>
      <c r="Y1294" s="228" t="str">
        <f t="shared" si="37"/>
        <v>GoldJapan Mint</v>
      </c>
    </row>
    <row r="1295" spans="1:25" s="228" customFormat="1" ht="20.25">
      <c r="A1295" s="161" t="s">
        <v>1273</v>
      </c>
      <c r="B1295" s="424" t="s">
        <v>2323</v>
      </c>
      <c r="C1295" s="297" t="str">
        <f>IF(LEN(A1295)=0,"",INDEX('[2]Smelter Reference List'!$C$1:$C$65536,MATCH($A1295,'[2]Smelter Reference List'!$E$1:$E$65536,0)))</f>
        <v>Asahi Refining USA Inc.</v>
      </c>
      <c r="D1295" s="161" t="s">
        <v>4267</v>
      </c>
      <c r="E1295" s="161" t="s">
        <v>1759</v>
      </c>
      <c r="F1295" s="161" t="s">
        <v>1273</v>
      </c>
      <c r="G1295" s="161" t="s">
        <v>3125</v>
      </c>
      <c r="H1295" s="247">
        <v>0</v>
      </c>
      <c r="I1295" s="248" t="s">
        <v>3206</v>
      </c>
      <c r="J1295" s="248" t="s">
        <v>3207</v>
      </c>
      <c r="K1295" s="245"/>
      <c r="L1295" s="245"/>
      <c r="M1295" s="245"/>
      <c r="N1295" s="245"/>
      <c r="O1295" s="245"/>
      <c r="P1295" s="245"/>
      <c r="Q1295" s="246"/>
      <c r="R1295" s="233"/>
      <c r="S1295" s="234">
        <f>IF(C1295="",NA(),MATCH($B1295&amp;$C1295,'Smelter Reference List'!$J:$J,0))</f>
        <v>20</v>
      </c>
      <c r="T1295" s="235"/>
      <c r="U1295" s="235">
        <f t="shared" si="36"/>
        <v>0</v>
      </c>
      <c r="V1295" s="235"/>
      <c r="W1295" s="235"/>
      <c r="Y1295" s="228" t="str">
        <f t="shared" si="37"/>
        <v>GoldAsahi Refining USA Inc.</v>
      </c>
    </row>
    <row r="1296" spans="1:25" s="228" customFormat="1" ht="20.25">
      <c r="A1296" s="161" t="s">
        <v>1274</v>
      </c>
      <c r="B1296" s="423" t="s">
        <v>2323</v>
      </c>
      <c r="C1296" s="297" t="str">
        <f>IF(LEN(A1296)=0,"",INDEX('[2]Smelter Reference List'!$C$1:$C$65536,MATCH($A1296,'[2]Smelter Reference List'!$E$1:$E$65536,0)))</f>
        <v>Asahi Refining Canada Ltd.</v>
      </c>
      <c r="D1296" s="161" t="s">
        <v>4671</v>
      </c>
      <c r="E1296" s="161" t="s">
        <v>2177</v>
      </c>
      <c r="F1296" s="161" t="s">
        <v>1274</v>
      </c>
      <c r="G1296" s="161" t="s">
        <v>3125</v>
      </c>
      <c r="H1296" s="247">
        <v>0</v>
      </c>
      <c r="I1296" s="248" t="s">
        <v>3209</v>
      </c>
      <c r="J1296" s="248" t="s">
        <v>3210</v>
      </c>
      <c r="K1296" s="245"/>
      <c r="L1296" s="245"/>
      <c r="M1296" s="245"/>
      <c r="N1296" s="245"/>
      <c r="O1296" s="245"/>
      <c r="P1296" s="245"/>
      <c r="Q1296" s="246"/>
      <c r="R1296" s="233"/>
      <c r="S1296" s="234">
        <f>IF(C1296="",NA(),MATCH($B1296&amp;$C1296,'Smelter Reference List'!$J:$J,0))</f>
        <v>19</v>
      </c>
      <c r="T1296" s="235"/>
      <c r="U1296" s="235">
        <f t="shared" si="36"/>
        <v>0</v>
      </c>
      <c r="V1296" s="235"/>
      <c r="W1296" s="235"/>
      <c r="Y1296" s="228" t="str">
        <f t="shared" si="37"/>
        <v>GoldAsahi Refining Canada Ltd.</v>
      </c>
    </row>
    <row r="1297" spans="1:25" s="228" customFormat="1" ht="20.25">
      <c r="A1297" s="161" t="s">
        <v>1280</v>
      </c>
      <c r="B1297" s="423" t="s">
        <v>2323</v>
      </c>
      <c r="C1297" s="297" t="str">
        <f>IF(LEN(A1297)=0,"",INDEX('[2]Smelter Reference List'!$C$1:$C$65536,MATCH($A1297,'[2]Smelter Reference List'!$E$1:$E$65536,0)))</f>
        <v>Kennecott Utah Copper LLC</v>
      </c>
      <c r="D1297" s="161" t="s">
        <v>1279</v>
      </c>
      <c r="E1297" s="161" t="s">
        <v>1759</v>
      </c>
      <c r="F1297" s="161" t="s">
        <v>1280</v>
      </c>
      <c r="G1297" s="161" t="s">
        <v>3125</v>
      </c>
      <c r="H1297" s="247">
        <v>0</v>
      </c>
      <c r="I1297" s="248" t="s">
        <v>3215</v>
      </c>
      <c r="J1297" s="248" t="s">
        <v>3207</v>
      </c>
      <c r="K1297" s="245"/>
      <c r="L1297" s="245"/>
      <c r="M1297" s="245"/>
      <c r="N1297" s="245"/>
      <c r="O1297" s="245"/>
      <c r="P1297" s="245"/>
      <c r="Q1297" s="246"/>
      <c r="R1297" s="233"/>
      <c r="S1297" s="234">
        <f>IF(C1297="",NA(),MATCH($B1297&amp;$C1297,'Smelter Reference List'!$J:$J,0))</f>
        <v>97</v>
      </c>
      <c r="T1297" s="235"/>
      <c r="U1297" s="235">
        <f t="shared" si="36"/>
        <v>0</v>
      </c>
      <c r="V1297" s="235"/>
      <c r="W1297" s="235"/>
      <c r="Y1297" s="228" t="str">
        <f t="shared" si="37"/>
        <v>GoldKennecott Utah Copper LLC</v>
      </c>
    </row>
    <row r="1298" spans="1:25" s="228" customFormat="1" ht="20.25">
      <c r="A1298" s="161" t="s">
        <v>1281</v>
      </c>
      <c r="B1298" s="424" t="s">
        <v>2323</v>
      </c>
      <c r="C1298" s="297" t="str">
        <f>IF(LEN(A1298)=0,"",INDEX('[2]Smelter Reference List'!$C$1:$C$65536,MATCH($A1298,'[2]Smelter Reference List'!$E$1:$E$65536,0)))</f>
        <v>Kojima Chemicals Co., Ltd.</v>
      </c>
      <c r="D1298" s="161" t="s">
        <v>4158</v>
      </c>
      <c r="E1298" s="161" t="s">
        <v>2249</v>
      </c>
      <c r="F1298" s="161" t="s">
        <v>1281</v>
      </c>
      <c r="G1298" s="161" t="s">
        <v>3125</v>
      </c>
      <c r="H1298" s="247">
        <v>0</v>
      </c>
      <c r="I1298" s="248" t="s">
        <v>3216</v>
      </c>
      <c r="J1298" s="248" t="s">
        <v>3179</v>
      </c>
      <c r="K1298" s="245"/>
      <c r="L1298" s="245"/>
      <c r="M1298" s="245"/>
      <c r="N1298" s="245"/>
      <c r="O1298" s="245"/>
      <c r="P1298" s="245"/>
      <c r="Q1298" s="246"/>
      <c r="R1298" s="233"/>
      <c r="S1298" s="234">
        <f>IF(C1298="",NA(),MATCH($B1298&amp;$C1298,'Smelter Reference List'!$J:$J,0))</f>
        <v>99</v>
      </c>
      <c r="T1298" s="235"/>
      <c r="U1298" s="235">
        <f t="shared" si="36"/>
        <v>0</v>
      </c>
      <c r="V1298" s="235"/>
      <c r="W1298" s="235"/>
      <c r="Y1298" s="228" t="str">
        <f t="shared" si="37"/>
        <v>GoldKojima Chemicals Co., Ltd.</v>
      </c>
    </row>
    <row r="1299" spans="1:25" s="228" customFormat="1" ht="20.25">
      <c r="A1299" s="161" t="s">
        <v>1286</v>
      </c>
      <c r="B1299" s="423" t="s">
        <v>2323</v>
      </c>
      <c r="C1299" s="297" t="str">
        <f>IF(LEN(A1299)=0,"",INDEX('[2]Smelter Reference List'!$C$1:$C$65536,MATCH($A1299,'[2]Smelter Reference List'!$E$1:$E$65536,0)))</f>
        <v>LS-NIKKO Copper Inc.</v>
      </c>
      <c r="D1299" s="161" t="s">
        <v>74</v>
      </c>
      <c r="E1299" s="161" t="s">
        <v>2256</v>
      </c>
      <c r="F1299" s="161" t="s">
        <v>1286</v>
      </c>
      <c r="G1299" s="161" t="s">
        <v>3125</v>
      </c>
      <c r="H1299" s="247">
        <v>0</v>
      </c>
      <c r="I1299" s="248" t="s">
        <v>3225</v>
      </c>
      <c r="J1299" s="248" t="s">
        <v>3226</v>
      </c>
      <c r="K1299" s="245"/>
      <c r="L1299" s="245"/>
      <c r="M1299" s="245"/>
      <c r="N1299" s="245"/>
      <c r="O1299" s="245"/>
      <c r="P1299" s="245"/>
      <c r="Q1299" s="246"/>
      <c r="R1299" s="233"/>
      <c r="S1299" s="234">
        <f>IF(C1299="",NA(),MATCH($B1299&amp;$C1299,'Smelter Reference List'!$J:$J,0))</f>
        <v>111</v>
      </c>
      <c r="T1299" s="235"/>
      <c r="U1299" s="235">
        <f t="shared" si="36"/>
        <v>0</v>
      </c>
      <c r="V1299" s="235"/>
      <c r="W1299" s="235"/>
      <c r="Y1299" s="228" t="str">
        <f t="shared" si="37"/>
        <v>GoldLS-NIKKO Copper Inc.</v>
      </c>
    </row>
    <row r="1300" spans="1:25" s="228" customFormat="1" ht="20.25">
      <c r="A1300" s="161" t="s">
        <v>1289</v>
      </c>
      <c r="B1300" s="423" t="s">
        <v>2323</v>
      </c>
      <c r="C1300" s="297" t="str">
        <f>IF(LEN(A1300)=0,"",INDEX('[2]Smelter Reference List'!$C$1:$C$65536,MATCH($A1300,'[2]Smelter Reference List'!$E$1:$E$65536,0)))</f>
        <v>Materion</v>
      </c>
      <c r="D1300" s="161" t="s">
        <v>1792</v>
      </c>
      <c r="E1300" s="161" t="s">
        <v>1759</v>
      </c>
      <c r="F1300" s="161" t="s">
        <v>1289</v>
      </c>
      <c r="G1300" s="161" t="s">
        <v>3125</v>
      </c>
      <c r="H1300" s="247">
        <v>0</v>
      </c>
      <c r="I1300" s="248" t="s">
        <v>3229</v>
      </c>
      <c r="J1300" s="248" t="s">
        <v>3230</v>
      </c>
      <c r="K1300" s="245"/>
      <c r="L1300" s="245"/>
      <c r="M1300" s="245"/>
      <c r="N1300" s="245"/>
      <c r="O1300" s="245"/>
      <c r="P1300" s="245"/>
      <c r="Q1300" s="246"/>
      <c r="R1300" s="233"/>
      <c r="S1300" s="234">
        <f>IF(C1300="",NA(),MATCH($B1300&amp;$C1300,'Smelter Reference List'!$J:$J,0))</f>
        <v>115</v>
      </c>
      <c r="T1300" s="235"/>
      <c r="U1300" s="235">
        <f t="shared" si="36"/>
        <v>0</v>
      </c>
      <c r="V1300" s="235"/>
      <c r="W1300" s="235"/>
      <c r="Y1300" s="228" t="str">
        <f t="shared" si="37"/>
        <v>GoldMaterion</v>
      </c>
    </row>
    <row r="1301" spans="1:25" s="228" customFormat="1" ht="20.25">
      <c r="A1301" s="161" t="s">
        <v>1290</v>
      </c>
      <c r="B1301" s="423" t="s">
        <v>2323</v>
      </c>
      <c r="C1301" s="297" t="str">
        <f>IF(LEN(A1301)=0,"",INDEX('[2]Smelter Reference List'!$C$1:$C$65536,MATCH($A1301,'[2]Smelter Reference List'!$E$1:$E$65536,0)))</f>
        <v>Matsuda Sangyo Co., Ltd.</v>
      </c>
      <c r="D1301" s="161" t="s">
        <v>75</v>
      </c>
      <c r="E1301" s="161" t="s">
        <v>2249</v>
      </c>
      <c r="F1301" s="161" t="s">
        <v>1290</v>
      </c>
      <c r="G1301" s="161" t="s">
        <v>3125</v>
      </c>
      <c r="H1301" s="247">
        <v>0</v>
      </c>
      <c r="I1301" s="248" t="s">
        <v>3231</v>
      </c>
      <c r="J1301" s="248" t="s">
        <v>3179</v>
      </c>
      <c r="K1301" s="245"/>
      <c r="L1301" s="245"/>
      <c r="M1301" s="245"/>
      <c r="N1301" s="245"/>
      <c r="O1301" s="245"/>
      <c r="P1301" s="245"/>
      <c r="Q1301" s="246"/>
      <c r="R1301" s="233"/>
      <c r="S1301" s="234">
        <f>IF(C1301="",NA(),MATCH($B1301&amp;$C1301,'Smelter Reference List'!$J:$J,0))</f>
        <v>116</v>
      </c>
      <c r="T1301" s="235"/>
      <c r="U1301" s="235">
        <f t="shared" si="36"/>
        <v>0</v>
      </c>
      <c r="V1301" s="235"/>
      <c r="W1301" s="235"/>
      <c r="Y1301" s="228" t="str">
        <f t="shared" si="37"/>
        <v>GoldMatsuda Sangyo Co., Ltd.</v>
      </c>
    </row>
    <row r="1302" spans="1:25" s="228" customFormat="1" ht="20.25">
      <c r="A1302" s="161" t="s">
        <v>1291</v>
      </c>
      <c r="B1302" s="424" t="s">
        <v>2323</v>
      </c>
      <c r="C1302" s="297" t="str">
        <f>IF(LEN(A1302)=0,"",INDEX('[2]Smelter Reference List'!$C$1:$C$65536,MATCH($A1302,'[2]Smelter Reference List'!$E$1:$E$65536,0)))</f>
        <v>Metalor Technologies (Hong Kong) Ltd.</v>
      </c>
      <c r="D1302" s="161" t="s">
        <v>4162</v>
      </c>
      <c r="E1302" s="161" t="s">
        <v>2181</v>
      </c>
      <c r="F1302" s="161" t="s">
        <v>1291</v>
      </c>
      <c r="G1302" s="161" t="s">
        <v>3125</v>
      </c>
      <c r="H1302" s="247">
        <v>0</v>
      </c>
      <c r="I1302" s="248" t="s">
        <v>3236</v>
      </c>
      <c r="J1302" s="248" t="s">
        <v>3191</v>
      </c>
      <c r="K1302" s="245"/>
      <c r="L1302" s="245"/>
      <c r="M1302" s="245"/>
      <c r="N1302" s="245"/>
      <c r="O1302" s="245"/>
      <c r="P1302" s="245"/>
      <c r="Q1302" s="246"/>
      <c r="R1302" s="233"/>
      <c r="S1302" s="234">
        <f>IF(C1302="",NA(),MATCH($B1302&amp;$C1302,'Smelter Reference List'!$J:$J,0))</f>
        <v>120</v>
      </c>
      <c r="T1302" s="235"/>
      <c r="U1302" s="235">
        <f t="shared" si="36"/>
        <v>0</v>
      </c>
      <c r="V1302" s="235"/>
      <c r="W1302" s="235"/>
      <c r="Y1302" s="228" t="str">
        <f t="shared" si="37"/>
        <v>GoldMetalor Technologies (Hong Kong) Ltd.</v>
      </c>
    </row>
    <row r="1303" spans="1:25" s="228" customFormat="1" ht="20.25">
      <c r="A1303" s="161" t="s">
        <v>1292</v>
      </c>
      <c r="B1303" s="423" t="s">
        <v>2323</v>
      </c>
      <c r="C1303" s="297" t="str">
        <f>IF(LEN(A1303)=0,"",INDEX('[2]Smelter Reference List'!$C$1:$C$65536,MATCH($A1303,'[2]Smelter Reference List'!$E$1:$E$65536,0)))</f>
        <v>Metalor Technologies (Singapore) Pte., Ltd.</v>
      </c>
      <c r="D1303" s="161" t="s">
        <v>4163</v>
      </c>
      <c r="E1303" s="161" t="s">
        <v>1722</v>
      </c>
      <c r="F1303" s="161" t="s">
        <v>1292</v>
      </c>
      <c r="G1303" s="161" t="s">
        <v>3125</v>
      </c>
      <c r="H1303" s="247">
        <v>0</v>
      </c>
      <c r="I1303" s="248" t="s">
        <v>3237</v>
      </c>
      <c r="J1303" s="248" t="s">
        <v>3238</v>
      </c>
      <c r="K1303" s="245"/>
      <c r="L1303" s="245"/>
      <c r="M1303" s="245"/>
      <c r="N1303" s="245"/>
      <c r="O1303" s="245"/>
      <c r="P1303" s="245"/>
      <c r="Q1303" s="246"/>
      <c r="R1303" s="233"/>
      <c r="S1303" s="234">
        <f>IF(C1303="",NA(),MATCH($B1303&amp;$C1303,'Smelter Reference List'!$J:$J,0))</f>
        <v>121</v>
      </c>
      <c r="T1303" s="235"/>
      <c r="U1303" s="235">
        <f t="shared" si="36"/>
        <v>0</v>
      </c>
      <c r="V1303" s="235"/>
      <c r="W1303" s="235"/>
      <c r="Y1303" s="228" t="str">
        <f t="shared" si="37"/>
        <v>GoldMetalor Technologies (Singapore) Pte., Ltd.</v>
      </c>
    </row>
    <row r="1304" spans="1:25" s="228" customFormat="1" ht="20.25">
      <c r="A1304" s="161" t="s">
        <v>1293</v>
      </c>
      <c r="B1304" s="424" t="s">
        <v>2323</v>
      </c>
      <c r="C1304" s="297" t="str">
        <f>IF(LEN(A1304)=0,"",INDEX('[2]Smelter Reference List'!$C$1:$C$65536,MATCH($A1304,'[2]Smelter Reference List'!$E$1:$E$65536,0)))</f>
        <v>Metalor Technologies S.A.</v>
      </c>
      <c r="D1304" s="161" t="s">
        <v>4697</v>
      </c>
      <c r="E1304" s="161" t="s">
        <v>2179</v>
      </c>
      <c r="F1304" s="161" t="s">
        <v>1293</v>
      </c>
      <c r="G1304" s="161" t="s">
        <v>3125</v>
      </c>
      <c r="H1304" s="247">
        <v>0</v>
      </c>
      <c r="I1304" s="248" t="s">
        <v>3239</v>
      </c>
      <c r="J1304" s="248" t="s">
        <v>3240</v>
      </c>
      <c r="K1304" s="245"/>
      <c r="L1304" s="245"/>
      <c r="M1304" s="245"/>
      <c r="N1304" s="245"/>
      <c r="O1304" s="245"/>
      <c r="P1304" s="245"/>
      <c r="Q1304" s="246"/>
      <c r="R1304" s="233"/>
      <c r="S1304" s="234">
        <f>IF(C1304="",NA(),MATCH($B1304&amp;$C1304,'Smelter Reference List'!$J:$J,0))</f>
        <v>123</v>
      </c>
      <c r="T1304" s="235"/>
      <c r="U1304" s="235">
        <f t="shared" si="36"/>
        <v>0</v>
      </c>
      <c r="V1304" s="235"/>
      <c r="W1304" s="235"/>
      <c r="Y1304" s="228" t="str">
        <f t="shared" si="37"/>
        <v>GoldMetalor Technologies S.A.</v>
      </c>
    </row>
    <row r="1305" spans="1:25" s="228" customFormat="1" ht="20.25">
      <c r="A1305" s="161" t="s">
        <v>1294</v>
      </c>
      <c r="B1305" s="423" t="s">
        <v>2323</v>
      </c>
      <c r="C1305" s="297" t="str">
        <f>IF(LEN(A1305)=0,"",INDEX('[2]Smelter Reference List'!$C$1:$C$65536,MATCH($A1305,'[2]Smelter Reference List'!$E$1:$E$65536,0)))</f>
        <v>Metalor USA Refining Corporation</v>
      </c>
      <c r="D1305" s="161" t="s">
        <v>2453</v>
      </c>
      <c r="E1305" s="161" t="s">
        <v>1759</v>
      </c>
      <c r="F1305" s="161" t="s">
        <v>1294</v>
      </c>
      <c r="G1305" s="161" t="s">
        <v>3125</v>
      </c>
      <c r="H1305" s="247">
        <v>0</v>
      </c>
      <c r="I1305" s="248" t="s">
        <v>3241</v>
      </c>
      <c r="J1305" s="248" t="s">
        <v>3242</v>
      </c>
      <c r="K1305" s="245"/>
      <c r="L1305" s="245"/>
      <c r="M1305" s="245"/>
      <c r="N1305" s="245"/>
      <c r="O1305" s="245"/>
      <c r="P1305" s="245"/>
      <c r="Q1305" s="246"/>
      <c r="R1305" s="233"/>
      <c r="S1305" s="234">
        <f>IF(C1305="",NA(),MATCH($B1305&amp;$C1305,'Smelter Reference List'!$J:$J,0))</f>
        <v>124</v>
      </c>
      <c r="T1305" s="235"/>
      <c r="U1305" s="235">
        <f t="shared" si="36"/>
        <v>0</v>
      </c>
      <c r="V1305" s="235"/>
      <c r="W1305" s="235"/>
      <c r="Y1305" s="228" t="str">
        <f t="shared" si="37"/>
        <v>GoldMetalor USA Refining Corporation</v>
      </c>
    </row>
    <row r="1306" spans="1:25" s="228" customFormat="1" ht="20.25">
      <c r="A1306" s="161" t="s">
        <v>1296</v>
      </c>
      <c r="B1306" s="424" t="s">
        <v>2323</v>
      </c>
      <c r="C1306" s="297" t="str">
        <f>IF(LEN(A1306)=0,"",INDEX('[2]Smelter Reference List'!$C$1:$C$65536,MATCH($A1306,'[2]Smelter Reference List'!$E$1:$E$65536,0)))</f>
        <v>Mitsubishi Materials Corporation</v>
      </c>
      <c r="D1306" s="161" t="s">
        <v>2371</v>
      </c>
      <c r="E1306" s="161" t="s">
        <v>2249</v>
      </c>
      <c r="F1306" s="161" t="s">
        <v>1296</v>
      </c>
      <c r="G1306" s="161" t="s">
        <v>3125</v>
      </c>
      <c r="H1306" s="247">
        <v>0</v>
      </c>
      <c r="I1306" s="248" t="s">
        <v>3245</v>
      </c>
      <c r="J1306" s="248" t="s">
        <v>4283</v>
      </c>
      <c r="K1306" s="245"/>
      <c r="L1306" s="245"/>
      <c r="M1306" s="245"/>
      <c r="N1306" s="245"/>
      <c r="O1306" s="245"/>
      <c r="P1306" s="245"/>
      <c r="Q1306" s="246"/>
      <c r="R1306" s="233"/>
      <c r="S1306" s="234">
        <f>IF(C1306="",NA(),MATCH($B1306&amp;$C1306,'Smelter Reference List'!$J:$J,0))</f>
        <v>128</v>
      </c>
      <c r="T1306" s="235"/>
      <c r="U1306" s="235">
        <f t="shared" si="36"/>
        <v>0</v>
      </c>
      <c r="V1306" s="235"/>
      <c r="W1306" s="235"/>
      <c r="Y1306" s="228" t="str">
        <f t="shared" si="37"/>
        <v>GoldMitsubishi Materials Corporation</v>
      </c>
    </row>
    <row r="1307" spans="1:25" s="228" customFormat="1" ht="20.25">
      <c r="A1307" s="161" t="s">
        <v>1297</v>
      </c>
      <c r="B1307" s="424" t="s">
        <v>2323</v>
      </c>
      <c r="C1307" s="297" t="str">
        <f>IF(LEN(A1307)=0,"",INDEX('[2]Smelter Reference List'!$C$1:$C$65536,MATCH($A1307,'[2]Smelter Reference List'!$E$1:$E$65536,0)))</f>
        <v>Mitsui Mining and Smelting Co., Ltd.</v>
      </c>
      <c r="D1307" s="161" t="s">
        <v>2454</v>
      </c>
      <c r="E1307" s="161" t="s">
        <v>2249</v>
      </c>
      <c r="F1307" s="161" t="s">
        <v>1297</v>
      </c>
      <c r="G1307" s="161" t="s">
        <v>3125</v>
      </c>
      <c r="H1307" s="247">
        <v>0</v>
      </c>
      <c r="I1307" s="248" t="s">
        <v>3247</v>
      </c>
      <c r="J1307" s="248" t="s">
        <v>3246</v>
      </c>
      <c r="K1307" s="245"/>
      <c r="L1307" s="245"/>
      <c r="M1307" s="245"/>
      <c r="N1307" s="245"/>
      <c r="O1307" s="245"/>
      <c r="P1307" s="245"/>
      <c r="Q1307" s="246"/>
      <c r="R1307" s="233"/>
      <c r="S1307" s="234">
        <f>IF(C1307="",NA(),MATCH($B1307&amp;$C1307,'Smelter Reference List'!$J:$J,0))</f>
        <v>130</v>
      </c>
      <c r="T1307" s="235"/>
      <c r="U1307" s="235">
        <f t="shared" si="36"/>
        <v>0</v>
      </c>
      <c r="V1307" s="235"/>
      <c r="W1307" s="235"/>
      <c r="Y1307" s="228" t="str">
        <f t="shared" si="37"/>
        <v>GoldMitsui Mining and Smelting Co., Ltd.</v>
      </c>
    </row>
    <row r="1308" spans="1:25" s="228" customFormat="1" ht="20.25">
      <c r="A1308" s="161" t="s">
        <v>1301</v>
      </c>
      <c r="B1308" s="424" t="s">
        <v>2323</v>
      </c>
      <c r="C1308" s="297" t="str">
        <f>IF(LEN(A1308)=0,"",INDEX('[2]Smelter Reference List'!$C$1:$C$65536,MATCH($A1308,'[2]Smelter Reference List'!$E$1:$E$65536,0)))</f>
        <v>Nihon Material Co., Ltd.</v>
      </c>
      <c r="D1308" s="161" t="s">
        <v>4166</v>
      </c>
      <c r="E1308" s="161" t="s">
        <v>2249</v>
      </c>
      <c r="F1308" s="161" t="s">
        <v>1301</v>
      </c>
      <c r="G1308" s="161" t="s">
        <v>3125</v>
      </c>
      <c r="H1308" s="247">
        <v>0</v>
      </c>
      <c r="I1308" s="248" t="s">
        <v>3253</v>
      </c>
      <c r="J1308" s="248" t="s">
        <v>3254</v>
      </c>
      <c r="K1308" s="245"/>
      <c r="L1308" s="245"/>
      <c r="M1308" s="245"/>
      <c r="N1308" s="245"/>
      <c r="O1308" s="245"/>
      <c r="P1308" s="245"/>
      <c r="Q1308" s="246"/>
      <c r="R1308" s="233"/>
      <c r="S1308" s="234">
        <f>IF(C1308="",NA(),MATCH($B1308&amp;$C1308,'Smelter Reference List'!$J:$J,0))</f>
        <v>137</v>
      </c>
      <c r="T1308" s="235"/>
      <c r="U1308" s="235">
        <f t="shared" si="36"/>
        <v>0</v>
      </c>
      <c r="V1308" s="235"/>
      <c r="W1308" s="235"/>
      <c r="Y1308" s="228" t="str">
        <f t="shared" si="37"/>
        <v>GoldNihon Material Co., Ltd.</v>
      </c>
    </row>
    <row r="1309" spans="1:25" s="228" customFormat="1" ht="20.25">
      <c r="A1309" s="161" t="s">
        <v>1302</v>
      </c>
      <c r="B1309" s="423" t="s">
        <v>2323</v>
      </c>
      <c r="C1309" s="297" t="str">
        <f>IF(LEN(A1309)=0,"",INDEX('[2]Smelter Reference List'!$C$1:$C$65536,MATCH($A1309,'[2]Smelter Reference List'!$E$1:$E$65536,0)))</f>
        <v>Elemetal Refining, LLC</v>
      </c>
      <c r="D1309" s="161" t="s">
        <v>4268</v>
      </c>
      <c r="E1309" s="161" t="s">
        <v>1759</v>
      </c>
      <c r="F1309" s="161" t="s">
        <v>1302</v>
      </c>
      <c r="G1309" s="161" t="s">
        <v>3125</v>
      </c>
      <c r="H1309" s="247">
        <v>0</v>
      </c>
      <c r="I1309" s="248" t="s">
        <v>3255</v>
      </c>
      <c r="J1309" s="248" t="s">
        <v>3256</v>
      </c>
      <c r="K1309" s="245"/>
      <c r="L1309" s="245"/>
      <c r="M1309" s="245"/>
      <c r="N1309" s="245"/>
      <c r="O1309" s="245"/>
      <c r="P1309" s="245"/>
      <c r="Q1309" s="246"/>
      <c r="R1309" s="233"/>
      <c r="S1309" s="234">
        <f>IF(C1309="",NA(),MATCH($B1309&amp;$C1309,'Smelter Reference List'!$J:$J,0))</f>
        <v>55</v>
      </c>
      <c r="T1309" s="235"/>
      <c r="U1309" s="235">
        <f t="shared" si="36"/>
        <v>0</v>
      </c>
      <c r="V1309" s="235"/>
      <c r="W1309" s="235"/>
      <c r="Y1309" s="228" t="str">
        <f t="shared" si="37"/>
        <v>GoldElemetal Refining, LLC</v>
      </c>
    </row>
    <row r="1310" spans="1:25" s="228" customFormat="1" ht="20.25">
      <c r="A1310" s="161" t="s">
        <v>1305</v>
      </c>
      <c r="B1310" s="423" t="s">
        <v>2323</v>
      </c>
      <c r="C1310" s="297" t="str">
        <f>IF(LEN(A1310)=0,"",INDEX('[2]Smelter Reference List'!$C$1:$C$65536,MATCH($A1310,'[2]Smelter Reference List'!$E$1:$E$65536,0)))</f>
        <v>PAMP S.A.</v>
      </c>
      <c r="D1310" s="161" t="s">
        <v>4705</v>
      </c>
      <c r="E1310" s="161" t="s">
        <v>2179</v>
      </c>
      <c r="F1310" s="161" t="s">
        <v>1305</v>
      </c>
      <c r="G1310" s="161" t="s">
        <v>3125</v>
      </c>
      <c r="H1310" s="247">
        <v>0</v>
      </c>
      <c r="I1310" s="248" t="s">
        <v>3262</v>
      </c>
      <c r="J1310" s="248" t="s">
        <v>3138</v>
      </c>
      <c r="K1310" s="245"/>
      <c r="L1310" s="245"/>
      <c r="M1310" s="245"/>
      <c r="N1310" s="245"/>
      <c r="O1310" s="245"/>
      <c r="P1310" s="245"/>
      <c r="Q1310" s="246"/>
      <c r="R1310" s="233"/>
      <c r="S1310" s="234">
        <f>IF(C1310="",NA(),MATCH($B1310&amp;$C1310,'Smelter Reference List'!$J:$J,0))</f>
        <v>146</v>
      </c>
      <c r="T1310" s="235"/>
      <c r="U1310" s="235">
        <f t="shared" si="36"/>
        <v>0</v>
      </c>
      <c r="V1310" s="235"/>
      <c r="W1310" s="235"/>
      <c r="Y1310" s="228" t="str">
        <f t="shared" si="37"/>
        <v>GoldPAMP S.A.</v>
      </c>
    </row>
    <row r="1311" spans="1:25" s="228" customFormat="1" ht="20.25">
      <c r="A1311" s="161" t="s">
        <v>1310</v>
      </c>
      <c r="B1311" s="424" t="s">
        <v>2323</v>
      </c>
      <c r="C1311" s="297" t="str">
        <f>IF(LEN(A1311)=0,"",INDEX('[2]Smelter Reference List'!$C$1:$C$65536,MATCH($A1311,'[2]Smelter Reference List'!$E$1:$E$65536,0)))</f>
        <v>Rand Refinery (Pty) Ltd.</v>
      </c>
      <c r="D1311" s="161" t="s">
        <v>4171</v>
      </c>
      <c r="E1311" s="161" t="s">
        <v>1772</v>
      </c>
      <c r="F1311" s="161" t="s">
        <v>1310</v>
      </c>
      <c r="G1311" s="161" t="s">
        <v>3125</v>
      </c>
      <c r="H1311" s="247">
        <v>0</v>
      </c>
      <c r="I1311" s="248" t="s">
        <v>3270</v>
      </c>
      <c r="J1311" s="248" t="s">
        <v>3271</v>
      </c>
      <c r="K1311" s="245"/>
      <c r="L1311" s="245"/>
      <c r="M1311" s="245"/>
      <c r="N1311" s="245"/>
      <c r="O1311" s="245"/>
      <c r="P1311" s="245"/>
      <c r="Q1311" s="246"/>
      <c r="R1311" s="233"/>
      <c r="S1311" s="234">
        <f>IF(C1311="",NA(),MATCH($B1311&amp;$C1311,'Smelter Reference List'!$J:$J,0))</f>
        <v>155</v>
      </c>
      <c r="T1311" s="235"/>
      <c r="U1311" s="235">
        <f t="shared" si="36"/>
        <v>0</v>
      </c>
      <c r="V1311" s="235"/>
      <c r="W1311" s="235"/>
      <c r="Y1311" s="228" t="str">
        <f t="shared" si="37"/>
        <v>GoldRand Refinery (Pty) Ltd.</v>
      </c>
    </row>
    <row r="1312" spans="1:25" s="228" customFormat="1" ht="20.25">
      <c r="A1312" s="161" t="s">
        <v>1311</v>
      </c>
      <c r="B1312" s="423" t="s">
        <v>2323</v>
      </c>
      <c r="C1312" s="297" t="str">
        <f>IF(LEN(A1312)=0,"",INDEX('[2]Smelter Reference List'!$C$1:$C$65536,MATCH($A1312,'[2]Smelter Reference List'!$E$1:$E$65536,0)))</f>
        <v>Royal Canadian Mint</v>
      </c>
      <c r="D1312" s="161" t="s">
        <v>1795</v>
      </c>
      <c r="E1312" s="161" t="s">
        <v>2177</v>
      </c>
      <c r="F1312" s="161" t="s">
        <v>1311</v>
      </c>
      <c r="G1312" s="161" t="s">
        <v>3125</v>
      </c>
      <c r="H1312" s="247">
        <v>0</v>
      </c>
      <c r="I1312" s="248" t="s">
        <v>3272</v>
      </c>
      <c r="J1312" s="248" t="s">
        <v>3210</v>
      </c>
      <c r="K1312" s="245"/>
      <c r="L1312" s="245"/>
      <c r="M1312" s="245"/>
      <c r="N1312" s="245"/>
      <c r="O1312" s="245"/>
      <c r="P1312" s="245"/>
      <c r="Q1312" s="246"/>
      <c r="R1312" s="233"/>
      <c r="S1312" s="234">
        <f>IF(C1312="",NA(),MATCH($B1312&amp;$C1312,'Smelter Reference List'!$J:$J,0))</f>
        <v>159</v>
      </c>
      <c r="T1312" s="235"/>
      <c r="U1312" s="235">
        <f t="shared" si="36"/>
        <v>0</v>
      </c>
      <c r="V1312" s="235"/>
      <c r="W1312" s="235"/>
      <c r="Y1312" s="228" t="str">
        <f t="shared" si="37"/>
        <v>GoldRoyal Canadian Mint</v>
      </c>
    </row>
    <row r="1313" spans="1:25" s="228" customFormat="1" ht="20.25">
      <c r="A1313" s="161" t="s">
        <v>1315</v>
      </c>
      <c r="B1313" s="423" t="s">
        <v>2323</v>
      </c>
      <c r="C1313" s="297" t="str">
        <f>IF(LEN(A1313)=0,"",INDEX('[2]Smelter Reference List'!$C$1:$C$65536,MATCH($A1313,'[2]Smelter Reference List'!$E$1:$E$65536,0)))</f>
        <v>SEMPSA Joyería Platería S.A.</v>
      </c>
      <c r="D1313" s="161" t="s">
        <v>4716</v>
      </c>
      <c r="E1313" s="161" t="s">
        <v>2205</v>
      </c>
      <c r="F1313" s="161" t="s">
        <v>1315</v>
      </c>
      <c r="G1313" s="161" t="s">
        <v>3125</v>
      </c>
      <c r="H1313" s="247">
        <v>0</v>
      </c>
      <c r="I1313" s="248" t="s">
        <v>3281</v>
      </c>
      <c r="J1313" s="248" t="s">
        <v>3282</v>
      </c>
      <c r="K1313" s="245"/>
      <c r="L1313" s="245"/>
      <c r="M1313" s="245"/>
      <c r="N1313" s="245"/>
      <c r="O1313" s="245"/>
      <c r="P1313" s="245"/>
      <c r="Q1313" s="246"/>
      <c r="R1313" s="233"/>
      <c r="S1313" s="234">
        <f>IF(C1313="",NA(),MATCH($B1313&amp;$C1313,'Smelter Reference List'!$J:$J,0))</f>
        <v>171</v>
      </c>
      <c r="T1313" s="235"/>
      <c r="U1313" s="235">
        <f t="shared" si="36"/>
        <v>0</v>
      </c>
      <c r="V1313" s="235"/>
      <c r="W1313" s="235"/>
      <c r="Y1313" s="228" t="str">
        <f t="shared" si="37"/>
        <v>GoldSEMPSA Joyería Platería S.A.</v>
      </c>
    </row>
    <row r="1314" spans="1:25" s="228" customFormat="1" ht="20.25">
      <c r="A1314" s="161" t="s">
        <v>1320</v>
      </c>
      <c r="B1314" s="423" t="s">
        <v>2323</v>
      </c>
      <c r="C1314" s="297" t="str">
        <f>IF(LEN(A1314)=0,"",INDEX('[2]Smelter Reference List'!$C$1:$C$65536,MATCH($A1314,'[2]Smelter Reference List'!$E$1:$E$65536,0)))</f>
        <v>Solar Applied Materials Technology Corp.</v>
      </c>
      <c r="D1314" s="161" t="s">
        <v>1797</v>
      </c>
      <c r="E1314" s="161" t="s">
        <v>1753</v>
      </c>
      <c r="F1314" s="161" t="s">
        <v>1320</v>
      </c>
      <c r="G1314" s="161" t="s">
        <v>3125</v>
      </c>
      <c r="H1314" s="247">
        <v>0</v>
      </c>
      <c r="I1314" s="248" t="s">
        <v>3295</v>
      </c>
      <c r="J1314" s="248" t="s">
        <v>3296</v>
      </c>
      <c r="K1314" s="245"/>
      <c r="L1314" s="245"/>
      <c r="M1314" s="245"/>
      <c r="N1314" s="245"/>
      <c r="O1314" s="245"/>
      <c r="P1314" s="245"/>
      <c r="Q1314" s="246"/>
      <c r="R1314" s="233"/>
      <c r="S1314" s="234">
        <f>IF(C1314="",NA(),MATCH($B1314&amp;$C1314,'Smelter Reference List'!$J:$J,0))</f>
        <v>185</v>
      </c>
      <c r="T1314" s="235"/>
      <c r="U1314" s="235">
        <f t="shared" si="36"/>
        <v>0</v>
      </c>
      <c r="V1314" s="235"/>
      <c r="W1314" s="235"/>
      <c r="Y1314" s="228" t="str">
        <f t="shared" si="37"/>
        <v>GoldSolar Applied Materials Technology Corp.</v>
      </c>
    </row>
    <row r="1315" spans="1:25" s="228" customFormat="1" ht="20.25">
      <c r="A1315" s="161" t="s">
        <v>1321</v>
      </c>
      <c r="B1315" s="423" t="s">
        <v>2323</v>
      </c>
      <c r="C1315" s="297" t="str">
        <f>IF(LEN(A1315)=0,"",INDEX('[2]Smelter Reference List'!$C$1:$C$65536,MATCH($A1315,'[2]Smelter Reference List'!$E$1:$E$65536,0)))</f>
        <v>Sumitomo Metal Mining Co., Ltd.</v>
      </c>
      <c r="D1315" s="161" t="s">
        <v>77</v>
      </c>
      <c r="E1315" s="161" t="s">
        <v>2249</v>
      </c>
      <c r="F1315" s="161" t="s">
        <v>1321</v>
      </c>
      <c r="G1315" s="161" t="s">
        <v>3125</v>
      </c>
      <c r="H1315" s="247">
        <v>0</v>
      </c>
      <c r="I1315" s="248" t="s">
        <v>3297</v>
      </c>
      <c r="J1315" s="248" t="s">
        <v>4284</v>
      </c>
      <c r="K1315" s="245"/>
      <c r="L1315" s="245"/>
      <c r="M1315" s="245"/>
      <c r="N1315" s="245"/>
      <c r="O1315" s="245"/>
      <c r="P1315" s="245"/>
      <c r="Q1315" s="246"/>
      <c r="R1315" s="233"/>
      <c r="S1315" s="234">
        <f>IF(C1315="",NA(),MATCH($B1315&amp;$C1315,'Smelter Reference List'!$J:$J,0))</f>
        <v>190</v>
      </c>
      <c r="T1315" s="235"/>
      <c r="U1315" s="235">
        <f t="shared" si="36"/>
        <v>0</v>
      </c>
      <c r="V1315" s="235"/>
      <c r="W1315" s="235"/>
      <c r="Y1315" s="228" t="str">
        <f t="shared" si="37"/>
        <v>GoldSumitomo Metal Mining Co., Ltd.</v>
      </c>
    </row>
    <row r="1316" spans="1:25" s="228" customFormat="1" ht="20.25">
      <c r="A1316" s="161" t="s">
        <v>1322</v>
      </c>
      <c r="B1316" s="425" t="s">
        <v>2323</v>
      </c>
      <c r="C1316" s="297" t="str">
        <f>IF(LEN(A1316)=0,"",INDEX('[2]Smelter Reference List'!$C$1:$C$65536,MATCH($A1316,'[2]Smelter Reference List'!$E$1:$E$65536,0)))</f>
        <v>Tanaka Kikinzoku Kogyo K.K.</v>
      </c>
      <c r="D1316" s="161" t="s">
        <v>2457</v>
      </c>
      <c r="E1316" s="161" t="s">
        <v>2249</v>
      </c>
      <c r="F1316" s="161" t="s">
        <v>1322</v>
      </c>
      <c r="G1316" s="161" t="s">
        <v>3125</v>
      </c>
      <c r="H1316" s="247">
        <v>0</v>
      </c>
      <c r="I1316" s="248" t="s">
        <v>3299</v>
      </c>
      <c r="J1316" s="248" t="s">
        <v>3300</v>
      </c>
      <c r="K1316" s="245"/>
      <c r="L1316" s="245"/>
      <c r="M1316" s="245"/>
      <c r="N1316" s="245"/>
      <c r="O1316" s="245"/>
      <c r="P1316" s="245"/>
      <c r="Q1316" s="246"/>
      <c r="R1316" s="233"/>
      <c r="S1316" s="234">
        <f>IF(C1316="",NA(),MATCH($B1316&amp;$C1316,'Smelter Reference List'!$J:$J,0))</f>
        <v>200</v>
      </c>
      <c r="T1316" s="235"/>
      <c r="U1316" s="235">
        <f t="shared" si="36"/>
        <v>0</v>
      </c>
      <c r="V1316" s="235"/>
      <c r="W1316" s="235"/>
      <c r="Y1316" s="228" t="str">
        <f t="shared" si="37"/>
        <v>GoldTanaka Kikinzoku Kogyo K.K.</v>
      </c>
    </row>
    <row r="1317" spans="1:25" s="228" customFormat="1" ht="20.25">
      <c r="A1317" s="161" t="s">
        <v>1325</v>
      </c>
      <c r="B1317" s="423" t="s">
        <v>2323</v>
      </c>
      <c r="C1317" s="297" t="str">
        <f>IF(LEN(A1317)=0,"",INDEX('[2]Smelter Reference List'!$C$1:$C$65536,MATCH($A1317,'[2]Smelter Reference List'!$E$1:$E$65536,0)))</f>
        <v>Tokuriki Honten Co., Ltd.</v>
      </c>
      <c r="D1317" s="161" t="s">
        <v>4178</v>
      </c>
      <c r="E1317" s="161" t="s">
        <v>2249</v>
      </c>
      <c r="F1317" s="161" t="s">
        <v>1325</v>
      </c>
      <c r="G1317" s="161" t="s">
        <v>3125</v>
      </c>
      <c r="H1317" s="247">
        <v>0</v>
      </c>
      <c r="I1317" s="248" t="s">
        <v>3305</v>
      </c>
      <c r="J1317" s="248" t="s">
        <v>3179</v>
      </c>
      <c r="K1317" s="245"/>
      <c r="L1317" s="245"/>
      <c r="M1317" s="245"/>
      <c r="N1317" s="245"/>
      <c r="O1317" s="245"/>
      <c r="P1317" s="245"/>
      <c r="Q1317" s="246"/>
      <c r="R1317" s="233"/>
      <c r="S1317" s="234">
        <f>IF(C1317="",NA(),MATCH($B1317&amp;$C1317,'Smelter Reference List'!$J:$J,0))</f>
        <v>205</v>
      </c>
      <c r="T1317" s="235"/>
      <c r="U1317" s="235">
        <f t="shared" si="36"/>
        <v>0</v>
      </c>
      <c r="V1317" s="235"/>
      <c r="W1317" s="235"/>
      <c r="Y1317" s="228" t="str">
        <f t="shared" si="37"/>
        <v>GoldTokuriki Honten Co., Ltd.</v>
      </c>
    </row>
    <row r="1318" spans="1:25" s="228" customFormat="1" ht="20.25">
      <c r="A1318" s="161" t="s">
        <v>1328</v>
      </c>
      <c r="B1318" s="423" t="s">
        <v>2323</v>
      </c>
      <c r="C1318" s="297" t="str">
        <f>IF(LEN(A1318)=0,"",INDEX('[2]Smelter Reference List'!$C$1:$C$65536,MATCH($A1318,'[2]Smelter Reference List'!$E$1:$E$65536,0)))</f>
        <v>Umicore Brasil Ltda.</v>
      </c>
      <c r="D1318" s="161" t="s">
        <v>4179</v>
      </c>
      <c r="E1318" s="161" t="s">
        <v>2170</v>
      </c>
      <c r="F1318" s="161" t="s">
        <v>1328</v>
      </c>
      <c r="G1318" s="161" t="s">
        <v>3125</v>
      </c>
      <c r="H1318" s="247">
        <v>0</v>
      </c>
      <c r="I1318" s="248" t="s">
        <v>3312</v>
      </c>
      <c r="J1318" s="248" t="s">
        <v>3313</v>
      </c>
      <c r="K1318" s="245"/>
      <c r="L1318" s="245"/>
      <c r="M1318" s="245"/>
      <c r="N1318" s="245"/>
      <c r="O1318" s="245"/>
      <c r="P1318" s="245"/>
      <c r="Q1318" s="246"/>
      <c r="R1318" s="233"/>
      <c r="S1318" s="234">
        <f>IF(C1318="",NA(),MATCH($B1318&amp;$C1318,'Smelter Reference List'!$J:$J,0))</f>
        <v>212</v>
      </c>
      <c r="T1318" s="235"/>
      <c r="U1318" s="235">
        <f t="shared" si="36"/>
        <v>0</v>
      </c>
      <c r="V1318" s="235"/>
      <c r="W1318" s="235"/>
      <c r="Y1318" s="228" t="str">
        <f t="shared" si="37"/>
        <v>GoldUmicore Brasil Ltda.</v>
      </c>
    </row>
    <row r="1319" spans="1:25" s="228" customFormat="1" ht="20.25">
      <c r="A1319" s="161" t="s">
        <v>1329</v>
      </c>
      <c r="B1319" s="423" t="s">
        <v>2323</v>
      </c>
      <c r="C1319" s="297" t="str">
        <f>IF(LEN(A1319)=0,"",INDEX('[2]Smelter Reference List'!$C$1:$C$65536,MATCH($A1319,'[2]Smelter Reference List'!$E$1:$E$65536,0)))</f>
        <v>Umicore S.A. Business Unit Precious Metals Refining</v>
      </c>
      <c r="D1319" s="161" t="s">
        <v>4724</v>
      </c>
      <c r="E1319" s="161" t="s">
        <v>2158</v>
      </c>
      <c r="F1319" s="161" t="s">
        <v>1329</v>
      </c>
      <c r="G1319" s="161" t="s">
        <v>3125</v>
      </c>
      <c r="H1319" s="247">
        <v>0</v>
      </c>
      <c r="I1319" s="248" t="s">
        <v>3314</v>
      </c>
      <c r="J1319" s="248" t="s">
        <v>3315</v>
      </c>
      <c r="K1319" s="245"/>
      <c r="L1319" s="245"/>
      <c r="M1319" s="245"/>
      <c r="N1319" s="245"/>
      <c r="O1319" s="245"/>
      <c r="P1319" s="245"/>
      <c r="Q1319" s="246"/>
      <c r="R1319" s="233"/>
      <c r="S1319" s="234">
        <f>IF(C1319="",NA(),MATCH($B1319&amp;$C1319,'Smelter Reference List'!$J:$J,0))</f>
        <v>214</v>
      </c>
      <c r="T1319" s="235"/>
      <c r="U1319" s="235">
        <f t="shared" si="36"/>
        <v>0</v>
      </c>
      <c r="V1319" s="235"/>
      <c r="W1319" s="235"/>
      <c r="Y1319" s="228" t="str">
        <f t="shared" si="37"/>
        <v>GoldUmicore S.A. Business Unit Precious Metals Refining</v>
      </c>
    </row>
    <row r="1320" spans="1:25" s="228" customFormat="1" ht="20.25">
      <c r="A1320" s="161" t="s">
        <v>1330</v>
      </c>
      <c r="B1320" s="423" t="s">
        <v>2323</v>
      </c>
      <c r="C1320" s="297" t="str">
        <f>IF(LEN(A1320)=0,"",INDEX('[2]Smelter Reference List'!$C$1:$C$65536,MATCH($A1320,'[2]Smelter Reference List'!$E$1:$E$65536,0)))</f>
        <v>United Precious Metal Refining, Inc.</v>
      </c>
      <c r="D1320" s="161" t="s">
        <v>1470</v>
      </c>
      <c r="E1320" s="161" t="s">
        <v>1759</v>
      </c>
      <c r="F1320" s="161" t="s">
        <v>1330</v>
      </c>
      <c r="G1320" s="161" t="s">
        <v>3125</v>
      </c>
      <c r="H1320" s="247">
        <v>0</v>
      </c>
      <c r="I1320" s="248" t="s">
        <v>3316</v>
      </c>
      <c r="J1320" s="248" t="s">
        <v>3230</v>
      </c>
      <c r="K1320" s="245"/>
      <c r="L1320" s="245"/>
      <c r="M1320" s="245"/>
      <c r="N1320" s="245"/>
      <c r="O1320" s="245"/>
      <c r="P1320" s="245"/>
      <c r="Q1320" s="246"/>
      <c r="R1320" s="233"/>
      <c r="S1320" s="234">
        <f>IF(C1320="",NA(),MATCH($B1320&amp;$C1320,'Smelter Reference List'!$J:$J,0))</f>
        <v>215</v>
      </c>
      <c r="T1320" s="235"/>
      <c r="U1320" s="235">
        <f t="shared" si="36"/>
        <v>0</v>
      </c>
      <c r="V1320" s="235"/>
      <c r="W1320" s="235"/>
      <c r="Y1320" s="228" t="str">
        <f t="shared" si="37"/>
        <v>GoldUnited Precious Metal Refining, Inc.</v>
      </c>
    </row>
    <row r="1321" spans="1:25" s="228" customFormat="1" ht="20.25">
      <c r="A1321" s="161" t="s">
        <v>1331</v>
      </c>
      <c r="B1321" s="424" t="s">
        <v>2323</v>
      </c>
      <c r="C1321" s="297" t="str">
        <f>IF(LEN(A1321)=0,"",INDEX('[2]Smelter Reference List'!$C$1:$C$65536,MATCH($A1321,'[2]Smelter Reference List'!$E$1:$E$65536,0)))</f>
        <v>Valcambi S.A.</v>
      </c>
      <c r="D1321" s="161" t="s">
        <v>4728</v>
      </c>
      <c r="E1321" s="161" t="s">
        <v>2179</v>
      </c>
      <c r="F1321" s="161" t="s">
        <v>1331</v>
      </c>
      <c r="G1321" s="161" t="s">
        <v>3125</v>
      </c>
      <c r="H1321" s="247">
        <v>0</v>
      </c>
      <c r="I1321" s="248" t="s">
        <v>3317</v>
      </c>
      <c r="J1321" s="248" t="s">
        <v>3138</v>
      </c>
      <c r="K1321" s="245"/>
      <c r="L1321" s="245"/>
      <c r="M1321" s="245"/>
      <c r="N1321" s="245"/>
      <c r="O1321" s="245"/>
      <c r="P1321" s="245"/>
      <c r="Q1321" s="246"/>
      <c r="R1321" s="233"/>
      <c r="S1321" s="234">
        <f>IF(C1321="",NA(),MATCH($B1321&amp;$C1321,'Smelter Reference List'!$J:$J,0))</f>
        <v>217</v>
      </c>
      <c r="T1321" s="235"/>
      <c r="U1321" s="235">
        <f t="shared" si="36"/>
        <v>0</v>
      </c>
      <c r="V1321" s="235"/>
      <c r="W1321" s="235"/>
      <c r="Y1321" s="228" t="str">
        <f t="shared" si="37"/>
        <v>GoldValcambi S.A.</v>
      </c>
    </row>
    <row r="1322" spans="1:25" s="228" customFormat="1" ht="20.25">
      <c r="A1322" s="161" t="s">
        <v>1332</v>
      </c>
      <c r="B1322" s="425" t="s">
        <v>2323</v>
      </c>
      <c r="C1322" s="297" t="str">
        <f>IF(LEN(A1322)=0,"",INDEX('[2]Smelter Reference List'!$C$1:$C$65536,MATCH($A1322,'[2]Smelter Reference List'!$E$1:$E$65536,0)))</f>
        <v>Western Australian Mint trading as The Perth Mint</v>
      </c>
      <c r="D1322" s="161" t="s">
        <v>2322</v>
      </c>
      <c r="E1322" s="161" t="s">
        <v>2154</v>
      </c>
      <c r="F1322" s="161" t="s">
        <v>1332</v>
      </c>
      <c r="G1322" s="161" t="s">
        <v>3125</v>
      </c>
      <c r="H1322" s="247">
        <v>0</v>
      </c>
      <c r="I1322" s="248" t="s">
        <v>3318</v>
      </c>
      <c r="J1322" s="248" t="s">
        <v>3319</v>
      </c>
      <c r="K1322" s="245"/>
      <c r="L1322" s="245"/>
      <c r="M1322" s="245"/>
      <c r="N1322" s="245"/>
      <c r="O1322" s="245"/>
      <c r="P1322" s="245"/>
      <c r="Q1322" s="246"/>
      <c r="R1322" s="233"/>
      <c r="S1322" s="234">
        <f>IF(C1322="",NA(),MATCH($B1322&amp;$C1322,'Smelter Reference List'!$J:$J,0))</f>
        <v>218</v>
      </c>
      <c r="T1322" s="235"/>
      <c r="U1322" s="235">
        <f t="shared" si="36"/>
        <v>0</v>
      </c>
      <c r="V1322" s="235"/>
      <c r="W1322" s="235"/>
      <c r="Y1322" s="228" t="str">
        <f t="shared" si="37"/>
        <v>GoldWestern Australian Mint trading as The Perth Mint</v>
      </c>
    </row>
    <row r="1323" spans="1:25" s="228" customFormat="1" ht="20.25">
      <c r="A1323" s="161" t="s">
        <v>1364</v>
      </c>
      <c r="B1323" s="423" t="s">
        <v>2324</v>
      </c>
      <c r="C1323" s="297" t="str">
        <f>IF(LEN(A1323)=0,"",INDEX('[2]Smelter Reference List'!$C$1:$C$65536,MATCH($A1323,'[2]Smelter Reference List'!$E$1:$E$65536,0)))</f>
        <v>Alpha</v>
      </c>
      <c r="D1323" s="161" t="s">
        <v>67</v>
      </c>
      <c r="E1323" s="161" t="s">
        <v>1759</v>
      </c>
      <c r="F1323" s="161" t="s">
        <v>1364</v>
      </c>
      <c r="G1323" s="161" t="s">
        <v>3125</v>
      </c>
      <c r="H1323" s="247">
        <v>0</v>
      </c>
      <c r="I1323" s="248" t="s">
        <v>3444</v>
      </c>
      <c r="J1323" s="248" t="s">
        <v>3401</v>
      </c>
      <c r="K1323" s="245"/>
      <c r="L1323" s="245"/>
      <c r="M1323" s="245"/>
      <c r="N1323" s="245"/>
      <c r="O1323" s="245"/>
      <c r="P1323" s="245"/>
      <c r="Q1323" s="246"/>
      <c r="R1323" s="233"/>
      <c r="S1323" s="234">
        <f>IF(C1323="",NA(),MATCH($B1323&amp;$C1323,'Smelter Reference List'!$J:$J,0))</f>
        <v>304</v>
      </c>
      <c r="T1323" s="235"/>
      <c r="U1323" s="235">
        <f t="shared" si="36"/>
        <v>0</v>
      </c>
      <c r="V1323" s="235"/>
      <c r="W1323" s="235"/>
      <c r="Y1323" s="228" t="str">
        <f t="shared" si="37"/>
        <v>TinAlpha</v>
      </c>
    </row>
    <row r="1324" spans="1:25" s="228" customFormat="1" ht="20.25">
      <c r="A1324" s="161" t="s">
        <v>1367</v>
      </c>
      <c r="B1324" s="424" t="s">
        <v>2324</v>
      </c>
      <c r="C1324" s="297" t="str">
        <f>IF(LEN(A1324)=0,"",INDEX('[2]Smelter Reference List'!$C$1:$C$65536,MATCH($A1324,'[2]Smelter Reference List'!$E$1:$E$65536,0)))</f>
        <v>CV United Smelting</v>
      </c>
      <c r="D1324" s="161" t="s">
        <v>1505</v>
      </c>
      <c r="E1324" s="161" t="s">
        <v>2238</v>
      </c>
      <c r="F1324" s="161" t="s">
        <v>1367</v>
      </c>
      <c r="G1324" s="161" t="s">
        <v>3125</v>
      </c>
      <c r="H1324" s="247">
        <v>0</v>
      </c>
      <c r="I1324" s="248" t="s">
        <v>3457</v>
      </c>
      <c r="J1324" s="248" t="s">
        <v>3454</v>
      </c>
      <c r="K1324" s="245"/>
      <c r="L1324" s="245"/>
      <c r="M1324" s="245"/>
      <c r="N1324" s="245"/>
      <c r="O1324" s="245"/>
      <c r="P1324" s="245"/>
      <c r="Q1324" s="246"/>
      <c r="R1324" s="233"/>
      <c r="S1324" s="234">
        <f>IF(C1324="",NA(),MATCH($B1324&amp;$C1324,'Smelter Reference List'!$J:$J,0))</f>
        <v>335</v>
      </c>
      <c r="T1324" s="235"/>
      <c r="U1324" s="235">
        <f t="shared" si="36"/>
        <v>0</v>
      </c>
      <c r="V1324" s="235"/>
      <c r="W1324" s="235"/>
      <c r="Y1324" s="228" t="str">
        <f t="shared" si="37"/>
        <v>TinCV United Smelting</v>
      </c>
    </row>
    <row r="1325" spans="1:25" s="228" customFormat="1" ht="20.25">
      <c r="A1325" s="161" t="s">
        <v>1372</v>
      </c>
      <c r="B1325" s="424" t="s">
        <v>2324</v>
      </c>
      <c r="C1325" s="297" t="str">
        <f>IF(LEN(A1325)=0,"",INDEX('[2]Smelter Reference List'!$C$1:$C$65536,MATCH($A1325,'[2]Smelter Reference List'!$E$1:$E$65536,0)))</f>
        <v>Gejiu Non-Ferrous Metal Processing Co., Ltd.</v>
      </c>
      <c r="D1325" s="161" t="s">
        <v>4152</v>
      </c>
      <c r="E1325" s="161" t="s">
        <v>2181</v>
      </c>
      <c r="F1325" s="161" t="s">
        <v>1372</v>
      </c>
      <c r="G1325" s="161" t="s">
        <v>3125</v>
      </c>
      <c r="H1325" s="247">
        <v>0</v>
      </c>
      <c r="I1325" s="248" t="s">
        <v>3468</v>
      </c>
      <c r="J1325" s="248" t="s">
        <v>3161</v>
      </c>
      <c r="K1325" s="245"/>
      <c r="L1325" s="245"/>
      <c r="M1325" s="245"/>
      <c r="N1325" s="245"/>
      <c r="O1325" s="245"/>
      <c r="P1325" s="245"/>
      <c r="Q1325" s="246"/>
      <c r="R1325" s="233"/>
      <c r="S1325" s="234">
        <f>IF(C1325="",NA(),MATCH($B1325&amp;$C1325,'Smelter Reference List'!$J:$J,0))</f>
        <v>353</v>
      </c>
      <c r="T1325" s="235"/>
      <c r="U1325" s="235">
        <f t="shared" si="36"/>
        <v>0</v>
      </c>
      <c r="V1325" s="235"/>
      <c r="W1325" s="235"/>
      <c r="Y1325" s="228" t="str">
        <f t="shared" si="37"/>
        <v>TinGejiu Non-Ferrous Metal Processing Co., Ltd.</v>
      </c>
    </row>
    <row r="1326" spans="1:25" s="228" customFormat="1" ht="20.25">
      <c r="A1326" s="161" t="s">
        <v>1378</v>
      </c>
      <c r="B1326" s="424" t="s">
        <v>2324</v>
      </c>
      <c r="C1326" s="297" t="str">
        <f>IF(LEN(A1326)=0,"",INDEX('[2]Smelter Reference List'!$C$1:$C$65536,MATCH($A1326,'[2]Smelter Reference List'!$E$1:$E$65536,0)))</f>
        <v>Malaysia Smelting Corporation (MSC)</v>
      </c>
      <c r="D1326" s="161" t="s">
        <v>1471</v>
      </c>
      <c r="E1326" s="161" t="s">
        <v>2289</v>
      </c>
      <c r="F1326" s="161" t="s">
        <v>1378</v>
      </c>
      <c r="G1326" s="161" t="s">
        <v>3125</v>
      </c>
      <c r="H1326" s="247">
        <v>0</v>
      </c>
      <c r="I1326" s="248" t="s">
        <v>3481</v>
      </c>
      <c r="J1326" s="248" t="s">
        <v>3482</v>
      </c>
      <c r="K1326" s="245"/>
      <c r="L1326" s="245"/>
      <c r="M1326" s="245"/>
      <c r="N1326" s="245"/>
      <c r="O1326" s="245"/>
      <c r="P1326" s="245"/>
      <c r="Q1326" s="246"/>
      <c r="R1326" s="233"/>
      <c r="S1326" s="234">
        <f>IF(C1326="",NA(),MATCH($B1326&amp;$C1326,'Smelter Reference List'!$J:$J,0))</f>
        <v>377</v>
      </c>
      <c r="T1326" s="235"/>
      <c r="U1326" s="235">
        <f t="shared" si="36"/>
        <v>0</v>
      </c>
      <c r="V1326" s="235"/>
      <c r="W1326" s="235"/>
      <c r="Y1326" s="228" t="str">
        <f t="shared" si="37"/>
        <v>TinMalaysia Smelting Corporation (MSC)</v>
      </c>
    </row>
    <row r="1327" spans="1:25" s="228" customFormat="1" ht="20.25">
      <c r="A1327" s="161" t="s">
        <v>1379</v>
      </c>
      <c r="B1327" s="424" t="s">
        <v>2324</v>
      </c>
      <c r="C1327" s="297" t="str">
        <f>IF(LEN(A1327)=0,"",INDEX('[2]Smelter Reference List'!$C$1:$C$65536,MATCH($A1327,'[2]Smelter Reference List'!$E$1:$E$65536,0)))</f>
        <v>Mineração Taboca S.A.</v>
      </c>
      <c r="D1327" s="161" t="s">
        <v>1953</v>
      </c>
      <c r="E1327" s="161" t="s">
        <v>2170</v>
      </c>
      <c r="F1327" s="161" t="s">
        <v>1379</v>
      </c>
      <c r="G1327" s="161" t="s">
        <v>3125</v>
      </c>
      <c r="H1327" s="247">
        <v>0</v>
      </c>
      <c r="I1327" s="248" t="s">
        <v>3485</v>
      </c>
      <c r="J1327" s="248" t="s">
        <v>3313</v>
      </c>
      <c r="K1327" s="245"/>
      <c r="L1327" s="245"/>
      <c r="M1327" s="245"/>
      <c r="N1327" s="245"/>
      <c r="O1327" s="245"/>
      <c r="P1327" s="245"/>
      <c r="Q1327" s="246"/>
      <c r="R1327" s="233"/>
      <c r="S1327" s="234">
        <f>IF(C1327="",NA(),MATCH($B1327&amp;$C1327,'Smelter Reference List'!$J:$J,0))</f>
        <v>383</v>
      </c>
      <c r="T1327" s="235"/>
      <c r="U1327" s="235">
        <f t="shared" si="36"/>
        <v>0</v>
      </c>
      <c r="V1327" s="235"/>
      <c r="W1327" s="235"/>
      <c r="Y1327" s="228" t="str">
        <f t="shared" si="37"/>
        <v>TinMineração Taboca S.A.</v>
      </c>
    </row>
    <row r="1328" spans="1:25" s="228" customFormat="1" ht="20.25">
      <c r="A1328" s="161" t="s">
        <v>1380</v>
      </c>
      <c r="B1328" s="424" t="s">
        <v>2324</v>
      </c>
      <c r="C1328" s="297" t="str">
        <f>IF(LEN(A1328)=0,"",INDEX('[2]Smelter Reference List'!$C$1:$C$65536,MATCH($A1328,'[2]Smelter Reference List'!$E$1:$E$65536,0)))</f>
        <v>Minsur</v>
      </c>
      <c r="D1328" s="161" t="s">
        <v>1954</v>
      </c>
      <c r="E1328" s="161" t="s">
        <v>1704</v>
      </c>
      <c r="F1328" s="161" t="s">
        <v>1380</v>
      </c>
      <c r="G1328" s="161" t="s">
        <v>3125</v>
      </c>
      <c r="H1328" s="247">
        <v>0</v>
      </c>
      <c r="I1328" s="248" t="s">
        <v>3487</v>
      </c>
      <c r="J1328" s="248" t="s">
        <v>3488</v>
      </c>
      <c r="K1328" s="245"/>
      <c r="L1328" s="245"/>
      <c r="M1328" s="245"/>
      <c r="N1328" s="245"/>
      <c r="O1328" s="245"/>
      <c r="P1328" s="245"/>
      <c r="Q1328" s="246"/>
      <c r="R1328" s="233"/>
      <c r="S1328" s="234">
        <f>IF(C1328="",NA(),MATCH($B1328&amp;$C1328,'Smelter Reference List'!$J:$J,0))</f>
        <v>384</v>
      </c>
      <c r="T1328" s="235"/>
      <c r="U1328" s="235">
        <f t="shared" si="36"/>
        <v>0</v>
      </c>
      <c r="V1328" s="235"/>
      <c r="W1328" s="235"/>
      <c r="Y1328" s="228" t="str">
        <f t="shared" si="37"/>
        <v>TinMinsur</v>
      </c>
    </row>
    <row r="1329" spans="1:25" s="228" customFormat="1" ht="20.25">
      <c r="A1329" s="161" t="s">
        <v>1381</v>
      </c>
      <c r="B1329" s="424" t="s">
        <v>2324</v>
      </c>
      <c r="C1329" s="297" t="str">
        <f>IF(LEN(A1329)=0,"",INDEX('[2]Smelter Reference List'!$C$1:$C$65536,MATCH($A1329,'[2]Smelter Reference List'!$E$1:$E$65536,0)))</f>
        <v>Mitsubishi Materials Corporation</v>
      </c>
      <c r="D1329" s="161" t="s">
        <v>2371</v>
      </c>
      <c r="E1329" s="161" t="s">
        <v>2249</v>
      </c>
      <c r="F1329" s="161" t="s">
        <v>1381</v>
      </c>
      <c r="G1329" s="161" t="s">
        <v>3125</v>
      </c>
      <c r="H1329" s="247">
        <v>0</v>
      </c>
      <c r="I1329" s="248" t="s">
        <v>3490</v>
      </c>
      <c r="J1329" s="248" t="s">
        <v>3140</v>
      </c>
      <c r="K1329" s="245"/>
      <c r="L1329" s="245"/>
      <c r="M1329" s="245"/>
      <c r="N1329" s="245"/>
      <c r="O1329" s="245"/>
      <c r="P1329" s="245"/>
      <c r="Q1329" s="246"/>
      <c r="R1329" s="233"/>
      <c r="S1329" s="234">
        <f>IF(C1329="",NA(),MATCH($B1329&amp;$C1329,'Smelter Reference List'!$J:$J,0))</f>
        <v>385</v>
      </c>
      <c r="T1329" s="235"/>
      <c r="U1329" s="235">
        <f t="shared" si="36"/>
        <v>0</v>
      </c>
      <c r="V1329" s="235"/>
      <c r="W1329" s="235"/>
      <c r="Y1329" s="228" t="str">
        <f t="shared" si="37"/>
        <v>TinMitsubishi Materials Corporation</v>
      </c>
    </row>
    <row r="1330" spans="1:25" s="228" customFormat="1" ht="20.25">
      <c r="A1330" s="161" t="s">
        <v>1384</v>
      </c>
      <c r="B1330" s="424" t="s">
        <v>2324</v>
      </c>
      <c r="C1330" s="297" t="str">
        <f>IF(LEN(A1330)=0,"",INDEX('[2]Smelter Reference List'!$C$1:$C$65536,MATCH($A1330,'[2]Smelter Reference List'!$E$1:$E$65536,0)))</f>
        <v>Operaciones Metalurgical S.A.</v>
      </c>
      <c r="D1330" s="161" t="s">
        <v>3494</v>
      </c>
      <c r="E1330" s="161" t="s">
        <v>2169</v>
      </c>
      <c r="F1330" s="161" t="s">
        <v>1384</v>
      </c>
      <c r="G1330" s="161" t="s">
        <v>3125</v>
      </c>
      <c r="H1330" s="247">
        <v>0</v>
      </c>
      <c r="I1330" s="248" t="s">
        <v>3459</v>
      </c>
      <c r="J1330" s="248" t="s">
        <v>3460</v>
      </c>
      <c r="K1330" s="245"/>
      <c r="L1330" s="245"/>
      <c r="M1330" s="245"/>
      <c r="N1330" s="245"/>
      <c r="O1330" s="245"/>
      <c r="P1330" s="245"/>
      <c r="Q1330" s="246"/>
      <c r="R1330" s="233"/>
      <c r="S1330" s="234">
        <f>IF(C1330="",NA(),MATCH($B1330&amp;$C1330,'Smelter Reference List'!$J:$J,0))</f>
        <v>394</v>
      </c>
      <c r="T1330" s="235"/>
      <c r="U1330" s="235">
        <f t="shared" si="36"/>
        <v>0</v>
      </c>
      <c r="V1330" s="235"/>
      <c r="W1330" s="235"/>
      <c r="Y1330" s="228" t="str">
        <f t="shared" si="37"/>
        <v>TinOperaciones Metalurgical S.A.</v>
      </c>
    </row>
    <row r="1331" spans="1:25" s="228" customFormat="1" ht="20.25">
      <c r="A1331" s="161" t="s">
        <v>1386</v>
      </c>
      <c r="B1331" s="423" t="s">
        <v>2324</v>
      </c>
      <c r="C1331" s="297" t="str">
        <f>IF(LEN(A1331)=0,"",INDEX('[2]Smelter Reference List'!$C$1:$C$65536,MATCH($A1331,'[2]Smelter Reference List'!$E$1:$E$65536,0)))</f>
        <v>PT Babel Inti Perkasa</v>
      </c>
      <c r="D1331" s="161" t="s">
        <v>1509</v>
      </c>
      <c r="E1331" s="161" t="s">
        <v>2238</v>
      </c>
      <c r="F1331" s="161" t="s">
        <v>1386</v>
      </c>
      <c r="G1331" s="161" t="s">
        <v>3125</v>
      </c>
      <c r="H1331" s="247">
        <v>0</v>
      </c>
      <c r="I1331" s="248" t="s">
        <v>3495</v>
      </c>
      <c r="J1331" s="248" t="s">
        <v>3454</v>
      </c>
      <c r="K1331" s="245"/>
      <c r="L1331" s="245"/>
      <c r="M1331" s="245"/>
      <c r="N1331" s="245"/>
      <c r="O1331" s="245"/>
      <c r="P1331" s="245"/>
      <c r="Q1331" s="246"/>
      <c r="R1331" s="233"/>
      <c r="S1331" s="234">
        <f>IF(C1331="",NA(),MATCH($B1331&amp;$C1331,'Smelter Reference List'!$J:$J,0))</f>
        <v>401</v>
      </c>
      <c r="T1331" s="235"/>
      <c r="U1331" s="235">
        <f t="shared" si="36"/>
        <v>0</v>
      </c>
      <c r="V1331" s="235"/>
      <c r="W1331" s="235"/>
      <c r="Y1331" s="228" t="str">
        <f t="shared" si="37"/>
        <v>TinPT Babel Inti Perkasa</v>
      </c>
    </row>
    <row r="1332" spans="1:25" s="228" customFormat="1" ht="20.25">
      <c r="A1332" s="161" t="s">
        <v>1387</v>
      </c>
      <c r="B1332" s="423" t="s">
        <v>2324</v>
      </c>
      <c r="C1332" s="297" t="str">
        <f>IF(LEN(A1332)=0,"",INDEX('[2]Smelter Reference List'!$C$1:$C$65536,MATCH($A1332,'[2]Smelter Reference List'!$E$1:$E$65536,0)))</f>
        <v>PT Bangka Tin Industry</v>
      </c>
      <c r="D1332" s="161" t="s">
        <v>1173</v>
      </c>
      <c r="E1332" s="161" t="s">
        <v>2238</v>
      </c>
      <c r="F1332" s="161" t="s">
        <v>1387</v>
      </c>
      <c r="G1332" s="161" t="s">
        <v>3125</v>
      </c>
      <c r="H1332" s="247">
        <v>0</v>
      </c>
      <c r="I1332" s="248" t="s">
        <v>3453</v>
      </c>
      <c r="J1332" s="248" t="s">
        <v>3454</v>
      </c>
      <c r="K1332" s="245"/>
      <c r="L1332" s="245"/>
      <c r="M1332" s="245"/>
      <c r="N1332" s="245"/>
      <c r="O1332" s="245"/>
      <c r="P1332" s="245"/>
      <c r="Q1332" s="246"/>
      <c r="R1332" s="233"/>
      <c r="S1332" s="234">
        <f>IF(C1332="",NA(),MATCH($B1332&amp;$C1332,'Smelter Reference List'!$J:$J,0))</f>
        <v>405</v>
      </c>
      <c r="T1332" s="235"/>
      <c r="U1332" s="235">
        <f t="shared" si="36"/>
        <v>0</v>
      </c>
      <c r="V1332" s="235"/>
      <c r="W1332" s="235"/>
      <c r="Y1332" s="228" t="str">
        <f t="shared" si="37"/>
        <v>TinPT Bangka Tin Industry</v>
      </c>
    </row>
    <row r="1333" spans="1:25" s="228" customFormat="1" ht="20.25">
      <c r="A1333" s="161" t="s">
        <v>1389</v>
      </c>
      <c r="B1333" s="424" t="s">
        <v>2324</v>
      </c>
      <c r="C1333" s="297" t="str">
        <f>IF(LEN(A1333)=0,"",INDEX('[2]Smelter Reference List'!$C$1:$C$65536,MATCH($A1333,'[2]Smelter Reference List'!$E$1:$E$65536,0)))</f>
        <v>PT Bukit Timah</v>
      </c>
      <c r="D1333" s="161" t="s">
        <v>1194</v>
      </c>
      <c r="E1333" s="161" t="s">
        <v>2238</v>
      </c>
      <c r="F1333" s="161" t="s">
        <v>1389</v>
      </c>
      <c r="G1333" s="161" t="s">
        <v>3125</v>
      </c>
      <c r="H1333" s="247">
        <v>0</v>
      </c>
      <c r="I1333" s="248" t="s">
        <v>3457</v>
      </c>
      <c r="J1333" s="248" t="s">
        <v>3454</v>
      </c>
      <c r="K1333" s="245"/>
      <c r="L1333" s="245"/>
      <c r="M1333" s="245"/>
      <c r="N1333" s="245"/>
      <c r="O1333" s="245"/>
      <c r="P1333" s="245"/>
      <c r="Q1333" s="246"/>
      <c r="R1333" s="233"/>
      <c r="S1333" s="234">
        <f>IF(C1333="",NA(),MATCH($B1333&amp;$C1333,'Smelter Reference List'!$J:$J,0))</f>
        <v>408</v>
      </c>
      <c r="T1333" s="235"/>
      <c r="U1333" s="235">
        <f t="shared" si="36"/>
        <v>0</v>
      </c>
      <c r="V1333" s="235"/>
      <c r="W1333" s="235"/>
      <c r="Y1333" s="228" t="str">
        <f t="shared" si="37"/>
        <v>TinPT Bukit Timah</v>
      </c>
    </row>
    <row r="1334" spans="1:25" s="228" customFormat="1" ht="20.25">
      <c r="A1334" s="161" t="s">
        <v>1390</v>
      </c>
      <c r="B1334" s="424" t="s">
        <v>2324</v>
      </c>
      <c r="C1334" s="297" t="str">
        <f>IF(LEN(A1334)=0,"",INDEX('[2]Smelter Reference List'!$C$1:$C$65536,MATCH($A1334,'[2]Smelter Reference List'!$E$1:$E$65536,0)))</f>
        <v>PT DS Jaya Abadi</v>
      </c>
      <c r="D1334" s="161" t="s">
        <v>1174</v>
      </c>
      <c r="E1334" s="161" t="s">
        <v>2238</v>
      </c>
      <c r="F1334" s="161" t="s">
        <v>1390</v>
      </c>
      <c r="G1334" s="161" t="s">
        <v>3125</v>
      </c>
      <c r="H1334" s="247">
        <v>0</v>
      </c>
      <c r="I1334" s="248" t="s">
        <v>3457</v>
      </c>
      <c r="J1334" s="248" t="s">
        <v>3454</v>
      </c>
      <c r="K1334" s="245"/>
      <c r="L1334" s="245"/>
      <c r="M1334" s="245"/>
      <c r="N1334" s="245"/>
      <c r="O1334" s="245"/>
      <c r="P1334" s="245"/>
      <c r="Q1334" s="246"/>
      <c r="R1334" s="233"/>
      <c r="S1334" s="234">
        <f>IF(C1334="",NA(),MATCH($B1334&amp;$C1334,'Smelter Reference List'!$J:$J,0))</f>
        <v>410</v>
      </c>
      <c r="T1334" s="235"/>
      <c r="U1334" s="235">
        <f t="shared" si="36"/>
        <v>0</v>
      </c>
      <c r="V1334" s="235"/>
      <c r="W1334" s="235"/>
      <c r="Y1334" s="228" t="str">
        <f t="shared" si="37"/>
        <v>TinPT DS Jaya Abadi</v>
      </c>
    </row>
    <row r="1335" spans="1:25" s="228" customFormat="1" ht="20.25">
      <c r="A1335" s="161" t="s">
        <v>1396</v>
      </c>
      <c r="B1335" s="423" t="s">
        <v>2324</v>
      </c>
      <c r="C1335" s="297" t="str">
        <f>IF(LEN(A1335)=0,"",INDEX('[2]Smelter Reference List'!$C$1:$C$65536,MATCH($A1335,'[2]Smelter Reference List'!$E$1:$E$65536,0)))</f>
        <v>PT Refined Bangka Tin</v>
      </c>
      <c r="D1335" s="161" t="s">
        <v>4169</v>
      </c>
      <c r="E1335" s="161" t="s">
        <v>2238</v>
      </c>
      <c r="F1335" s="161" t="s">
        <v>1396</v>
      </c>
      <c r="G1335" s="161" t="s">
        <v>3125</v>
      </c>
      <c r="H1335" s="247">
        <v>0</v>
      </c>
      <c r="I1335" s="248" t="s">
        <v>3453</v>
      </c>
      <c r="J1335" s="248" t="s">
        <v>3454</v>
      </c>
      <c r="K1335" s="245"/>
      <c r="L1335" s="245"/>
      <c r="M1335" s="245"/>
      <c r="N1335" s="245"/>
      <c r="O1335" s="245"/>
      <c r="P1335" s="245"/>
      <c r="Q1335" s="246"/>
      <c r="R1335" s="233"/>
      <c r="S1335" s="234">
        <f>IF(C1335="",NA(),MATCH($B1335&amp;$C1335,'Smelter Reference List'!$J:$J,0))</f>
        <v>424</v>
      </c>
      <c r="T1335" s="235"/>
      <c r="U1335" s="235">
        <f t="shared" si="36"/>
        <v>0</v>
      </c>
      <c r="V1335" s="235"/>
      <c r="W1335" s="235"/>
      <c r="Y1335" s="228" t="str">
        <f t="shared" si="37"/>
        <v>TinPT Refined Bangka Tin</v>
      </c>
    </row>
    <row r="1336" spans="1:25" s="228" customFormat="1" ht="20.25">
      <c r="A1336" s="161" t="s">
        <v>1398</v>
      </c>
      <c r="B1336" s="424" t="s">
        <v>2324</v>
      </c>
      <c r="C1336" s="297" t="str">
        <f>IF(LEN(A1336)=0,"",INDEX('[2]Smelter Reference List'!$C$1:$C$65536,MATCH($A1336,'[2]Smelter Reference List'!$E$1:$E$65536,0)))</f>
        <v>PT Stanindo Inti Perkasa</v>
      </c>
      <c r="D1336" s="161" t="s">
        <v>2369</v>
      </c>
      <c r="E1336" s="161" t="s">
        <v>2238</v>
      </c>
      <c r="F1336" s="161" t="s">
        <v>1398</v>
      </c>
      <c r="G1336" s="161" t="s">
        <v>3125</v>
      </c>
      <c r="H1336" s="247">
        <v>0</v>
      </c>
      <c r="I1336" s="248" t="s">
        <v>3457</v>
      </c>
      <c r="J1336" s="248" t="s">
        <v>3454</v>
      </c>
      <c r="K1336" s="245"/>
      <c r="L1336" s="245"/>
      <c r="M1336" s="245"/>
      <c r="N1336" s="245"/>
      <c r="O1336" s="245"/>
      <c r="P1336" s="245"/>
      <c r="Q1336" s="246"/>
      <c r="R1336" s="233"/>
      <c r="S1336" s="234">
        <f>IF(C1336="",NA(),MATCH($B1336&amp;$C1336,'Smelter Reference List'!$J:$J,0))</f>
        <v>427</v>
      </c>
      <c r="T1336" s="235"/>
      <c r="U1336" s="235">
        <f t="shared" si="36"/>
        <v>0</v>
      </c>
      <c r="V1336" s="235"/>
      <c r="W1336" s="235"/>
      <c r="Y1336" s="228" t="str">
        <f t="shared" si="37"/>
        <v>TinPT Stanindo Inti Perkasa</v>
      </c>
    </row>
    <row r="1337" spans="1:25" s="228" customFormat="1" ht="20.25">
      <c r="A1337" s="161" t="s">
        <v>1424</v>
      </c>
      <c r="B1337" s="423" t="s">
        <v>2324</v>
      </c>
      <c r="C1337" s="297" t="str">
        <f>IF(LEN(A1337)=0,"",INDEX('[2]Smelter Reference List'!$C$1:$C$65536,MATCH($A1337,'[2]Smelter Reference List'!$E$1:$E$65536,0)))</f>
        <v>PT Timah (Persero) Tbk Kundur</v>
      </c>
      <c r="D1337" s="161" t="s">
        <v>3503</v>
      </c>
      <c r="E1337" s="161" t="s">
        <v>2238</v>
      </c>
      <c r="F1337" s="161" t="s">
        <v>1424</v>
      </c>
      <c r="G1337" s="161" t="s">
        <v>3125</v>
      </c>
      <c r="H1337" s="247">
        <v>0</v>
      </c>
      <c r="I1337" s="248" t="s">
        <v>3504</v>
      </c>
      <c r="J1337" s="248" t="s">
        <v>3505</v>
      </c>
      <c r="K1337" s="245"/>
      <c r="L1337" s="245"/>
      <c r="M1337" s="245"/>
      <c r="N1337" s="245"/>
      <c r="O1337" s="245"/>
      <c r="P1337" s="245"/>
      <c r="Q1337" s="246"/>
      <c r="R1337" s="233"/>
      <c r="S1337" s="234">
        <f>IF(C1337="",NA(),MATCH($B1337&amp;$C1337,'Smelter Reference List'!$J:$J,0))</f>
        <v>431</v>
      </c>
      <c r="T1337" s="235"/>
      <c r="U1337" s="235">
        <f t="shared" si="36"/>
        <v>0</v>
      </c>
      <c r="V1337" s="235"/>
      <c r="W1337" s="235"/>
      <c r="Y1337" s="228" t="str">
        <f t="shared" si="37"/>
        <v>TinPT Timah (Persero) Tbk Kundur</v>
      </c>
    </row>
    <row r="1338" spans="1:25" s="228" customFormat="1" ht="20.25">
      <c r="A1338" s="161" t="s">
        <v>1399</v>
      </c>
      <c r="B1338" s="423" t="s">
        <v>2324</v>
      </c>
      <c r="C1338" s="297" t="str">
        <f>IF(LEN(A1338)=0,"",INDEX('[2]Smelter Reference List'!$C$1:$C$65536,MATCH($A1338,'[2]Smelter Reference List'!$E$1:$E$65536,0)))</f>
        <v>PT Timah (Persero) Tbk Mentok</v>
      </c>
      <c r="D1338" s="161" t="s">
        <v>4266</v>
      </c>
      <c r="E1338" s="161" t="s">
        <v>2238</v>
      </c>
      <c r="F1338" s="161" t="s">
        <v>1399</v>
      </c>
      <c r="G1338" s="161" t="s">
        <v>3125</v>
      </c>
      <c r="H1338" s="247">
        <v>0</v>
      </c>
      <c r="I1338" s="248" t="s">
        <v>3507</v>
      </c>
      <c r="J1338" s="248" t="s">
        <v>3454</v>
      </c>
      <c r="K1338" s="245"/>
      <c r="L1338" s="245"/>
      <c r="M1338" s="245"/>
      <c r="N1338" s="245"/>
      <c r="O1338" s="245"/>
      <c r="P1338" s="245"/>
      <c r="Q1338" s="246"/>
      <c r="R1338" s="233"/>
      <c r="S1338" s="234">
        <f>IF(C1338="",NA(),MATCH($B1338&amp;$C1338,'Smelter Reference List'!$J:$J,0))</f>
        <v>432</v>
      </c>
      <c r="T1338" s="235"/>
      <c r="U1338" s="235">
        <f t="shared" si="36"/>
        <v>0</v>
      </c>
      <c r="V1338" s="235"/>
      <c r="W1338" s="235"/>
      <c r="Y1338" s="228" t="str">
        <f t="shared" si="37"/>
        <v>TinPT Timah (Persero) Tbk Mentok</v>
      </c>
    </row>
    <row r="1339" spans="1:25" s="228" customFormat="1" ht="20.25">
      <c r="A1339" s="161" t="s">
        <v>1404</v>
      </c>
      <c r="B1339" s="424" t="s">
        <v>2324</v>
      </c>
      <c r="C1339" s="297" t="str">
        <f>IF(LEN(A1339)=0,"",INDEX('[2]Smelter Reference List'!$C$1:$C$65536,MATCH($A1339,'[2]Smelter Reference List'!$E$1:$E$65536,0)))</f>
        <v>Thaisarco</v>
      </c>
      <c r="D1339" s="161" t="s">
        <v>1951</v>
      </c>
      <c r="E1339" s="161" t="s">
        <v>1743</v>
      </c>
      <c r="F1339" s="161" t="s">
        <v>1404</v>
      </c>
      <c r="G1339" s="161" t="s">
        <v>3125</v>
      </c>
      <c r="H1339" s="247">
        <v>0</v>
      </c>
      <c r="I1339" s="248" t="s">
        <v>3510</v>
      </c>
      <c r="J1339" s="248" t="s">
        <v>3511</v>
      </c>
      <c r="K1339" s="245"/>
      <c r="L1339" s="245"/>
      <c r="M1339" s="245"/>
      <c r="N1339" s="245"/>
      <c r="O1339" s="245"/>
      <c r="P1339" s="245"/>
      <c r="Q1339" s="246"/>
      <c r="R1339" s="233"/>
      <c r="S1339" s="234">
        <f>IF(C1339="",NA(),MATCH($B1339&amp;$C1339,'Smelter Reference List'!$J:$J,0))</f>
        <v>445</v>
      </c>
      <c r="T1339" s="235"/>
      <c r="U1339" s="235">
        <f t="shared" si="36"/>
        <v>0</v>
      </c>
      <c r="V1339" s="235"/>
      <c r="W1339" s="235"/>
      <c r="Y1339" s="228" t="str">
        <f t="shared" si="37"/>
        <v>TinThaisarco</v>
      </c>
    </row>
    <row r="1340" spans="1:25" s="228" customFormat="1" ht="20.25">
      <c r="A1340" s="161" t="s">
        <v>1405</v>
      </c>
      <c r="B1340" s="423" t="s">
        <v>2324</v>
      </c>
      <c r="C1340" s="297" t="str">
        <f>IF(LEN(A1340)=0,"",INDEX('[2]Smelter Reference List'!$C$1:$C$65536,MATCH($A1340,'[2]Smelter Reference List'!$E$1:$E$65536,0)))</f>
        <v>White Solder Metalurgia e Mineração Ltda.</v>
      </c>
      <c r="D1340" s="161" t="s">
        <v>68</v>
      </c>
      <c r="E1340" s="161" t="s">
        <v>2170</v>
      </c>
      <c r="F1340" s="161" t="s">
        <v>1405</v>
      </c>
      <c r="G1340" s="161" t="s">
        <v>3125</v>
      </c>
      <c r="H1340" s="247">
        <v>0</v>
      </c>
      <c r="I1340" s="248" t="s">
        <v>3451</v>
      </c>
      <c r="J1340" s="248" t="s">
        <v>3452</v>
      </c>
      <c r="K1340" s="245"/>
      <c r="L1340" s="245"/>
      <c r="M1340" s="245"/>
      <c r="N1340" s="245"/>
      <c r="O1340" s="245"/>
      <c r="P1340" s="245"/>
      <c r="Q1340" s="246"/>
      <c r="R1340" s="233"/>
      <c r="S1340" s="234">
        <f>IF(C1340="",NA(),MATCH($B1340&amp;$C1340,'Smelter Reference List'!$J:$J,0))</f>
        <v>452</v>
      </c>
      <c r="T1340" s="235"/>
      <c r="U1340" s="235">
        <f t="shared" si="36"/>
        <v>0</v>
      </c>
      <c r="V1340" s="235"/>
      <c r="W1340" s="235"/>
      <c r="Y1340" s="228" t="str">
        <f t="shared" si="37"/>
        <v>TinWhite Solder Metalurgia e Mineração Ltda.</v>
      </c>
    </row>
    <row r="1341" spans="1:25" s="228" customFormat="1" ht="20.25">
      <c r="A1341" s="161" t="s">
        <v>1407</v>
      </c>
      <c r="B1341" s="424" t="s">
        <v>2324</v>
      </c>
      <c r="C1341" s="297" t="str">
        <f>IF(LEN(A1341)=0,"",INDEX('[2]Smelter Reference List'!$C$1:$C$65536,MATCH($A1341,'[2]Smelter Reference List'!$E$1:$E$65536,0)))</f>
        <v>Yunnan Tin Company Limited</v>
      </c>
      <c r="D1341" s="161" t="s">
        <v>4749</v>
      </c>
      <c r="E1341" s="161" t="s">
        <v>2181</v>
      </c>
      <c r="F1341" s="161" t="s">
        <v>1407</v>
      </c>
      <c r="G1341" s="161" t="s">
        <v>3125</v>
      </c>
      <c r="H1341" s="247">
        <v>0</v>
      </c>
      <c r="I1341" s="248" t="s">
        <v>3468</v>
      </c>
      <c r="J1341" s="248" t="s">
        <v>3161</v>
      </c>
      <c r="K1341" s="245"/>
      <c r="L1341" s="245"/>
      <c r="M1341" s="245"/>
      <c r="N1341" s="245"/>
      <c r="O1341" s="245"/>
      <c r="P1341" s="245"/>
      <c r="Q1341" s="246"/>
      <c r="R1341" s="233"/>
      <c r="S1341" s="234">
        <f>IF(C1341="",NA(),MATCH($B1341&amp;$C1341,'Smelter Reference List'!$J:$J,0))</f>
        <v>462</v>
      </c>
      <c r="T1341" s="235"/>
      <c r="U1341" s="235">
        <f t="shared" si="36"/>
        <v>0</v>
      </c>
      <c r="V1341" s="235"/>
      <c r="W1341" s="235"/>
      <c r="Y1341" s="228" t="str">
        <f t="shared" si="37"/>
        <v>TinYunnan Tin Company Limited</v>
      </c>
    </row>
    <row r="1342" spans="1:25" s="228" customFormat="1" ht="20.25">
      <c r="A1342" s="161" t="s">
        <v>200</v>
      </c>
      <c r="B1342" s="423" t="s">
        <v>2324</v>
      </c>
      <c r="C1342" s="297" t="str">
        <f>IF(LEN(A1342)=0,"",INDEX('[2]Smelter Reference List'!$C$1:$C$65536,MATCH($A1342,'[2]Smelter Reference List'!$E$1:$E$65536,0)))</f>
        <v>Magnu's Minerais Metais e Ligas Ltda.</v>
      </c>
      <c r="D1342" s="161" t="s">
        <v>4186</v>
      </c>
      <c r="E1342" s="161" t="s">
        <v>2170</v>
      </c>
      <c r="F1342" s="161" t="s">
        <v>200</v>
      </c>
      <c r="G1342" s="161" t="s">
        <v>3125</v>
      </c>
      <c r="H1342" s="247">
        <v>0</v>
      </c>
      <c r="I1342" s="248" t="s">
        <v>3381</v>
      </c>
      <c r="J1342" s="248" t="s">
        <v>3136</v>
      </c>
      <c r="K1342" s="245"/>
      <c r="L1342" s="245"/>
      <c r="M1342" s="245"/>
      <c r="N1342" s="245"/>
      <c r="O1342" s="245"/>
      <c r="P1342" s="245"/>
      <c r="Q1342" s="246"/>
      <c r="R1342" s="233"/>
      <c r="S1342" s="234">
        <f>IF(C1342="",NA(),MATCH($B1342&amp;$C1342,'Smelter Reference List'!$J:$J,0))</f>
        <v>376</v>
      </c>
      <c r="T1342" s="235"/>
      <c r="U1342" s="235">
        <f t="shared" si="36"/>
        <v>0</v>
      </c>
      <c r="V1342" s="235"/>
      <c r="W1342" s="235"/>
      <c r="Y1342" s="228" t="str">
        <f t="shared" si="37"/>
        <v>TinMagnu's Minerais Metais e Ligas Ltda.</v>
      </c>
    </row>
    <row r="1343" spans="1:25" s="228" customFormat="1" ht="20.25">
      <c r="A1343" s="161" t="s">
        <v>1423</v>
      </c>
      <c r="B1343" s="408" t="s">
        <v>2326</v>
      </c>
      <c r="C1343" s="297" t="str">
        <f>IF(LEN(A1343)=0,"",INDEX('[2]Smelter Reference List'!$C$1:$C$65536,MATCH($A1343,'[2]Smelter Reference List'!$E$1:$E$65536,0)))</f>
        <v>Xiamen Tungsten Co., Ltd.</v>
      </c>
      <c r="D1343" s="161" t="s">
        <v>2663</v>
      </c>
      <c r="E1343" s="161" t="s">
        <v>2181</v>
      </c>
      <c r="F1343" s="161" t="s">
        <v>1423</v>
      </c>
      <c r="G1343" s="161" t="s">
        <v>3125</v>
      </c>
      <c r="H1343" s="247">
        <v>0</v>
      </c>
      <c r="I1343" s="248" t="s">
        <v>3569</v>
      </c>
      <c r="J1343" s="248" t="s">
        <v>3332</v>
      </c>
      <c r="K1343" s="245"/>
      <c r="L1343" s="245"/>
      <c r="M1343" s="245"/>
      <c r="N1343" s="245"/>
      <c r="O1343" s="245"/>
      <c r="P1343" s="245"/>
      <c r="Q1343" s="246"/>
      <c r="R1343" s="233"/>
      <c r="S1343" s="234">
        <f>IF(C1343="",NA(),MATCH($B1343&amp;$C1343,'Smelter Reference List'!$J:$J,0))</f>
        <v>532</v>
      </c>
      <c r="T1343" s="235"/>
      <c r="U1343" s="235">
        <f t="shared" si="36"/>
        <v>0</v>
      </c>
      <c r="V1343" s="235"/>
      <c r="W1343" s="235"/>
      <c r="Y1343" s="228" t="str">
        <f t="shared" si="37"/>
        <v>TungstenXiamen Tungsten Co., Ltd.</v>
      </c>
    </row>
    <row r="1344" spans="1:25" s="228" customFormat="1" ht="20.25">
      <c r="A1344" s="161" t="s">
        <v>722</v>
      </c>
      <c r="B1344" s="408" t="s">
        <v>2326</v>
      </c>
      <c r="C1344" s="297" t="str">
        <f>IF(LEN(A1344)=0,"",INDEX('[2]Smelter Reference List'!$C$1:$C$65536,MATCH($A1344,'[2]Smelter Reference List'!$E$1:$E$65536,0)))</f>
        <v>Ganzhou Seadragon W &amp; Mo Co., Ltd.</v>
      </c>
      <c r="D1344" s="161" t="s">
        <v>721</v>
      </c>
      <c r="E1344" s="161" t="s">
        <v>2181</v>
      </c>
      <c r="F1344" s="161" t="s">
        <v>722</v>
      </c>
      <c r="G1344" s="161" t="s">
        <v>3125</v>
      </c>
      <c r="H1344" s="247">
        <v>0</v>
      </c>
      <c r="I1344" s="248" t="s">
        <v>3471</v>
      </c>
      <c r="J1344" s="248" t="s">
        <v>3204</v>
      </c>
      <c r="K1344" s="245"/>
      <c r="L1344" s="245"/>
      <c r="M1344" s="245"/>
      <c r="N1344" s="245"/>
      <c r="O1344" s="245"/>
      <c r="P1344" s="245"/>
      <c r="Q1344" s="246"/>
      <c r="R1344" s="233"/>
      <c r="S1344" s="234">
        <f>IF(C1344="",NA(),MATCH($B1344&amp;$C1344,'Smelter Reference List'!$J:$J,0))</f>
        <v>488</v>
      </c>
      <c r="T1344" s="235"/>
      <c r="U1344" s="235">
        <f t="shared" si="36"/>
        <v>0</v>
      </c>
      <c r="V1344" s="235"/>
      <c r="W1344" s="235"/>
      <c r="Y1344" s="228" t="str">
        <f t="shared" si="37"/>
        <v>TungstenGanzhou Seadragon W &amp; Mo Co., Ltd.</v>
      </c>
    </row>
    <row r="1345" spans="1:25" s="228" customFormat="1" ht="20.25">
      <c r="A1345" s="161" t="s">
        <v>1416</v>
      </c>
      <c r="B1345" s="408" t="s">
        <v>2326</v>
      </c>
      <c r="C1345" s="297" t="str">
        <f>IF(LEN(A1345)=0,"",INDEX('[2]Smelter Reference List'!$C$1:$C$65536,MATCH($A1345,'[2]Smelter Reference List'!$E$1:$E$65536,0)))</f>
        <v>Hunan Chunchang Nonferrous Metals Co., Ltd.</v>
      </c>
      <c r="D1345" s="161" t="s">
        <v>2661</v>
      </c>
      <c r="E1345" s="161" t="s">
        <v>2181</v>
      </c>
      <c r="F1345" s="161" t="s">
        <v>1416</v>
      </c>
      <c r="G1345" s="161" t="s">
        <v>3125</v>
      </c>
      <c r="H1345" s="247">
        <v>0</v>
      </c>
      <c r="I1345" s="248" t="s">
        <v>3407</v>
      </c>
      <c r="J1345" s="248" t="s">
        <v>3186</v>
      </c>
      <c r="K1345" s="245"/>
      <c r="L1345" s="245"/>
      <c r="M1345" s="245"/>
      <c r="N1345" s="245"/>
      <c r="O1345" s="245"/>
      <c r="P1345" s="245"/>
      <c r="Q1345" s="246"/>
      <c r="R1345" s="233"/>
      <c r="S1345" s="234">
        <f>IF(C1345="",NA(),MATCH($B1345&amp;$C1345,'Smelter Reference List'!$J:$J,0))</f>
        <v>500</v>
      </c>
      <c r="T1345" s="235"/>
      <c r="U1345" s="235">
        <f t="shared" si="36"/>
        <v>0</v>
      </c>
      <c r="V1345" s="235"/>
      <c r="W1345" s="235"/>
      <c r="Y1345" s="228" t="str">
        <f t="shared" si="37"/>
        <v>TungstenHunan Chunchang Nonferrous Metals Co., Ltd.</v>
      </c>
    </row>
    <row r="1346" spans="1:25" s="228" customFormat="1" ht="20.25">
      <c r="A1346" s="161" t="s">
        <v>2740</v>
      </c>
      <c r="B1346" s="408" t="s">
        <v>2325</v>
      </c>
      <c r="C1346" s="297" t="str">
        <f>IF(LEN(A1346)=0,"",INDEX('[2]Smelter Reference List'!$C$1:$C$65536,MATCH($A1346,'[2]Smelter Reference List'!$E$1:$E$65536,0)))</f>
        <v>H.C. Starck GmbH Goslar</v>
      </c>
      <c r="D1346" s="161" t="s">
        <v>2739</v>
      </c>
      <c r="E1346" s="161" t="s">
        <v>2195</v>
      </c>
      <c r="F1346" s="161" t="s">
        <v>2740</v>
      </c>
      <c r="G1346" s="161" t="s">
        <v>3125</v>
      </c>
      <c r="H1346" s="247">
        <v>0</v>
      </c>
      <c r="I1346" s="248" t="s">
        <v>3418</v>
      </c>
      <c r="J1346" s="248" t="s">
        <v>3419</v>
      </c>
      <c r="K1346" s="245"/>
      <c r="L1346" s="245"/>
      <c r="M1346" s="245"/>
      <c r="N1346" s="245"/>
      <c r="O1346" s="245"/>
      <c r="P1346" s="245"/>
      <c r="Q1346" s="246"/>
      <c r="R1346" s="233"/>
      <c r="S1346" s="234">
        <f>IF(C1346="",NA(),MATCH($B1346&amp;$C1346,'Smelter Reference List'!$J:$J,0))</f>
        <v>255</v>
      </c>
      <c r="T1346" s="235"/>
      <c r="U1346" s="235">
        <f t="shared" si="36"/>
        <v>0</v>
      </c>
      <c r="V1346" s="235"/>
      <c r="W1346" s="235"/>
      <c r="Y1346" s="228" t="str">
        <f t="shared" si="37"/>
        <v>TantalumH.C. Starck GmbH Goslar</v>
      </c>
    </row>
    <row r="1347" spans="1:25" s="228" customFormat="1" ht="20.25">
      <c r="A1347" s="161" t="s">
        <v>2736</v>
      </c>
      <c r="B1347" s="408" t="s">
        <v>2325</v>
      </c>
      <c r="C1347" s="297" t="str">
        <f>IF(LEN(A1347)=0,"",INDEX('[2]Smelter Reference List'!$C$1:$C$65536,MATCH($A1347,'[2]Smelter Reference List'!$E$1:$E$65536,0)))</f>
        <v>Global Advanced Metals Boyertown</v>
      </c>
      <c r="D1347" s="161" t="s">
        <v>2735</v>
      </c>
      <c r="E1347" s="161" t="s">
        <v>1759</v>
      </c>
      <c r="F1347" s="161" t="s">
        <v>2736</v>
      </c>
      <c r="G1347" s="161" t="s">
        <v>3125</v>
      </c>
      <c r="H1347" s="247">
        <v>0</v>
      </c>
      <c r="I1347" s="248" t="s">
        <v>3428</v>
      </c>
      <c r="J1347" s="248" t="s">
        <v>3401</v>
      </c>
      <c r="K1347" s="245"/>
      <c r="L1347" s="245"/>
      <c r="M1347" s="245"/>
      <c r="N1347" s="245"/>
      <c r="O1347" s="245"/>
      <c r="P1347" s="245"/>
      <c r="Q1347" s="246"/>
      <c r="R1347" s="233"/>
      <c r="S1347" s="234">
        <f>IF(C1347="",NA(),MATCH($B1347&amp;$C1347,'Smelter Reference List'!$J:$J,0))</f>
        <v>252</v>
      </c>
      <c r="T1347" s="235"/>
      <c r="U1347" s="235">
        <f t="shared" si="36"/>
        <v>0</v>
      </c>
      <c r="V1347" s="235"/>
      <c r="W1347" s="235"/>
      <c r="Y1347" s="228" t="str">
        <f t="shared" si="37"/>
        <v>TantalumGlobal Advanced Metals Boyertown</v>
      </c>
    </row>
    <row r="1348" spans="1:25" s="228" customFormat="1" ht="20.25">
      <c r="A1348" s="161" t="s">
        <v>1354</v>
      </c>
      <c r="B1348" s="408" t="s">
        <v>2325</v>
      </c>
      <c r="C1348" s="297" t="str">
        <f>IF(LEN(A1348)=0,"",INDEX('[2]Smelter Reference List'!$C$1:$C$65536,MATCH($A1348,'[2]Smelter Reference List'!$E$1:$E$65536,0)))</f>
        <v>Ningxia Orient Tantalum Industry Co., Ltd.</v>
      </c>
      <c r="D1348" s="161" t="s">
        <v>1950</v>
      </c>
      <c r="E1348" s="161" t="s">
        <v>2181</v>
      </c>
      <c r="F1348" s="161" t="s">
        <v>1354</v>
      </c>
      <c r="G1348" s="161" t="s">
        <v>3125</v>
      </c>
      <c r="H1348" s="247">
        <v>0</v>
      </c>
      <c r="I1348" s="248" t="s">
        <v>3391</v>
      </c>
      <c r="J1348" s="248" t="s">
        <v>3392</v>
      </c>
      <c r="K1348" s="245"/>
      <c r="L1348" s="245"/>
      <c r="M1348" s="245"/>
      <c r="N1348" s="245"/>
      <c r="O1348" s="245"/>
      <c r="P1348" s="245"/>
      <c r="Q1348" s="246"/>
      <c r="R1348" s="233"/>
      <c r="S1348" s="234">
        <f>IF(C1348="",NA(),MATCH($B1348&amp;$C1348,'Smelter Reference List'!$J:$J,0))</f>
        <v>278</v>
      </c>
      <c r="T1348" s="235"/>
      <c r="U1348" s="235">
        <f t="shared" si="36"/>
        <v>0</v>
      </c>
      <c r="V1348" s="235"/>
      <c r="W1348" s="235"/>
      <c r="Y1348" s="228" t="str">
        <f t="shared" si="37"/>
        <v>TantalumNingxia Orient Tantalum Industry Co., Ltd.</v>
      </c>
    </row>
    <row r="1349" spans="1:25" s="228" customFormat="1" ht="20.25">
      <c r="A1349" s="161" t="s">
        <v>1360</v>
      </c>
      <c r="B1349" s="408" t="s">
        <v>2325</v>
      </c>
      <c r="C1349" s="297" t="str">
        <f>IF(LEN(A1349)=0,"",INDEX('[2]Smelter Reference List'!$C$1:$C$65536,MATCH($A1349,'[2]Smelter Reference List'!$E$1:$E$65536,0)))</f>
        <v>Ulba Metallurgical Plant JSC</v>
      </c>
      <c r="D1349" s="161" t="s">
        <v>3402</v>
      </c>
      <c r="E1349" s="161" t="s">
        <v>2250</v>
      </c>
      <c r="F1349" s="161" t="s">
        <v>1360</v>
      </c>
      <c r="G1349" s="161" t="s">
        <v>3125</v>
      </c>
      <c r="H1349" s="247">
        <v>0</v>
      </c>
      <c r="I1349" s="248" t="s">
        <v>3214</v>
      </c>
      <c r="J1349" s="248" t="s">
        <v>3403</v>
      </c>
      <c r="K1349" s="245"/>
      <c r="L1349" s="245"/>
      <c r="M1349" s="245"/>
      <c r="N1349" s="245"/>
      <c r="O1349" s="245"/>
      <c r="P1349" s="245"/>
      <c r="Q1349" s="246"/>
      <c r="R1349" s="233"/>
      <c r="S1349" s="234">
        <f>IF(C1349="",NA(),MATCH($B1349&amp;$C1349,'Smelter Reference List'!$J:$J,0))</f>
        <v>294</v>
      </c>
      <c r="T1349" s="235"/>
      <c r="U1349" s="235">
        <f t="shared" si="36"/>
        <v>0</v>
      </c>
      <c r="V1349" s="235"/>
      <c r="W1349" s="235"/>
      <c r="Y1349" s="228" t="str">
        <f t="shared" si="37"/>
        <v>TantalumUlba Metallurgical Plant JSC</v>
      </c>
    </row>
    <row r="1350" spans="1:25" s="228" customFormat="1" ht="20.25">
      <c r="A1350" s="161" t="s">
        <v>1332</v>
      </c>
      <c r="B1350" s="408" t="s">
        <v>2323</v>
      </c>
      <c r="C1350" s="297" t="str">
        <f>IF(LEN(A1350)=0,"",INDEX('[2]Smelter Reference List'!$C$1:$C$65536,MATCH($A1350,'[2]Smelter Reference List'!$E$1:$E$65536,0)))</f>
        <v>Western Australian Mint trading as The Perth Mint</v>
      </c>
      <c r="D1350" s="161" t="s">
        <v>2322</v>
      </c>
      <c r="E1350" s="161" t="s">
        <v>2154</v>
      </c>
      <c r="F1350" s="161" t="s">
        <v>1332</v>
      </c>
      <c r="G1350" s="161" t="s">
        <v>3125</v>
      </c>
      <c r="H1350" s="247">
        <v>0</v>
      </c>
      <c r="I1350" s="248" t="s">
        <v>3318</v>
      </c>
      <c r="J1350" s="248" t="s">
        <v>3319</v>
      </c>
      <c r="K1350" s="245"/>
      <c r="L1350" s="245"/>
      <c r="M1350" s="245"/>
      <c r="N1350" s="245"/>
      <c r="O1350" s="245"/>
      <c r="P1350" s="245"/>
      <c r="Q1350" s="246"/>
      <c r="R1350" s="233"/>
      <c r="S1350" s="234">
        <f>IF(C1350="",NA(),MATCH($B1350&amp;$C1350,'Smelter Reference List'!$J:$J,0))</f>
        <v>218</v>
      </c>
      <c r="T1350" s="235"/>
      <c r="U1350" s="235">
        <f t="shared" ref="U1350:U1413" si="38">IF(AND(C1350="Smelter not listed",OR(LEN(D1350)=0,LEN(E1350)=0)),1,0)</f>
        <v>0</v>
      </c>
      <c r="V1350" s="235"/>
      <c r="W1350" s="235"/>
      <c r="Y1350" s="228" t="str">
        <f t="shared" ref="Y1350:Y1413" si="39">B1350&amp;C1350</f>
        <v>GoldWestern Australian Mint trading as The Perth Mint</v>
      </c>
    </row>
    <row r="1351" spans="1:25" s="228" customFormat="1" ht="20.25">
      <c r="A1351" s="161" t="s">
        <v>1320</v>
      </c>
      <c r="B1351" s="408" t="s">
        <v>2323</v>
      </c>
      <c r="C1351" s="297" t="str">
        <f>IF(LEN(A1351)=0,"",INDEX('[2]Smelter Reference List'!$C$1:$C$65536,MATCH($A1351,'[2]Smelter Reference List'!$E$1:$E$65536,0)))</f>
        <v>Solar Applied Materials Technology Corp.</v>
      </c>
      <c r="D1351" s="161" t="s">
        <v>1797</v>
      </c>
      <c r="E1351" s="161" t="s">
        <v>1753</v>
      </c>
      <c r="F1351" s="161" t="s">
        <v>1320</v>
      </c>
      <c r="G1351" s="161" t="s">
        <v>3125</v>
      </c>
      <c r="H1351" s="247">
        <v>0</v>
      </c>
      <c r="I1351" s="248" t="s">
        <v>3295</v>
      </c>
      <c r="J1351" s="248" t="s">
        <v>3296</v>
      </c>
      <c r="K1351" s="245"/>
      <c r="L1351" s="245"/>
      <c r="M1351" s="245"/>
      <c r="N1351" s="245"/>
      <c r="O1351" s="245"/>
      <c r="P1351" s="245"/>
      <c r="Q1351" s="246"/>
      <c r="R1351" s="233"/>
      <c r="S1351" s="234">
        <f>IF(C1351="",NA(),MATCH($B1351&amp;$C1351,'Smelter Reference List'!$J:$J,0))</f>
        <v>185</v>
      </c>
      <c r="T1351" s="235"/>
      <c r="U1351" s="235">
        <f t="shared" si="38"/>
        <v>0</v>
      </c>
      <c r="V1351" s="235"/>
      <c r="W1351" s="235"/>
      <c r="Y1351" s="228" t="str">
        <f t="shared" si="39"/>
        <v>GoldSolar Applied Materials Technology Corp.</v>
      </c>
    </row>
    <row r="1352" spans="1:25" s="228" customFormat="1" ht="20.25">
      <c r="A1352" s="161" t="s">
        <v>1286</v>
      </c>
      <c r="B1352" s="408" t="s">
        <v>2323</v>
      </c>
      <c r="C1352" s="297" t="str">
        <f>IF(LEN(A1352)=0,"",INDEX('[2]Smelter Reference List'!$C$1:$C$65536,MATCH($A1352,'[2]Smelter Reference List'!$E$1:$E$65536,0)))</f>
        <v>LS-NIKKO Copper Inc.</v>
      </c>
      <c r="D1352" s="161" t="s">
        <v>74</v>
      </c>
      <c r="E1352" s="161" t="s">
        <v>2256</v>
      </c>
      <c r="F1352" s="161" t="s">
        <v>1286</v>
      </c>
      <c r="G1352" s="161" t="s">
        <v>3125</v>
      </c>
      <c r="H1352" s="247">
        <v>0</v>
      </c>
      <c r="I1352" s="248" t="s">
        <v>3225</v>
      </c>
      <c r="J1352" s="248" t="s">
        <v>3226</v>
      </c>
      <c r="K1352" s="245"/>
      <c r="L1352" s="245"/>
      <c r="M1352" s="245"/>
      <c r="N1352" s="245"/>
      <c r="O1352" s="245"/>
      <c r="P1352" s="245"/>
      <c r="Q1352" s="246"/>
      <c r="R1352" s="233"/>
      <c r="S1352" s="234">
        <f>IF(C1352="",NA(),MATCH($B1352&amp;$C1352,'Smelter Reference List'!$J:$J,0))</f>
        <v>111</v>
      </c>
      <c r="T1352" s="235"/>
      <c r="U1352" s="235">
        <f t="shared" si="38"/>
        <v>0</v>
      </c>
      <c r="V1352" s="235"/>
      <c r="W1352" s="235"/>
      <c r="Y1352" s="228" t="str">
        <f t="shared" si="39"/>
        <v>GoldLS-NIKKO Copper Inc.</v>
      </c>
    </row>
    <row r="1353" spans="1:25" s="228" customFormat="1" ht="20.25">
      <c r="A1353" s="161" t="s">
        <v>1265</v>
      </c>
      <c r="B1353" s="408" t="s">
        <v>2323</v>
      </c>
      <c r="C1353" s="297" t="str">
        <f>IF(LEN(A1353)=0,"",INDEX('[2]Smelter Reference List'!$C$1:$C$65536,MATCH($A1353,'[2]Smelter Reference List'!$E$1:$E$65536,0)))</f>
        <v>Heraeus Precious Metals GmbH &amp; Co. KG</v>
      </c>
      <c r="D1353" s="161" t="s">
        <v>2451</v>
      </c>
      <c r="E1353" s="161" t="s">
        <v>2195</v>
      </c>
      <c r="F1353" s="161" t="s">
        <v>1265</v>
      </c>
      <c r="G1353" s="161" t="s">
        <v>3125</v>
      </c>
      <c r="H1353" s="247">
        <v>0</v>
      </c>
      <c r="I1353" s="248" t="s">
        <v>3192</v>
      </c>
      <c r="J1353" s="248" t="s">
        <v>3193</v>
      </c>
      <c r="K1353" s="245"/>
      <c r="L1353" s="245"/>
      <c r="M1353" s="245"/>
      <c r="N1353" s="245"/>
      <c r="O1353" s="245"/>
      <c r="P1353" s="245"/>
      <c r="Q1353" s="246"/>
      <c r="R1353" s="233"/>
      <c r="S1353" s="234">
        <f>IF(C1353="",NA(),MATCH($B1353&amp;$C1353,'Smelter Reference List'!$J:$J,0))</f>
        <v>76</v>
      </c>
      <c r="T1353" s="235"/>
      <c r="U1353" s="235">
        <f t="shared" si="38"/>
        <v>0</v>
      </c>
      <c r="V1353" s="235"/>
      <c r="W1353" s="235"/>
      <c r="Y1353" s="228" t="str">
        <f t="shared" si="39"/>
        <v>GoldHeraeus Precious Metals GmbH &amp; Co. KG</v>
      </c>
    </row>
    <row r="1354" spans="1:25" s="228" customFormat="1" ht="20.25">
      <c r="A1354" s="161" t="s">
        <v>1290</v>
      </c>
      <c r="B1354" s="408" t="s">
        <v>2323</v>
      </c>
      <c r="C1354" s="297" t="str">
        <f>IF(LEN(A1354)=0,"",INDEX('[2]Smelter Reference List'!$C$1:$C$65536,MATCH($A1354,'[2]Smelter Reference List'!$E$1:$E$65536,0)))</f>
        <v>Matsuda Sangyo Co., Ltd.</v>
      </c>
      <c r="D1354" s="161" t="s">
        <v>75</v>
      </c>
      <c r="E1354" s="161" t="s">
        <v>2249</v>
      </c>
      <c r="F1354" s="161" t="s">
        <v>1290</v>
      </c>
      <c r="G1354" s="161" t="s">
        <v>3125</v>
      </c>
      <c r="H1354" s="247">
        <v>0</v>
      </c>
      <c r="I1354" s="248" t="s">
        <v>3231</v>
      </c>
      <c r="J1354" s="248" t="s">
        <v>3179</v>
      </c>
      <c r="K1354" s="245"/>
      <c r="L1354" s="245"/>
      <c r="M1354" s="245"/>
      <c r="N1354" s="245"/>
      <c r="O1354" s="245"/>
      <c r="P1354" s="245"/>
      <c r="Q1354" s="246"/>
      <c r="R1354" s="233"/>
      <c r="S1354" s="234">
        <f>IF(C1354="",NA(),MATCH($B1354&amp;$C1354,'Smelter Reference List'!$J:$J,0))</f>
        <v>116</v>
      </c>
      <c r="T1354" s="235"/>
      <c r="U1354" s="235">
        <f t="shared" si="38"/>
        <v>0</v>
      </c>
      <c r="V1354" s="235"/>
      <c r="W1354" s="235"/>
      <c r="Y1354" s="228" t="str">
        <f t="shared" si="39"/>
        <v>GoldMatsuda Sangyo Co., Ltd.</v>
      </c>
    </row>
    <row r="1355" spans="1:25" s="228" customFormat="1" ht="20.25">
      <c r="A1355" s="161" t="s">
        <v>1264</v>
      </c>
      <c r="B1355" s="408" t="s">
        <v>2323</v>
      </c>
      <c r="C1355" s="297" t="str">
        <f>IF(LEN(A1355)=0,"",INDEX('[2]Smelter Reference List'!$C$1:$C$65536,MATCH($A1355,'[2]Smelter Reference List'!$E$1:$E$65536,0)))</f>
        <v>Heraeus Ltd. Hong Kong</v>
      </c>
      <c r="D1355" s="161" t="s">
        <v>72</v>
      </c>
      <c r="E1355" s="161" t="s">
        <v>2181</v>
      </c>
      <c r="F1355" s="161" t="s">
        <v>1264</v>
      </c>
      <c r="G1355" s="161" t="s">
        <v>3125</v>
      </c>
      <c r="H1355" s="247">
        <v>0</v>
      </c>
      <c r="I1355" s="248" t="s">
        <v>3190</v>
      </c>
      <c r="J1355" s="248" t="s">
        <v>3191</v>
      </c>
      <c r="K1355" s="245"/>
      <c r="L1355" s="245"/>
      <c r="M1355" s="245"/>
      <c r="N1355" s="245"/>
      <c r="O1355" s="245"/>
      <c r="P1355" s="245"/>
      <c r="Q1355" s="246"/>
      <c r="R1355" s="233"/>
      <c r="S1355" s="234">
        <f>IF(C1355="",NA(),MATCH($B1355&amp;$C1355,'Smelter Reference List'!$J:$J,0))</f>
        <v>75</v>
      </c>
      <c r="T1355" s="235"/>
      <c r="U1355" s="235">
        <f t="shared" si="38"/>
        <v>0</v>
      </c>
      <c r="V1355" s="235"/>
      <c r="W1355" s="235"/>
      <c r="Y1355" s="228" t="str">
        <f t="shared" si="39"/>
        <v>GoldHeraeus Ltd. Hong Kong</v>
      </c>
    </row>
    <row r="1356" spans="1:25" s="228" customFormat="1" ht="20.25">
      <c r="A1356" s="161" t="s">
        <v>1296</v>
      </c>
      <c r="B1356" s="408" t="s">
        <v>2323</v>
      </c>
      <c r="C1356" s="297" t="str">
        <f>IF(LEN(A1356)=0,"",INDEX('[2]Smelter Reference List'!$C$1:$C$65536,MATCH($A1356,'[2]Smelter Reference List'!$E$1:$E$65536,0)))</f>
        <v>Mitsubishi Materials Corporation</v>
      </c>
      <c r="D1356" s="161" t="s">
        <v>2371</v>
      </c>
      <c r="E1356" s="161" t="s">
        <v>2249</v>
      </c>
      <c r="F1356" s="161" t="s">
        <v>1296</v>
      </c>
      <c r="G1356" s="161" t="s">
        <v>3125</v>
      </c>
      <c r="H1356" s="247">
        <v>0</v>
      </c>
      <c r="I1356" s="248" t="s">
        <v>3245</v>
      </c>
      <c r="J1356" s="248" t="s">
        <v>4283</v>
      </c>
      <c r="K1356" s="245"/>
      <c r="L1356" s="245"/>
      <c r="M1356" s="245"/>
      <c r="N1356" s="245"/>
      <c r="O1356" s="245"/>
      <c r="P1356" s="245"/>
      <c r="Q1356" s="246"/>
      <c r="R1356" s="233"/>
      <c r="S1356" s="234">
        <f>IF(C1356="",NA(),MATCH($B1356&amp;$C1356,'Smelter Reference List'!$J:$J,0))</f>
        <v>128</v>
      </c>
      <c r="T1356" s="235"/>
      <c r="U1356" s="235">
        <f t="shared" si="38"/>
        <v>0</v>
      </c>
      <c r="V1356" s="235"/>
      <c r="W1356" s="235"/>
      <c r="Y1356" s="228" t="str">
        <f t="shared" si="39"/>
        <v>GoldMitsubishi Materials Corporation</v>
      </c>
    </row>
    <row r="1357" spans="1:25" s="228" customFormat="1" ht="20.25">
      <c r="A1357" s="161" t="s">
        <v>1238</v>
      </c>
      <c r="B1357" s="408" t="s">
        <v>2323</v>
      </c>
      <c r="C1357" s="297" t="str">
        <f>IF(LEN(A1357)=0,"",INDEX('[2]Smelter Reference List'!$C$1:$C$65536,MATCH($A1357,'[2]Smelter Reference List'!$E$1:$E$65536,0)))</f>
        <v>Argor-Heraeus S.A.</v>
      </c>
      <c r="D1357" s="161" t="s">
        <v>4669</v>
      </c>
      <c r="E1357" s="161" t="s">
        <v>2179</v>
      </c>
      <c r="F1357" s="161" t="s">
        <v>1238</v>
      </c>
      <c r="G1357" s="161" t="s">
        <v>3125</v>
      </c>
      <c r="H1357" s="247">
        <v>0</v>
      </c>
      <c r="I1357" s="248" t="s">
        <v>3137</v>
      </c>
      <c r="J1357" s="248" t="s">
        <v>3138</v>
      </c>
      <c r="K1357" s="245"/>
      <c r="L1357" s="245"/>
      <c r="M1357" s="245"/>
      <c r="N1357" s="245"/>
      <c r="O1357" s="245"/>
      <c r="P1357" s="245"/>
      <c r="Q1357" s="246"/>
      <c r="R1357" s="233"/>
      <c r="S1357" s="234">
        <f>IF(C1357="",NA(),MATCH($B1357&amp;$C1357,'Smelter Reference List'!$J:$J,0))</f>
        <v>17</v>
      </c>
      <c r="T1357" s="235"/>
      <c r="U1357" s="235">
        <f t="shared" si="38"/>
        <v>0</v>
      </c>
      <c r="V1357" s="235"/>
      <c r="W1357" s="235"/>
      <c r="Y1357" s="228" t="str">
        <f t="shared" si="39"/>
        <v>GoldArgor-Heraeus S.A.</v>
      </c>
    </row>
    <row r="1358" spans="1:25" s="228" customFormat="1" ht="20.25">
      <c r="A1358" s="161" t="s">
        <v>1424</v>
      </c>
      <c r="B1358" s="408" t="s">
        <v>2324</v>
      </c>
      <c r="C1358" s="297" t="str">
        <f>IF(LEN(A1358)=0,"",INDEX('[2]Smelter Reference List'!$C$1:$C$65536,MATCH($A1358,'[2]Smelter Reference List'!$E$1:$E$65536,0)))</f>
        <v>PT Timah (Persero) Tbk Kundur</v>
      </c>
      <c r="D1358" s="161" t="s">
        <v>3503</v>
      </c>
      <c r="E1358" s="161" t="s">
        <v>2238</v>
      </c>
      <c r="F1358" s="161" t="s">
        <v>1424</v>
      </c>
      <c r="G1358" s="161" t="s">
        <v>3125</v>
      </c>
      <c r="H1358" s="247">
        <v>0</v>
      </c>
      <c r="I1358" s="248" t="s">
        <v>3504</v>
      </c>
      <c r="J1358" s="248" t="s">
        <v>3505</v>
      </c>
      <c r="K1358" s="245"/>
      <c r="L1358" s="245"/>
      <c r="M1358" s="245"/>
      <c r="N1358" s="245"/>
      <c r="O1358" s="245"/>
      <c r="P1358" s="245"/>
      <c r="Q1358" s="246"/>
      <c r="R1358" s="233"/>
      <c r="S1358" s="234">
        <f>IF(C1358="",NA(),MATCH($B1358&amp;$C1358,'Smelter Reference List'!$J:$J,0))</f>
        <v>431</v>
      </c>
      <c r="T1358" s="235"/>
      <c r="U1358" s="235">
        <f t="shared" si="38"/>
        <v>0</v>
      </c>
      <c r="V1358" s="235"/>
      <c r="W1358" s="235"/>
      <c r="Y1358" s="228" t="str">
        <f t="shared" si="39"/>
        <v>TinPT Timah (Persero) Tbk Kundur</v>
      </c>
    </row>
    <row r="1359" spans="1:25" s="228" customFormat="1" ht="20.25">
      <c r="A1359" s="161" t="s">
        <v>1378</v>
      </c>
      <c r="B1359" s="408" t="s">
        <v>2324</v>
      </c>
      <c r="C1359" s="297" t="str">
        <f>IF(LEN(A1359)=0,"",INDEX('[2]Smelter Reference List'!$C$1:$C$65536,MATCH($A1359,'[2]Smelter Reference List'!$E$1:$E$65536,0)))</f>
        <v>Malaysia Smelting Corporation (MSC)</v>
      </c>
      <c r="D1359" s="161" t="s">
        <v>1471</v>
      </c>
      <c r="E1359" s="161" t="s">
        <v>2289</v>
      </c>
      <c r="F1359" s="161" t="s">
        <v>1378</v>
      </c>
      <c r="G1359" s="161" t="s">
        <v>3125</v>
      </c>
      <c r="H1359" s="247">
        <v>0</v>
      </c>
      <c r="I1359" s="248" t="s">
        <v>3481</v>
      </c>
      <c r="J1359" s="248" t="s">
        <v>3482</v>
      </c>
      <c r="K1359" s="245"/>
      <c r="L1359" s="245"/>
      <c r="M1359" s="245"/>
      <c r="N1359" s="245"/>
      <c r="O1359" s="245"/>
      <c r="P1359" s="245"/>
      <c r="Q1359" s="246"/>
      <c r="R1359" s="233"/>
      <c r="S1359" s="234">
        <f>IF(C1359="",NA(),MATCH($B1359&amp;$C1359,'Smelter Reference List'!$J:$J,0))</f>
        <v>377</v>
      </c>
      <c r="T1359" s="235"/>
      <c r="U1359" s="235">
        <f t="shared" si="38"/>
        <v>0</v>
      </c>
      <c r="V1359" s="235"/>
      <c r="W1359" s="235"/>
      <c r="Y1359" s="228" t="str">
        <f t="shared" si="39"/>
        <v>TinMalaysia Smelting Corporation (MSC)</v>
      </c>
    </row>
    <row r="1360" spans="1:25" s="228" customFormat="1" ht="20.25">
      <c r="A1360" s="161" t="s">
        <v>1404</v>
      </c>
      <c r="B1360" s="408" t="s">
        <v>2324</v>
      </c>
      <c r="C1360" s="297" t="str">
        <f>IF(LEN(A1360)=0,"",INDEX('[2]Smelter Reference List'!$C$1:$C$65536,MATCH($A1360,'[2]Smelter Reference List'!$E$1:$E$65536,0)))</f>
        <v>Thaisarco</v>
      </c>
      <c r="D1360" s="161" t="s">
        <v>1951</v>
      </c>
      <c r="E1360" s="161" t="s">
        <v>1743</v>
      </c>
      <c r="F1360" s="161" t="s">
        <v>1404</v>
      </c>
      <c r="G1360" s="161" t="s">
        <v>3125</v>
      </c>
      <c r="H1360" s="247">
        <v>0</v>
      </c>
      <c r="I1360" s="248" t="s">
        <v>3510</v>
      </c>
      <c r="J1360" s="248" t="s">
        <v>3511</v>
      </c>
      <c r="K1360" s="245"/>
      <c r="L1360" s="245"/>
      <c r="M1360" s="245"/>
      <c r="N1360" s="245"/>
      <c r="O1360" s="245"/>
      <c r="P1360" s="245"/>
      <c r="Q1360" s="246"/>
      <c r="R1360" s="233"/>
      <c r="S1360" s="234">
        <f>IF(C1360="",NA(),MATCH($B1360&amp;$C1360,'Smelter Reference List'!$J:$J,0))</f>
        <v>445</v>
      </c>
      <c r="T1360" s="235"/>
      <c r="U1360" s="235">
        <f t="shared" si="38"/>
        <v>0</v>
      </c>
      <c r="V1360" s="235"/>
      <c r="W1360" s="235"/>
      <c r="Y1360" s="228" t="str">
        <f t="shared" si="39"/>
        <v>TinThaisarco</v>
      </c>
    </row>
    <row r="1361" spans="1:25" s="228" customFormat="1" ht="20.25">
      <c r="A1361" s="161" t="s">
        <v>1399</v>
      </c>
      <c r="B1361" s="408" t="s">
        <v>2324</v>
      </c>
      <c r="C1361" s="297" t="str">
        <f>IF(LEN(A1361)=0,"",INDEX('[2]Smelter Reference List'!$C$1:$C$65536,MATCH($A1361,'[2]Smelter Reference List'!$E$1:$E$65536,0)))</f>
        <v>PT Timah (Persero) Tbk Mentok</v>
      </c>
      <c r="D1361" s="161" t="s">
        <v>4266</v>
      </c>
      <c r="E1361" s="161" t="s">
        <v>2238</v>
      </c>
      <c r="F1361" s="161" t="s">
        <v>1399</v>
      </c>
      <c r="G1361" s="161" t="s">
        <v>3125</v>
      </c>
      <c r="H1361" s="247">
        <v>0</v>
      </c>
      <c r="I1361" s="248" t="s">
        <v>3507</v>
      </c>
      <c r="J1361" s="248" t="s">
        <v>3454</v>
      </c>
      <c r="K1361" s="245"/>
      <c r="L1361" s="245"/>
      <c r="M1361" s="245"/>
      <c r="N1361" s="245"/>
      <c r="O1361" s="245"/>
      <c r="P1361" s="245"/>
      <c r="Q1361" s="246"/>
      <c r="R1361" s="233"/>
      <c r="S1361" s="234">
        <f>IF(C1361="",NA(),MATCH($B1361&amp;$C1361,'Smelter Reference List'!$J:$J,0))</f>
        <v>432</v>
      </c>
      <c r="T1361" s="235"/>
      <c r="U1361" s="235">
        <f t="shared" si="38"/>
        <v>0</v>
      </c>
      <c r="V1361" s="235"/>
      <c r="W1361" s="235"/>
      <c r="Y1361" s="228" t="str">
        <f t="shared" si="39"/>
        <v>TinPT Timah (Persero) Tbk Mentok</v>
      </c>
    </row>
    <row r="1362" spans="1:25" s="228" customFormat="1" ht="20.25">
      <c r="A1362" s="161" t="s">
        <v>1407</v>
      </c>
      <c r="B1362" s="408" t="s">
        <v>2324</v>
      </c>
      <c r="C1362" s="297" t="str">
        <f>IF(LEN(A1362)=0,"",INDEX('[2]Smelter Reference List'!$C$1:$C$65536,MATCH($A1362,'[2]Smelter Reference List'!$E$1:$E$65536,0)))</f>
        <v>Yunnan Tin Company Limited</v>
      </c>
      <c r="D1362" s="161" t="s">
        <v>4749</v>
      </c>
      <c r="E1362" s="161" t="s">
        <v>2181</v>
      </c>
      <c r="F1362" s="161" t="s">
        <v>1407</v>
      </c>
      <c r="G1362" s="161" t="s">
        <v>3125</v>
      </c>
      <c r="H1362" s="247">
        <v>0</v>
      </c>
      <c r="I1362" s="248" t="s">
        <v>3468</v>
      </c>
      <c r="J1362" s="248" t="s">
        <v>3161</v>
      </c>
      <c r="K1362" s="245"/>
      <c r="L1362" s="245"/>
      <c r="M1362" s="245"/>
      <c r="N1362" s="245"/>
      <c r="O1362" s="245"/>
      <c r="P1362" s="245"/>
      <c r="Q1362" s="246"/>
      <c r="R1362" s="233"/>
      <c r="S1362" s="234">
        <f>IF(C1362="",NA(),MATCH($B1362&amp;$C1362,'Smelter Reference List'!$J:$J,0))</f>
        <v>462</v>
      </c>
      <c r="T1362" s="235"/>
      <c r="U1362" s="235">
        <f t="shared" si="38"/>
        <v>0</v>
      </c>
      <c r="V1362" s="235"/>
      <c r="W1362" s="235"/>
      <c r="Y1362" s="228" t="str">
        <f t="shared" si="39"/>
        <v>TinYunnan Tin Company Limited</v>
      </c>
    </row>
    <row r="1363" spans="1:25" s="228" customFormat="1" ht="20.25">
      <c r="A1363" s="161" t="s">
        <v>1363</v>
      </c>
      <c r="B1363" s="408" t="s">
        <v>2324</v>
      </c>
      <c r="C1363" s="297" t="str">
        <f>IF(LEN(A1363)=0,"",INDEX('[2]Smelter Reference List'!$C$1:$C$65536,MATCH($A1363,'[2]Smelter Reference List'!$E$1:$E$65536,0)))</f>
        <v>CNMC (Guangxi) PGMA Co., Ltd.</v>
      </c>
      <c r="D1363" s="161" t="s">
        <v>4149</v>
      </c>
      <c r="E1363" s="161" t="s">
        <v>2181</v>
      </c>
      <c r="F1363" s="161" t="s">
        <v>1363</v>
      </c>
      <c r="G1363" s="161" t="s">
        <v>3125</v>
      </c>
      <c r="H1363" s="247">
        <v>0</v>
      </c>
      <c r="I1363" s="248" t="s">
        <v>3441</v>
      </c>
      <c r="J1363" s="248" t="s">
        <v>3442</v>
      </c>
      <c r="K1363" s="245"/>
      <c r="L1363" s="245"/>
      <c r="M1363" s="245"/>
      <c r="N1363" s="245"/>
      <c r="O1363" s="245"/>
      <c r="P1363" s="245"/>
      <c r="Q1363" s="246"/>
      <c r="R1363" s="233"/>
      <c r="S1363" s="234">
        <f>IF(C1363="",NA(),MATCH($B1363&amp;$C1363,'Smelter Reference List'!$J:$J,0))</f>
        <v>321</v>
      </c>
      <c r="T1363" s="235"/>
      <c r="U1363" s="235">
        <f t="shared" si="38"/>
        <v>0</v>
      </c>
      <c r="V1363" s="235"/>
      <c r="W1363" s="235"/>
      <c r="Y1363" s="228" t="str">
        <f t="shared" si="39"/>
        <v>TinCNMC (Guangxi) PGMA Co., Ltd.</v>
      </c>
    </row>
    <row r="1364" spans="1:25" s="228" customFormat="1" ht="20.25">
      <c r="A1364" s="161" t="s">
        <v>1390</v>
      </c>
      <c r="B1364" s="408" t="s">
        <v>2324</v>
      </c>
      <c r="C1364" s="297" t="str">
        <f>IF(LEN(A1364)=0,"",INDEX('[2]Smelter Reference List'!$C$1:$C$65536,MATCH($A1364,'[2]Smelter Reference List'!$E$1:$E$65536,0)))</f>
        <v>PT DS Jaya Abadi</v>
      </c>
      <c r="D1364" s="161" t="s">
        <v>1174</v>
      </c>
      <c r="E1364" s="161" t="s">
        <v>2238</v>
      </c>
      <c r="F1364" s="161" t="s">
        <v>1390</v>
      </c>
      <c r="G1364" s="161" t="s">
        <v>3125</v>
      </c>
      <c r="H1364" s="247">
        <v>0</v>
      </c>
      <c r="I1364" s="248" t="s">
        <v>3457</v>
      </c>
      <c r="J1364" s="248" t="s">
        <v>3454</v>
      </c>
      <c r="K1364" s="245"/>
      <c r="L1364" s="245"/>
      <c r="M1364" s="245"/>
      <c r="N1364" s="245"/>
      <c r="O1364" s="245"/>
      <c r="P1364" s="245"/>
      <c r="Q1364" s="246"/>
      <c r="R1364" s="233"/>
      <c r="S1364" s="234">
        <f>IF(C1364="",NA(),MATCH($B1364&amp;$C1364,'Smelter Reference List'!$J:$J,0))</f>
        <v>410</v>
      </c>
      <c r="T1364" s="235"/>
      <c r="U1364" s="235">
        <f t="shared" si="38"/>
        <v>0</v>
      </c>
      <c r="V1364" s="235"/>
      <c r="W1364" s="235"/>
      <c r="Y1364" s="228" t="str">
        <f t="shared" si="39"/>
        <v>TinPT DS Jaya Abadi</v>
      </c>
    </row>
    <row r="1365" spans="1:25" s="228" customFormat="1" ht="20.25">
      <c r="A1365" s="161" t="s">
        <v>1367</v>
      </c>
      <c r="B1365" s="408" t="s">
        <v>2324</v>
      </c>
      <c r="C1365" s="297" t="str">
        <f>IF(LEN(A1365)=0,"",INDEX('[2]Smelter Reference List'!$C$1:$C$65536,MATCH($A1365,'[2]Smelter Reference List'!$E$1:$E$65536,0)))</f>
        <v>CV United Smelting</v>
      </c>
      <c r="D1365" s="161" t="s">
        <v>1505</v>
      </c>
      <c r="E1365" s="161" t="s">
        <v>2238</v>
      </c>
      <c r="F1365" s="161" t="s">
        <v>1367</v>
      </c>
      <c r="G1365" s="161" t="s">
        <v>3125</v>
      </c>
      <c r="H1365" s="247">
        <v>0</v>
      </c>
      <c r="I1365" s="248" t="s">
        <v>3457</v>
      </c>
      <c r="J1365" s="248" t="s">
        <v>3454</v>
      </c>
      <c r="K1365" s="245"/>
      <c r="L1365" s="245"/>
      <c r="M1365" s="245"/>
      <c r="N1365" s="245"/>
      <c r="O1365" s="245"/>
      <c r="P1365" s="245"/>
      <c r="Q1365" s="246"/>
      <c r="R1365" s="233"/>
      <c r="S1365" s="234">
        <f>IF(C1365="",NA(),MATCH($B1365&amp;$C1365,'Smelter Reference List'!$J:$J,0))</f>
        <v>335</v>
      </c>
      <c r="T1365" s="235"/>
      <c r="U1365" s="235">
        <f t="shared" si="38"/>
        <v>0</v>
      </c>
      <c r="V1365" s="235"/>
      <c r="W1365" s="235"/>
      <c r="Y1365" s="228" t="str">
        <f t="shared" si="39"/>
        <v>TinCV United Smelting</v>
      </c>
    </row>
    <row r="1366" spans="1:25" s="228" customFormat="1" ht="20.25">
      <c r="A1366" s="161" t="s">
        <v>1368</v>
      </c>
      <c r="B1366" s="408" t="s">
        <v>2324</v>
      </c>
      <c r="C1366" s="297" t="str">
        <f>IF(LEN(A1366)=0,"",INDEX('[2]Smelter Reference List'!$C$1:$C$65536,MATCH($A1366,'[2]Smelter Reference List'!$E$1:$E$65536,0)))</f>
        <v>EM Vinto</v>
      </c>
      <c r="D1366" s="161" t="s">
        <v>1506</v>
      </c>
      <c r="E1366" s="161" t="s">
        <v>2169</v>
      </c>
      <c r="F1366" s="161" t="s">
        <v>1368</v>
      </c>
      <c r="G1366" s="161" t="s">
        <v>3125</v>
      </c>
      <c r="H1366" s="247">
        <v>0</v>
      </c>
      <c r="I1366" s="248" t="s">
        <v>3459</v>
      </c>
      <c r="J1366" s="248" t="s">
        <v>3460</v>
      </c>
      <c r="K1366" s="245"/>
      <c r="L1366" s="245"/>
      <c r="M1366" s="245"/>
      <c r="N1366" s="245"/>
      <c r="O1366" s="245"/>
      <c r="P1366" s="245"/>
      <c r="Q1366" s="246"/>
      <c r="R1366" s="233"/>
      <c r="S1366" s="234">
        <f>IF(C1366="",NA(),MATCH($B1366&amp;$C1366,'Smelter Reference List'!$J:$J,0))</f>
        <v>341</v>
      </c>
      <c r="T1366" s="235"/>
      <c r="U1366" s="235">
        <f t="shared" si="38"/>
        <v>0</v>
      </c>
      <c r="V1366" s="235"/>
      <c r="W1366" s="235"/>
      <c r="Y1366" s="228" t="str">
        <f t="shared" si="39"/>
        <v>TinEM Vinto</v>
      </c>
    </row>
    <row r="1367" spans="1:25" s="228" customFormat="1" ht="20.25">
      <c r="A1367" s="161" t="s">
        <v>1377</v>
      </c>
      <c r="B1367" s="408" t="s">
        <v>2324</v>
      </c>
      <c r="C1367" s="297" t="str">
        <f>IF(LEN(A1367)=0,"",INDEX('[2]Smelter Reference List'!$C$1:$C$65536,MATCH($A1367,'[2]Smelter Reference List'!$E$1:$E$65536,0)))</f>
        <v>China Tin Group Co., Ltd.</v>
      </c>
      <c r="D1367" s="161" t="s">
        <v>2578</v>
      </c>
      <c r="E1367" s="161" t="s">
        <v>2181</v>
      </c>
      <c r="F1367" s="161" t="s">
        <v>1377</v>
      </c>
      <c r="G1367" s="161" t="s">
        <v>3125</v>
      </c>
      <c r="H1367" s="247">
        <v>0</v>
      </c>
      <c r="I1367" s="248" t="s">
        <v>3476</v>
      </c>
      <c r="J1367" s="248" t="s">
        <v>3442</v>
      </c>
      <c r="K1367" s="245"/>
      <c r="L1367" s="245"/>
      <c r="M1367" s="245"/>
      <c r="N1367" s="245"/>
      <c r="O1367" s="245"/>
      <c r="P1367" s="245"/>
      <c r="Q1367" s="246"/>
      <c r="R1367" s="233"/>
      <c r="S1367" s="234">
        <f>IF(C1367="",NA(),MATCH($B1367&amp;$C1367,'Smelter Reference List'!$J:$J,0))</f>
        <v>318</v>
      </c>
      <c r="T1367" s="235"/>
      <c r="U1367" s="235">
        <f t="shared" si="38"/>
        <v>0</v>
      </c>
      <c r="V1367" s="235"/>
      <c r="W1367" s="235"/>
      <c r="Y1367" s="228" t="str">
        <f t="shared" si="39"/>
        <v>TinChina Tin Group Co., Ltd.</v>
      </c>
    </row>
    <row r="1368" spans="1:25" s="228" customFormat="1" ht="20.25">
      <c r="A1368" s="161" t="s">
        <v>1378</v>
      </c>
      <c r="B1368" s="408" t="s">
        <v>2324</v>
      </c>
      <c r="C1368" s="297" t="str">
        <f>IF(LEN(A1368)=0,"",INDEX('[2]Smelter Reference List'!$C$1:$C$65536,MATCH($A1368,'[2]Smelter Reference List'!$E$1:$E$65536,0)))</f>
        <v>Malaysia Smelting Corporation (MSC)</v>
      </c>
      <c r="D1368" s="161" t="s">
        <v>1471</v>
      </c>
      <c r="E1368" s="161" t="s">
        <v>2289</v>
      </c>
      <c r="F1368" s="161" t="s">
        <v>1378</v>
      </c>
      <c r="G1368" s="161" t="s">
        <v>3125</v>
      </c>
      <c r="H1368" s="247">
        <v>0</v>
      </c>
      <c r="I1368" s="248" t="s">
        <v>3481</v>
      </c>
      <c r="J1368" s="248" t="s">
        <v>3482</v>
      </c>
      <c r="K1368" s="245"/>
      <c r="L1368" s="245"/>
      <c r="M1368" s="245"/>
      <c r="N1368" s="245"/>
      <c r="O1368" s="245"/>
      <c r="P1368" s="245"/>
      <c r="Q1368" s="246"/>
      <c r="R1368" s="233"/>
      <c r="S1368" s="234">
        <f>IF(C1368="",NA(),MATCH($B1368&amp;$C1368,'Smelter Reference List'!$J:$J,0))</f>
        <v>377</v>
      </c>
      <c r="T1368" s="235"/>
      <c r="U1368" s="235">
        <f t="shared" si="38"/>
        <v>0</v>
      </c>
      <c r="V1368" s="235"/>
      <c r="W1368" s="235"/>
      <c r="Y1368" s="228" t="str">
        <f t="shared" si="39"/>
        <v>TinMalaysia Smelting Corporation (MSC)</v>
      </c>
    </row>
    <row r="1369" spans="1:25" s="228" customFormat="1" ht="20.25">
      <c r="A1369" s="161"/>
      <c r="B1369" s="408" t="s">
        <v>2324</v>
      </c>
      <c r="C1369" s="297" t="s">
        <v>3604</v>
      </c>
      <c r="D1369" s="228" t="s">
        <v>1471</v>
      </c>
      <c r="E1369" s="228" t="s">
        <v>2289</v>
      </c>
      <c r="F1369" s="161">
        <v>0</v>
      </c>
      <c r="G1369" s="228" t="s">
        <v>5584</v>
      </c>
      <c r="H1369" s="247">
        <v>0</v>
      </c>
      <c r="I1369" s="248">
        <v>0</v>
      </c>
      <c r="J1369" s="248">
        <v>0</v>
      </c>
      <c r="K1369" s="245"/>
      <c r="L1369" s="245"/>
      <c r="M1369" s="245"/>
      <c r="N1369" s="245"/>
      <c r="O1369" s="245"/>
      <c r="P1369" s="245"/>
      <c r="Q1369" s="246"/>
      <c r="R1369" s="233"/>
      <c r="S1369" s="234">
        <f>IF(C1369="",NA(),MATCH($B1369&amp;$C1369,'Smelter Reference List'!$J:$J,0))</f>
        <v>467</v>
      </c>
      <c r="T1369" s="235"/>
      <c r="U1369" s="235">
        <f t="shared" si="38"/>
        <v>0</v>
      </c>
      <c r="V1369" s="235"/>
      <c r="W1369" s="235"/>
      <c r="Y1369" s="228" t="str">
        <f t="shared" si="39"/>
        <v>TinSmelter not listed</v>
      </c>
    </row>
    <row r="1370" spans="1:25" s="228" customFormat="1" ht="20.25">
      <c r="A1370" s="161" t="s">
        <v>1379</v>
      </c>
      <c r="B1370" s="408" t="s">
        <v>2324</v>
      </c>
      <c r="C1370" s="297" t="str">
        <f>IF(LEN(A1370)=0,"",INDEX('[2]Smelter Reference List'!$C$1:$C$65536,MATCH($A1370,'[2]Smelter Reference List'!$E$1:$E$65536,0)))</f>
        <v>Mineração Taboca S.A.</v>
      </c>
      <c r="D1370" s="161" t="s">
        <v>1953</v>
      </c>
      <c r="E1370" s="161" t="s">
        <v>2170</v>
      </c>
      <c r="F1370" s="161" t="s">
        <v>1379</v>
      </c>
      <c r="G1370" s="161" t="s">
        <v>3125</v>
      </c>
      <c r="H1370" s="247">
        <v>0</v>
      </c>
      <c r="I1370" s="248" t="s">
        <v>3485</v>
      </c>
      <c r="J1370" s="248" t="s">
        <v>3313</v>
      </c>
      <c r="K1370" s="245"/>
      <c r="L1370" s="245"/>
      <c r="M1370" s="245"/>
      <c r="N1370" s="245"/>
      <c r="O1370" s="245"/>
      <c r="P1370" s="245"/>
      <c r="Q1370" s="246"/>
      <c r="R1370" s="233"/>
      <c r="S1370" s="234">
        <f>IF(C1370="",NA(),MATCH($B1370&amp;$C1370,'Smelter Reference List'!$J:$J,0))</f>
        <v>383</v>
      </c>
      <c r="T1370" s="235"/>
      <c r="U1370" s="235">
        <f t="shared" si="38"/>
        <v>0</v>
      </c>
      <c r="V1370" s="235"/>
      <c r="W1370" s="235"/>
      <c r="Y1370" s="228" t="str">
        <f t="shared" si="39"/>
        <v>TinMineração Taboca S.A.</v>
      </c>
    </row>
    <row r="1371" spans="1:25" s="228" customFormat="1" ht="20.25">
      <c r="A1371" s="161" t="s">
        <v>1380</v>
      </c>
      <c r="B1371" s="408" t="s">
        <v>2324</v>
      </c>
      <c r="C1371" s="297" t="str">
        <f>IF(LEN(A1371)=0,"",INDEX('[2]Smelter Reference List'!$C$1:$C$65536,MATCH($A1371,'[2]Smelter Reference List'!$E$1:$E$65536,0)))</f>
        <v>Minsur</v>
      </c>
      <c r="D1371" s="161" t="s">
        <v>1954</v>
      </c>
      <c r="E1371" s="161" t="s">
        <v>1704</v>
      </c>
      <c r="F1371" s="161" t="s">
        <v>1380</v>
      </c>
      <c r="G1371" s="161" t="s">
        <v>3125</v>
      </c>
      <c r="H1371" s="247">
        <v>0</v>
      </c>
      <c r="I1371" s="248" t="s">
        <v>3487</v>
      </c>
      <c r="J1371" s="248" t="s">
        <v>3488</v>
      </c>
      <c r="K1371" s="245"/>
      <c r="L1371" s="245"/>
      <c r="M1371" s="245"/>
      <c r="N1371" s="245"/>
      <c r="O1371" s="245"/>
      <c r="P1371" s="245"/>
      <c r="Q1371" s="246"/>
      <c r="R1371" s="233"/>
      <c r="S1371" s="234">
        <f>IF(C1371="",NA(),MATCH($B1371&amp;$C1371,'Smelter Reference List'!$J:$J,0))</f>
        <v>384</v>
      </c>
      <c r="T1371" s="235"/>
      <c r="U1371" s="235">
        <f t="shared" si="38"/>
        <v>0</v>
      </c>
      <c r="V1371" s="235"/>
      <c r="W1371" s="235"/>
      <c r="Y1371" s="228" t="str">
        <f t="shared" si="39"/>
        <v>TinMinsur</v>
      </c>
    </row>
    <row r="1372" spans="1:25" s="228" customFormat="1" ht="20.25">
      <c r="A1372" s="161" t="s">
        <v>1378</v>
      </c>
      <c r="B1372" s="408" t="s">
        <v>2324</v>
      </c>
      <c r="C1372" s="297" t="str">
        <f>IF(LEN(A1372)=0,"",INDEX('[2]Smelter Reference List'!$C$1:$C$65536,MATCH($A1372,'[2]Smelter Reference List'!$E$1:$E$65536,0)))</f>
        <v>Malaysia Smelting Corporation (MSC)</v>
      </c>
      <c r="D1372" s="161" t="s">
        <v>1471</v>
      </c>
      <c r="E1372" s="161" t="s">
        <v>2289</v>
      </c>
      <c r="F1372" s="161" t="s">
        <v>1378</v>
      </c>
      <c r="G1372" s="161" t="s">
        <v>3125</v>
      </c>
      <c r="H1372" s="247">
        <v>0</v>
      </c>
      <c r="I1372" s="248" t="s">
        <v>3481</v>
      </c>
      <c r="J1372" s="248" t="s">
        <v>3482</v>
      </c>
      <c r="K1372" s="245"/>
      <c r="L1372" s="245"/>
      <c r="M1372" s="245"/>
      <c r="N1372" s="245"/>
      <c r="O1372" s="245"/>
      <c r="P1372" s="245"/>
      <c r="Q1372" s="246"/>
      <c r="R1372" s="233"/>
      <c r="S1372" s="234">
        <f>IF(C1372="",NA(),MATCH($B1372&amp;$C1372,'Smelter Reference List'!$J:$J,0))</f>
        <v>377</v>
      </c>
      <c r="T1372" s="235"/>
      <c r="U1372" s="235">
        <f t="shared" si="38"/>
        <v>0</v>
      </c>
      <c r="V1372" s="235"/>
      <c r="W1372" s="235"/>
      <c r="Y1372" s="228" t="str">
        <f t="shared" si="39"/>
        <v>TinMalaysia Smelting Corporation (MSC)</v>
      </c>
    </row>
    <row r="1373" spans="1:25" s="228" customFormat="1" ht="20.25">
      <c r="A1373" s="161" t="s">
        <v>1384</v>
      </c>
      <c r="B1373" s="408" t="s">
        <v>2324</v>
      </c>
      <c r="C1373" s="297" t="str">
        <f>IF(LEN(A1373)=0,"",INDEX('[2]Smelter Reference List'!$C$1:$C$65536,MATCH($A1373,'[2]Smelter Reference List'!$E$1:$E$65536,0)))</f>
        <v>Operaciones Metalurgical S.A.</v>
      </c>
      <c r="D1373" s="161" t="s">
        <v>3494</v>
      </c>
      <c r="E1373" s="161" t="s">
        <v>2169</v>
      </c>
      <c r="F1373" s="161" t="s">
        <v>1384</v>
      </c>
      <c r="G1373" s="161" t="s">
        <v>3125</v>
      </c>
      <c r="H1373" s="247">
        <v>0</v>
      </c>
      <c r="I1373" s="248" t="s">
        <v>3459</v>
      </c>
      <c r="J1373" s="248" t="s">
        <v>3460</v>
      </c>
      <c r="K1373" s="245"/>
      <c r="L1373" s="245"/>
      <c r="M1373" s="245"/>
      <c r="N1373" s="245"/>
      <c r="O1373" s="245"/>
      <c r="P1373" s="245"/>
      <c r="Q1373" s="246"/>
      <c r="R1373" s="233"/>
      <c r="S1373" s="234">
        <f>IF(C1373="",NA(),MATCH($B1373&amp;$C1373,'Smelter Reference List'!$J:$J,0))</f>
        <v>394</v>
      </c>
      <c r="T1373" s="235"/>
      <c r="U1373" s="235">
        <f t="shared" si="38"/>
        <v>0</v>
      </c>
      <c r="V1373" s="235"/>
      <c r="W1373" s="235"/>
      <c r="Y1373" s="228" t="str">
        <f t="shared" si="39"/>
        <v>TinOperaciones Metalurgical S.A.</v>
      </c>
    </row>
    <row r="1374" spans="1:25" s="228" customFormat="1" ht="20.25">
      <c r="A1374" s="161"/>
      <c r="B1374" s="408" t="s">
        <v>2324</v>
      </c>
      <c r="C1374" s="297" t="s">
        <v>3604</v>
      </c>
      <c r="D1374" s="228" t="s">
        <v>5698</v>
      </c>
      <c r="E1374" s="228" t="s">
        <v>2238</v>
      </c>
      <c r="F1374" s="161">
        <v>0</v>
      </c>
      <c r="G1374" s="228" t="s">
        <v>5584</v>
      </c>
      <c r="H1374" s="247">
        <v>0</v>
      </c>
      <c r="I1374" s="248">
        <v>0</v>
      </c>
      <c r="J1374" s="248">
        <v>0</v>
      </c>
      <c r="K1374" s="245"/>
      <c r="L1374" s="245"/>
      <c r="M1374" s="245"/>
      <c r="N1374" s="245"/>
      <c r="O1374" s="245"/>
      <c r="P1374" s="245"/>
      <c r="Q1374" s="246"/>
      <c r="R1374" s="233"/>
      <c r="S1374" s="234">
        <f>IF(C1374="",NA(),MATCH($B1374&amp;$C1374,'Smelter Reference List'!$J:$J,0))</f>
        <v>467</v>
      </c>
      <c r="T1374" s="235"/>
      <c r="U1374" s="235">
        <f t="shared" si="38"/>
        <v>0</v>
      </c>
      <c r="V1374" s="235"/>
      <c r="W1374" s="235"/>
      <c r="Y1374" s="228" t="str">
        <f t="shared" si="39"/>
        <v>TinSmelter not listed</v>
      </c>
    </row>
    <row r="1375" spans="1:25" s="228" customFormat="1" ht="20.25">
      <c r="A1375" s="161" t="s">
        <v>1389</v>
      </c>
      <c r="B1375" s="408" t="s">
        <v>2324</v>
      </c>
      <c r="C1375" s="297" t="str">
        <f>IF(LEN(A1375)=0,"",INDEX('[2]Smelter Reference List'!$C$1:$C$65536,MATCH($A1375,'[2]Smelter Reference List'!$E$1:$E$65536,0)))</f>
        <v>PT Bukit Timah</v>
      </c>
      <c r="D1375" s="161" t="s">
        <v>1194</v>
      </c>
      <c r="E1375" s="161" t="s">
        <v>2238</v>
      </c>
      <c r="F1375" s="161" t="s">
        <v>1389</v>
      </c>
      <c r="G1375" s="161" t="s">
        <v>3125</v>
      </c>
      <c r="H1375" s="247">
        <v>0</v>
      </c>
      <c r="I1375" s="248" t="s">
        <v>3457</v>
      </c>
      <c r="J1375" s="248" t="s">
        <v>3454</v>
      </c>
      <c r="K1375" s="245"/>
      <c r="L1375" s="245"/>
      <c r="M1375" s="245"/>
      <c r="N1375" s="245"/>
      <c r="O1375" s="245"/>
      <c r="P1375" s="245"/>
      <c r="Q1375" s="246"/>
      <c r="R1375" s="233"/>
      <c r="S1375" s="234">
        <f>IF(C1375="",NA(),MATCH($B1375&amp;$C1375,'Smelter Reference List'!$J:$J,0))</f>
        <v>408</v>
      </c>
      <c r="T1375" s="235"/>
      <c r="U1375" s="235">
        <f t="shared" si="38"/>
        <v>0</v>
      </c>
      <c r="V1375" s="235"/>
      <c r="W1375" s="235"/>
      <c r="Y1375" s="228" t="str">
        <f t="shared" si="39"/>
        <v>TinPT Bukit Timah</v>
      </c>
    </row>
    <row r="1376" spans="1:25" s="228" customFormat="1" ht="20.25">
      <c r="A1376" s="161" t="s">
        <v>1398</v>
      </c>
      <c r="B1376" s="408" t="s">
        <v>2324</v>
      </c>
      <c r="C1376" s="297" t="str">
        <f>IF(LEN(A1376)=0,"",INDEX('[2]Smelter Reference List'!$C$1:$C$65536,MATCH($A1376,'[2]Smelter Reference List'!$E$1:$E$65536,0)))</f>
        <v>PT Stanindo Inti Perkasa</v>
      </c>
      <c r="D1376" s="161" t="s">
        <v>2369</v>
      </c>
      <c r="E1376" s="161" t="s">
        <v>2238</v>
      </c>
      <c r="F1376" s="161" t="s">
        <v>1398</v>
      </c>
      <c r="G1376" s="161" t="s">
        <v>3125</v>
      </c>
      <c r="H1376" s="247">
        <v>0</v>
      </c>
      <c r="I1376" s="248" t="s">
        <v>3457</v>
      </c>
      <c r="J1376" s="248" t="s">
        <v>3454</v>
      </c>
      <c r="K1376" s="245"/>
      <c r="L1376" s="245"/>
      <c r="M1376" s="245"/>
      <c r="N1376" s="245"/>
      <c r="O1376" s="245"/>
      <c r="P1376" s="245"/>
      <c r="Q1376" s="246"/>
      <c r="R1376" s="233"/>
      <c r="S1376" s="234">
        <f>IF(C1376="",NA(),MATCH($B1376&amp;$C1376,'Smelter Reference List'!$J:$J,0))</f>
        <v>427</v>
      </c>
      <c r="T1376" s="235"/>
      <c r="U1376" s="235">
        <f t="shared" si="38"/>
        <v>0</v>
      </c>
      <c r="V1376" s="235"/>
      <c r="W1376" s="235"/>
      <c r="Y1376" s="228" t="str">
        <f t="shared" si="39"/>
        <v>TinPT Stanindo Inti Perkasa</v>
      </c>
    </row>
    <row r="1377" spans="1:25" s="228" customFormat="1" ht="20.25">
      <c r="A1377" s="161" t="s">
        <v>1399</v>
      </c>
      <c r="B1377" s="408" t="s">
        <v>2324</v>
      </c>
      <c r="C1377" s="297" t="str">
        <f>IF(LEN(A1377)=0,"",INDEX('[2]Smelter Reference List'!$C$1:$C$65536,MATCH($A1377,'[2]Smelter Reference List'!$E$1:$E$65536,0)))</f>
        <v>PT Timah (Persero) Tbk Mentok</v>
      </c>
      <c r="D1377" s="161" t="s">
        <v>4266</v>
      </c>
      <c r="E1377" s="161" t="s">
        <v>2238</v>
      </c>
      <c r="F1377" s="161" t="s">
        <v>1399</v>
      </c>
      <c r="G1377" s="161" t="s">
        <v>3125</v>
      </c>
      <c r="H1377" s="247">
        <v>0</v>
      </c>
      <c r="I1377" s="248" t="s">
        <v>3507</v>
      </c>
      <c r="J1377" s="248" t="s">
        <v>3454</v>
      </c>
      <c r="K1377" s="245"/>
      <c r="L1377" s="245"/>
      <c r="M1377" s="245"/>
      <c r="N1377" s="245"/>
      <c r="O1377" s="245"/>
      <c r="P1377" s="245"/>
      <c r="Q1377" s="246"/>
      <c r="R1377" s="233"/>
      <c r="S1377" s="234">
        <f>IF(C1377="",NA(),MATCH($B1377&amp;$C1377,'Smelter Reference List'!$J:$J,0))</f>
        <v>432</v>
      </c>
      <c r="T1377" s="235"/>
      <c r="U1377" s="235">
        <f t="shared" si="38"/>
        <v>0</v>
      </c>
      <c r="V1377" s="235"/>
      <c r="W1377" s="235"/>
      <c r="Y1377" s="228" t="str">
        <f t="shared" si="39"/>
        <v>TinPT Timah (Persero) Tbk Mentok</v>
      </c>
    </row>
    <row r="1378" spans="1:25" s="228" customFormat="1" ht="20.25">
      <c r="A1378" s="161" t="s">
        <v>1404</v>
      </c>
      <c r="B1378" s="408" t="s">
        <v>2324</v>
      </c>
      <c r="C1378" s="297" t="str">
        <f>IF(LEN(A1378)=0,"",INDEX('[2]Smelter Reference List'!$C$1:$C$65536,MATCH($A1378,'[2]Smelter Reference List'!$E$1:$E$65536,0)))</f>
        <v>Thaisarco</v>
      </c>
      <c r="D1378" s="161" t="s">
        <v>1951</v>
      </c>
      <c r="E1378" s="161" t="s">
        <v>1743</v>
      </c>
      <c r="F1378" s="161" t="s">
        <v>1404</v>
      </c>
      <c r="G1378" s="161" t="s">
        <v>3125</v>
      </c>
      <c r="H1378" s="247">
        <v>0</v>
      </c>
      <c r="I1378" s="248" t="s">
        <v>3510</v>
      </c>
      <c r="J1378" s="248" t="s">
        <v>3511</v>
      </c>
      <c r="K1378" s="245"/>
      <c r="L1378" s="245"/>
      <c r="M1378" s="245"/>
      <c r="N1378" s="245"/>
      <c r="O1378" s="245"/>
      <c r="P1378" s="245"/>
      <c r="Q1378" s="246"/>
      <c r="R1378" s="233"/>
      <c r="S1378" s="234">
        <f>IF(C1378="",NA(),MATCH($B1378&amp;$C1378,'Smelter Reference List'!$J:$J,0))</f>
        <v>445</v>
      </c>
      <c r="T1378" s="235"/>
      <c r="U1378" s="235">
        <f t="shared" si="38"/>
        <v>0</v>
      </c>
      <c r="V1378" s="235"/>
      <c r="W1378" s="235"/>
      <c r="Y1378" s="228" t="str">
        <f t="shared" si="39"/>
        <v>TinThaisarco</v>
      </c>
    </row>
    <row r="1379" spans="1:25" s="228" customFormat="1" ht="20.25">
      <c r="A1379" s="161" t="s">
        <v>1404</v>
      </c>
      <c r="B1379" s="408" t="s">
        <v>2324</v>
      </c>
      <c r="C1379" s="297" t="str">
        <f>IF(LEN(A1379)=0,"",INDEX('[2]Smelter Reference List'!$C$1:$C$65536,MATCH($A1379,'[2]Smelter Reference List'!$E$1:$E$65536,0)))</f>
        <v>Thaisarco</v>
      </c>
      <c r="D1379" s="161" t="s">
        <v>1951</v>
      </c>
      <c r="E1379" s="161" t="s">
        <v>1743</v>
      </c>
      <c r="F1379" s="161" t="s">
        <v>1404</v>
      </c>
      <c r="G1379" s="161" t="s">
        <v>3125</v>
      </c>
      <c r="H1379" s="247">
        <v>0</v>
      </c>
      <c r="I1379" s="248" t="s">
        <v>3510</v>
      </c>
      <c r="J1379" s="248" t="s">
        <v>3511</v>
      </c>
      <c r="K1379" s="245"/>
      <c r="L1379" s="245"/>
      <c r="M1379" s="245"/>
      <c r="N1379" s="245"/>
      <c r="O1379" s="245"/>
      <c r="P1379" s="245"/>
      <c r="Q1379" s="246"/>
      <c r="R1379" s="233"/>
      <c r="S1379" s="234">
        <f>IF(C1379="",NA(),MATCH($B1379&amp;$C1379,'Smelter Reference List'!$J:$J,0))</f>
        <v>445</v>
      </c>
      <c r="T1379" s="235"/>
      <c r="U1379" s="235">
        <f t="shared" si="38"/>
        <v>0</v>
      </c>
      <c r="V1379" s="235"/>
      <c r="W1379" s="235"/>
      <c r="Y1379" s="228" t="str">
        <f t="shared" si="39"/>
        <v>TinThaisarco</v>
      </c>
    </row>
    <row r="1380" spans="1:25" s="228" customFormat="1" ht="20.25">
      <c r="A1380" s="161" t="s">
        <v>1407</v>
      </c>
      <c r="B1380" s="408" t="s">
        <v>2324</v>
      </c>
      <c r="C1380" s="297" t="str">
        <f>IF(LEN(A1380)=0,"",INDEX('[2]Smelter Reference List'!$C$1:$C$65536,MATCH($A1380,'[2]Smelter Reference List'!$E$1:$E$65536,0)))</f>
        <v>Yunnan Tin Company Limited</v>
      </c>
      <c r="D1380" s="161" t="s">
        <v>4749</v>
      </c>
      <c r="E1380" s="161" t="s">
        <v>2181</v>
      </c>
      <c r="F1380" s="161" t="s">
        <v>1407</v>
      </c>
      <c r="G1380" s="161" t="s">
        <v>3125</v>
      </c>
      <c r="H1380" s="247">
        <v>0</v>
      </c>
      <c r="I1380" s="248" t="s">
        <v>3468</v>
      </c>
      <c r="J1380" s="248" t="s">
        <v>3161</v>
      </c>
      <c r="K1380" s="245"/>
      <c r="L1380" s="245"/>
      <c r="M1380" s="245"/>
      <c r="N1380" s="245"/>
      <c r="O1380" s="245"/>
      <c r="P1380" s="245"/>
      <c r="Q1380" s="246"/>
      <c r="R1380" s="233"/>
      <c r="S1380" s="234">
        <f>IF(C1380="",NA(),MATCH($B1380&amp;$C1380,'Smelter Reference List'!$J:$J,0))</f>
        <v>462</v>
      </c>
      <c r="T1380" s="235"/>
      <c r="U1380" s="235">
        <f t="shared" si="38"/>
        <v>0</v>
      </c>
      <c r="V1380" s="235"/>
      <c r="W1380" s="235"/>
      <c r="Y1380" s="228" t="str">
        <f t="shared" si="39"/>
        <v>TinYunnan Tin Company Limited</v>
      </c>
    </row>
    <row r="1381" spans="1:25" s="228" customFormat="1" ht="20.25">
      <c r="A1381" s="161" t="s">
        <v>1238</v>
      </c>
      <c r="B1381" s="408" t="s">
        <v>2323</v>
      </c>
      <c r="C1381" s="297" t="str">
        <f>IF(LEN(A1381)=0,"",INDEX('[2]Smelter Reference List'!$C$1:$C$65536,MATCH($A1381,'[2]Smelter Reference List'!$E$1:$E$65536,0)))</f>
        <v>Argor-Heraeus S.A.</v>
      </c>
      <c r="D1381" s="161" t="s">
        <v>4669</v>
      </c>
      <c r="E1381" s="161" t="s">
        <v>2179</v>
      </c>
      <c r="F1381" s="161" t="s">
        <v>1238</v>
      </c>
      <c r="G1381" s="161" t="s">
        <v>3125</v>
      </c>
      <c r="H1381" s="247">
        <v>0</v>
      </c>
      <c r="I1381" s="248" t="s">
        <v>3137</v>
      </c>
      <c r="J1381" s="248" t="s">
        <v>3138</v>
      </c>
      <c r="K1381" s="245"/>
      <c r="L1381" s="245"/>
      <c r="M1381" s="245"/>
      <c r="N1381" s="245"/>
      <c r="O1381" s="245"/>
      <c r="P1381" s="245"/>
      <c r="Q1381" s="246"/>
      <c r="R1381" s="233"/>
      <c r="S1381" s="234">
        <f>IF(C1381="",NA(),MATCH($B1381&amp;$C1381,'Smelter Reference List'!$J:$J,0))</f>
        <v>17</v>
      </c>
      <c r="T1381" s="235"/>
      <c r="U1381" s="235">
        <f t="shared" si="38"/>
        <v>0</v>
      </c>
      <c r="V1381" s="235"/>
      <c r="W1381" s="235"/>
      <c r="Y1381" s="228" t="str">
        <f t="shared" si="39"/>
        <v>GoldArgor-Heraeus S.A.</v>
      </c>
    </row>
    <row r="1382" spans="1:25" s="228" customFormat="1" ht="20.25">
      <c r="A1382" s="161" t="s">
        <v>1239</v>
      </c>
      <c r="B1382" s="408" t="s">
        <v>2323</v>
      </c>
      <c r="C1382" s="297" t="str">
        <f>IF(LEN(A1382)=0,"",INDEX('[2]Smelter Reference List'!$C$1:$C$65536,MATCH($A1382,'[2]Smelter Reference List'!$E$1:$E$65536,0)))</f>
        <v>Asahi Pretec Corp.</v>
      </c>
      <c r="D1382" s="161" t="s">
        <v>4670</v>
      </c>
      <c r="E1382" s="161" t="s">
        <v>2249</v>
      </c>
      <c r="F1382" s="161" t="s">
        <v>1239</v>
      </c>
      <c r="G1382" s="161" t="s">
        <v>3125</v>
      </c>
      <c r="H1382" s="247">
        <v>0</v>
      </c>
      <c r="I1382" s="248" t="s">
        <v>3139</v>
      </c>
      <c r="J1382" s="248" t="s">
        <v>3140</v>
      </c>
      <c r="K1382" s="245"/>
      <c r="L1382" s="245"/>
      <c r="M1382" s="245"/>
      <c r="N1382" s="245"/>
      <c r="O1382" s="245"/>
      <c r="P1382" s="245"/>
      <c r="Q1382" s="246"/>
      <c r="R1382" s="233"/>
      <c r="S1382" s="234">
        <f>IF(C1382="",NA(),MATCH($B1382&amp;$C1382,'Smelter Reference List'!$J:$J,0))</f>
        <v>18</v>
      </c>
      <c r="T1382" s="235"/>
      <c r="U1382" s="235">
        <f t="shared" si="38"/>
        <v>0</v>
      </c>
      <c r="V1382" s="235"/>
      <c r="W1382" s="235"/>
      <c r="Y1382" s="228" t="str">
        <f t="shared" si="39"/>
        <v>GoldAsahi Pretec Corp.</v>
      </c>
    </row>
    <row r="1383" spans="1:25" s="228" customFormat="1" ht="20.25">
      <c r="A1383" s="161" t="s">
        <v>1264</v>
      </c>
      <c r="B1383" s="408" t="s">
        <v>2323</v>
      </c>
      <c r="C1383" s="297" t="str">
        <f>IF(LEN(A1383)=0,"",INDEX('[2]Smelter Reference List'!$C$1:$C$65536,MATCH($A1383,'[2]Smelter Reference List'!$E$1:$E$65536,0)))</f>
        <v>Heraeus Ltd. Hong Kong</v>
      </c>
      <c r="D1383" s="161" t="s">
        <v>72</v>
      </c>
      <c r="E1383" s="161" t="s">
        <v>2181</v>
      </c>
      <c r="F1383" s="161" t="s">
        <v>1264</v>
      </c>
      <c r="G1383" s="161" t="s">
        <v>3125</v>
      </c>
      <c r="H1383" s="247">
        <v>0</v>
      </c>
      <c r="I1383" s="248" t="s">
        <v>3190</v>
      </c>
      <c r="J1383" s="248" t="s">
        <v>3191</v>
      </c>
      <c r="K1383" s="245"/>
      <c r="L1383" s="245"/>
      <c r="M1383" s="245"/>
      <c r="N1383" s="245"/>
      <c r="O1383" s="245"/>
      <c r="P1383" s="245"/>
      <c r="Q1383" s="246"/>
      <c r="R1383" s="233"/>
      <c r="S1383" s="234">
        <f>IF(C1383="",NA(),MATCH($B1383&amp;$C1383,'Smelter Reference List'!$J:$J,0))</f>
        <v>75</v>
      </c>
      <c r="T1383" s="235"/>
      <c r="U1383" s="235">
        <f t="shared" si="38"/>
        <v>0</v>
      </c>
      <c r="V1383" s="235"/>
      <c r="W1383" s="235"/>
      <c r="Y1383" s="228" t="str">
        <f t="shared" si="39"/>
        <v>GoldHeraeus Ltd. Hong Kong</v>
      </c>
    </row>
    <row r="1384" spans="1:25" s="228" customFormat="1" ht="20.25">
      <c r="A1384" s="161" t="s">
        <v>1269</v>
      </c>
      <c r="B1384" s="408" t="s">
        <v>2323</v>
      </c>
      <c r="C1384" s="297" t="str">
        <f>IF(LEN(A1384)=0,"",INDEX('[2]Smelter Reference List'!$C$1:$C$65536,MATCH($A1384,'[2]Smelter Reference List'!$E$1:$E$65536,0)))</f>
        <v>Ishifuku Metal Industry Co., Ltd.</v>
      </c>
      <c r="D1384" s="161" t="s">
        <v>2452</v>
      </c>
      <c r="E1384" s="161" t="s">
        <v>2249</v>
      </c>
      <c r="F1384" s="161" t="s">
        <v>1269</v>
      </c>
      <c r="G1384" s="161" t="s">
        <v>3125</v>
      </c>
      <c r="H1384" s="247">
        <v>0</v>
      </c>
      <c r="I1384" s="248" t="s">
        <v>3199</v>
      </c>
      <c r="J1384" s="248" t="s">
        <v>3179</v>
      </c>
      <c r="K1384" s="245"/>
      <c r="L1384" s="245"/>
      <c r="M1384" s="245"/>
      <c r="N1384" s="245"/>
      <c r="O1384" s="245"/>
      <c r="P1384" s="245"/>
      <c r="Q1384" s="246"/>
      <c r="R1384" s="233"/>
      <c r="S1384" s="234">
        <f>IF(C1384="",NA(),MATCH($B1384&amp;$C1384,'Smelter Reference List'!$J:$J,0))</f>
        <v>82</v>
      </c>
      <c r="T1384" s="235"/>
      <c r="U1384" s="235">
        <f t="shared" si="38"/>
        <v>0</v>
      </c>
      <c r="V1384" s="235"/>
      <c r="W1384" s="235"/>
      <c r="Y1384" s="228" t="str">
        <f t="shared" si="39"/>
        <v>GoldIshifuku Metal Industry Co., Ltd.</v>
      </c>
    </row>
    <row r="1385" spans="1:25" s="228" customFormat="1" ht="20.25">
      <c r="A1385" s="161" t="s">
        <v>1277</v>
      </c>
      <c r="B1385" s="408" t="s">
        <v>2323</v>
      </c>
      <c r="C1385" s="297" t="str">
        <f>IF(LEN(A1385)=0,"",INDEX('[2]Smelter Reference List'!$C$1:$C$65536,MATCH($A1385,'[2]Smelter Reference List'!$E$1:$E$65536,0)))</f>
        <v>JX Nippon Mining &amp; Metals Co., Ltd.</v>
      </c>
      <c r="D1385" s="161" t="s">
        <v>73</v>
      </c>
      <c r="E1385" s="161" t="s">
        <v>2249</v>
      </c>
      <c r="F1385" s="161" t="s">
        <v>1277</v>
      </c>
      <c r="G1385" s="161" t="s">
        <v>3125</v>
      </c>
      <c r="H1385" s="247">
        <v>0</v>
      </c>
      <c r="I1385" s="248" t="s">
        <v>4844</v>
      </c>
      <c r="J1385" s="248" t="s">
        <v>4844</v>
      </c>
      <c r="K1385" s="245"/>
      <c r="L1385" s="245"/>
      <c r="M1385" s="245"/>
      <c r="N1385" s="245"/>
      <c r="O1385" s="245"/>
      <c r="P1385" s="245"/>
      <c r="Q1385" s="246"/>
      <c r="R1385" s="233"/>
      <c r="S1385" s="234">
        <f>IF(C1385="",NA(),MATCH($B1385&amp;$C1385,'Smelter Reference List'!$J:$J,0))</f>
        <v>93</v>
      </c>
      <c r="T1385" s="235"/>
      <c r="U1385" s="235">
        <f t="shared" si="38"/>
        <v>0</v>
      </c>
      <c r="V1385" s="235"/>
      <c r="W1385" s="235"/>
      <c r="Y1385" s="228" t="str">
        <f t="shared" si="39"/>
        <v>GoldJX Nippon Mining &amp; Metals Co., Ltd.</v>
      </c>
    </row>
    <row r="1386" spans="1:25" s="228" customFormat="1" ht="20.25">
      <c r="A1386" s="161" t="s">
        <v>1293</v>
      </c>
      <c r="B1386" s="408" t="s">
        <v>2323</v>
      </c>
      <c r="C1386" s="297" t="str">
        <f>IF(LEN(A1386)=0,"",INDEX('[2]Smelter Reference List'!$C$1:$C$65536,MATCH($A1386,'[2]Smelter Reference List'!$E$1:$E$65536,0)))</f>
        <v>Metalor Technologies S.A.</v>
      </c>
      <c r="D1386" s="161" t="s">
        <v>4697</v>
      </c>
      <c r="E1386" s="161" t="s">
        <v>2179</v>
      </c>
      <c r="F1386" s="161" t="s">
        <v>1293</v>
      </c>
      <c r="G1386" s="161" t="s">
        <v>3125</v>
      </c>
      <c r="H1386" s="247">
        <v>0</v>
      </c>
      <c r="I1386" s="248" t="s">
        <v>3239</v>
      </c>
      <c r="J1386" s="248" t="s">
        <v>3240</v>
      </c>
      <c r="K1386" s="245"/>
      <c r="L1386" s="245"/>
      <c r="M1386" s="245"/>
      <c r="N1386" s="245"/>
      <c r="O1386" s="245"/>
      <c r="P1386" s="245"/>
      <c r="Q1386" s="246"/>
      <c r="R1386" s="233"/>
      <c r="S1386" s="234">
        <f>IF(C1386="",NA(),MATCH($B1386&amp;$C1386,'Smelter Reference List'!$J:$J,0))</f>
        <v>123</v>
      </c>
      <c r="T1386" s="235"/>
      <c r="U1386" s="235">
        <f t="shared" si="38"/>
        <v>0</v>
      </c>
      <c r="V1386" s="235"/>
      <c r="W1386" s="235"/>
      <c r="Y1386" s="228" t="str">
        <f t="shared" si="39"/>
        <v>GoldMetalor Technologies S.A.</v>
      </c>
    </row>
    <row r="1387" spans="1:25" s="228" customFormat="1" ht="20.25">
      <c r="A1387" s="161" t="s">
        <v>1294</v>
      </c>
      <c r="B1387" s="408" t="s">
        <v>2323</v>
      </c>
      <c r="C1387" s="297" t="str">
        <f>IF(LEN(A1387)=0,"",INDEX('[2]Smelter Reference List'!$C$1:$C$65536,MATCH($A1387,'[2]Smelter Reference List'!$E$1:$E$65536,0)))</f>
        <v>Metalor USA Refining Corporation</v>
      </c>
      <c r="D1387" s="161" t="s">
        <v>2453</v>
      </c>
      <c r="E1387" s="161" t="s">
        <v>1759</v>
      </c>
      <c r="F1387" s="161" t="s">
        <v>1294</v>
      </c>
      <c r="G1387" s="161" t="s">
        <v>3125</v>
      </c>
      <c r="H1387" s="247">
        <v>0</v>
      </c>
      <c r="I1387" s="248" t="s">
        <v>3241</v>
      </c>
      <c r="J1387" s="248" t="s">
        <v>3242</v>
      </c>
      <c r="K1387" s="245"/>
      <c r="L1387" s="245"/>
      <c r="M1387" s="245"/>
      <c r="N1387" s="245"/>
      <c r="O1387" s="245"/>
      <c r="P1387" s="245"/>
      <c r="Q1387" s="246"/>
      <c r="R1387" s="233"/>
      <c r="S1387" s="234">
        <f>IF(C1387="",NA(),MATCH($B1387&amp;$C1387,'Smelter Reference List'!$J:$J,0))</f>
        <v>124</v>
      </c>
      <c r="T1387" s="235"/>
      <c r="U1387" s="235">
        <f t="shared" si="38"/>
        <v>0</v>
      </c>
      <c r="V1387" s="235"/>
      <c r="W1387" s="235"/>
      <c r="Y1387" s="228" t="str">
        <f t="shared" si="39"/>
        <v>GoldMetalor USA Refining Corporation</v>
      </c>
    </row>
    <row r="1388" spans="1:25" s="228" customFormat="1" ht="20.25">
      <c r="A1388" s="161" t="s">
        <v>1296</v>
      </c>
      <c r="B1388" s="408" t="s">
        <v>2323</v>
      </c>
      <c r="C1388" s="297" t="str">
        <f>IF(LEN(A1388)=0,"",INDEX('[2]Smelter Reference List'!$C$1:$C$65536,MATCH($A1388,'[2]Smelter Reference List'!$E$1:$E$65536,0)))</f>
        <v>Mitsubishi Materials Corporation</v>
      </c>
      <c r="D1388" s="161" t="s">
        <v>2371</v>
      </c>
      <c r="E1388" s="161" t="s">
        <v>2249</v>
      </c>
      <c r="F1388" s="161" t="s">
        <v>1296</v>
      </c>
      <c r="G1388" s="161" t="s">
        <v>3125</v>
      </c>
      <c r="H1388" s="247">
        <v>0</v>
      </c>
      <c r="I1388" s="248" t="s">
        <v>3245</v>
      </c>
      <c r="J1388" s="248" t="s">
        <v>4283</v>
      </c>
      <c r="K1388" s="245"/>
      <c r="L1388" s="245"/>
      <c r="M1388" s="245"/>
      <c r="N1388" s="245"/>
      <c r="O1388" s="245"/>
      <c r="P1388" s="245"/>
      <c r="Q1388" s="246"/>
      <c r="R1388" s="233"/>
      <c r="S1388" s="234">
        <f>IF(C1388="",NA(),MATCH($B1388&amp;$C1388,'Smelter Reference List'!$J:$J,0))</f>
        <v>128</v>
      </c>
      <c r="T1388" s="235"/>
      <c r="U1388" s="235">
        <f t="shared" si="38"/>
        <v>0</v>
      </c>
      <c r="V1388" s="235"/>
      <c r="W1388" s="235"/>
      <c r="Y1388" s="228" t="str">
        <f t="shared" si="39"/>
        <v>GoldMitsubishi Materials Corporation</v>
      </c>
    </row>
    <row r="1389" spans="1:25" s="228" customFormat="1" ht="20.25">
      <c r="A1389" s="161" t="s">
        <v>1297</v>
      </c>
      <c r="B1389" s="408" t="s">
        <v>2323</v>
      </c>
      <c r="C1389" s="297" t="str">
        <f>IF(LEN(A1389)=0,"",INDEX('[2]Smelter Reference List'!$C$1:$C$65536,MATCH($A1389,'[2]Smelter Reference List'!$E$1:$E$65536,0)))</f>
        <v>Mitsui Mining and Smelting Co., Ltd.</v>
      </c>
      <c r="D1389" s="161" t="s">
        <v>2454</v>
      </c>
      <c r="E1389" s="161" t="s">
        <v>2249</v>
      </c>
      <c r="F1389" s="161" t="s">
        <v>1297</v>
      </c>
      <c r="G1389" s="161" t="s">
        <v>3125</v>
      </c>
      <c r="H1389" s="247">
        <v>0</v>
      </c>
      <c r="I1389" s="248" t="s">
        <v>3247</v>
      </c>
      <c r="J1389" s="248" t="s">
        <v>3246</v>
      </c>
      <c r="K1389" s="245"/>
      <c r="L1389" s="245"/>
      <c r="M1389" s="245"/>
      <c r="N1389" s="245"/>
      <c r="O1389" s="245"/>
      <c r="P1389" s="245"/>
      <c r="Q1389" s="246"/>
      <c r="R1389" s="233"/>
      <c r="S1389" s="234">
        <f>IF(C1389="",NA(),MATCH($B1389&amp;$C1389,'Smelter Reference List'!$J:$J,0))</f>
        <v>130</v>
      </c>
      <c r="T1389" s="235"/>
      <c r="U1389" s="235">
        <f t="shared" si="38"/>
        <v>0</v>
      </c>
      <c r="V1389" s="235"/>
      <c r="W1389" s="235"/>
      <c r="Y1389" s="228" t="str">
        <f t="shared" si="39"/>
        <v>GoldMitsui Mining and Smelting Co., Ltd.</v>
      </c>
    </row>
    <row r="1390" spans="1:25" s="228" customFormat="1" ht="20.25">
      <c r="A1390" s="161" t="s">
        <v>1324</v>
      </c>
      <c r="B1390" s="408" t="s">
        <v>2323</v>
      </c>
      <c r="C1390" s="297" t="str">
        <f>IF(LEN(A1390)=0,"",INDEX('[2]Smelter Reference List'!$C$1:$C$65536,MATCH($A1390,'[2]Smelter Reference List'!$E$1:$E$65536,0)))</f>
        <v>The Refinery of Shandong Gold Mining Co., Ltd.</v>
      </c>
      <c r="D1390" s="161" t="s">
        <v>4177</v>
      </c>
      <c r="E1390" s="161" t="s">
        <v>2181</v>
      </c>
      <c r="F1390" s="161" t="s">
        <v>1324</v>
      </c>
      <c r="G1390" s="161" t="s">
        <v>3125</v>
      </c>
      <c r="H1390" s="247">
        <v>0</v>
      </c>
      <c r="I1390" s="248" t="s">
        <v>3286</v>
      </c>
      <c r="J1390" s="248" t="s">
        <v>3263</v>
      </c>
      <c r="K1390" s="245"/>
      <c r="L1390" s="245"/>
      <c r="M1390" s="245"/>
      <c r="N1390" s="245"/>
      <c r="O1390" s="245"/>
      <c r="P1390" s="245"/>
      <c r="Q1390" s="246"/>
      <c r="R1390" s="233"/>
      <c r="S1390" s="234">
        <f>IF(C1390="",NA(),MATCH($B1390&amp;$C1390,'Smelter Reference List'!$J:$J,0))</f>
        <v>204</v>
      </c>
      <c r="T1390" s="235"/>
      <c r="U1390" s="235">
        <f t="shared" si="38"/>
        <v>0</v>
      </c>
      <c r="V1390" s="235"/>
      <c r="W1390" s="235"/>
      <c r="Y1390" s="228" t="str">
        <f t="shared" si="39"/>
        <v>GoldThe Refinery of Shandong Gold Mining Co., Ltd.</v>
      </c>
    </row>
    <row r="1391" spans="1:25" s="228" customFormat="1" ht="20.25">
      <c r="A1391" s="161" t="s">
        <v>1316</v>
      </c>
      <c r="B1391" s="408" t="s">
        <v>2323</v>
      </c>
      <c r="C1391" s="297" t="str">
        <f>IF(LEN(A1391)=0,"",INDEX('[2]Smelter Reference List'!$C$1:$C$65536,MATCH($A1391,'[2]Smelter Reference List'!$E$1:$E$65536,0)))</f>
        <v>Shandong Zhaojin Gold &amp; Silver Refinery Co., Ltd.</v>
      </c>
      <c r="D1391" s="161" t="s">
        <v>4174</v>
      </c>
      <c r="E1391" s="161" t="s">
        <v>2181</v>
      </c>
      <c r="F1391" s="161" t="s">
        <v>1316</v>
      </c>
      <c r="G1391" s="161" t="s">
        <v>3125</v>
      </c>
      <c r="H1391" s="247">
        <v>0</v>
      </c>
      <c r="I1391" s="248" t="s">
        <v>3185</v>
      </c>
      <c r="J1391" s="248" t="s">
        <v>3264</v>
      </c>
      <c r="K1391" s="245"/>
      <c r="L1391" s="245"/>
      <c r="M1391" s="245"/>
      <c r="N1391" s="245"/>
      <c r="O1391" s="245"/>
      <c r="P1391" s="245"/>
      <c r="Q1391" s="246"/>
      <c r="R1391" s="233"/>
      <c r="S1391" s="234">
        <f>IF(C1391="",NA(),MATCH($B1391&amp;$C1391,'Smelter Reference List'!$J:$J,0))</f>
        <v>176</v>
      </c>
      <c r="T1391" s="235"/>
      <c r="U1391" s="235">
        <f t="shared" si="38"/>
        <v>0</v>
      </c>
      <c r="V1391" s="235"/>
      <c r="W1391" s="235"/>
      <c r="Y1391" s="228" t="str">
        <f t="shared" si="39"/>
        <v>GoldShandong Zhaojin Gold &amp; Silver Refinery Co., Ltd.</v>
      </c>
    </row>
    <row r="1392" spans="1:25" s="228" customFormat="1" ht="20.25">
      <c r="A1392" s="161" t="s">
        <v>1320</v>
      </c>
      <c r="B1392" s="408" t="s">
        <v>2323</v>
      </c>
      <c r="C1392" s="297" t="str">
        <f>IF(LEN(A1392)=0,"",INDEX('[2]Smelter Reference List'!$C$1:$C$65536,MATCH($A1392,'[2]Smelter Reference List'!$E$1:$E$65536,0)))</f>
        <v>Solar Applied Materials Technology Corp.</v>
      </c>
      <c r="D1392" s="161" t="s">
        <v>1797</v>
      </c>
      <c r="E1392" s="161" t="s">
        <v>1753</v>
      </c>
      <c r="F1392" s="161" t="s">
        <v>1320</v>
      </c>
      <c r="G1392" s="161" t="s">
        <v>3125</v>
      </c>
      <c r="H1392" s="247">
        <v>0</v>
      </c>
      <c r="I1392" s="248" t="s">
        <v>3295</v>
      </c>
      <c r="J1392" s="248" t="s">
        <v>3296</v>
      </c>
      <c r="K1392" s="245"/>
      <c r="L1392" s="245"/>
      <c r="M1392" s="245"/>
      <c r="N1392" s="245"/>
      <c r="O1392" s="245"/>
      <c r="P1392" s="245"/>
      <c r="Q1392" s="246"/>
      <c r="R1392" s="233"/>
      <c r="S1392" s="234">
        <f>IF(C1392="",NA(),MATCH($B1392&amp;$C1392,'Smelter Reference List'!$J:$J,0))</f>
        <v>185</v>
      </c>
      <c r="T1392" s="235"/>
      <c r="U1392" s="235">
        <f t="shared" si="38"/>
        <v>0</v>
      </c>
      <c r="V1392" s="235"/>
      <c r="W1392" s="235"/>
      <c r="Y1392" s="228" t="str">
        <f t="shared" si="39"/>
        <v>GoldSolar Applied Materials Technology Corp.</v>
      </c>
    </row>
    <row r="1393" spans="1:25" s="228" customFormat="1" ht="20.25">
      <c r="A1393" s="161" t="s">
        <v>1321</v>
      </c>
      <c r="B1393" s="408" t="s">
        <v>2323</v>
      </c>
      <c r="C1393" s="297" t="str">
        <f>IF(LEN(A1393)=0,"",INDEX('[2]Smelter Reference List'!$C$1:$C$65536,MATCH($A1393,'[2]Smelter Reference List'!$E$1:$E$65536,0)))</f>
        <v>Sumitomo Metal Mining Co., Ltd.</v>
      </c>
      <c r="D1393" s="161" t="s">
        <v>77</v>
      </c>
      <c r="E1393" s="161" t="s">
        <v>2249</v>
      </c>
      <c r="F1393" s="161" t="s">
        <v>1321</v>
      </c>
      <c r="G1393" s="161" t="s">
        <v>3125</v>
      </c>
      <c r="H1393" s="247">
        <v>0</v>
      </c>
      <c r="I1393" s="248" t="s">
        <v>3297</v>
      </c>
      <c r="J1393" s="248" t="s">
        <v>4284</v>
      </c>
      <c r="K1393" s="245"/>
      <c r="L1393" s="245"/>
      <c r="M1393" s="245"/>
      <c r="N1393" s="245"/>
      <c r="O1393" s="245"/>
      <c r="P1393" s="245"/>
      <c r="Q1393" s="246"/>
      <c r="R1393" s="233"/>
      <c r="S1393" s="234">
        <f>IF(C1393="",NA(),MATCH($B1393&amp;$C1393,'Smelter Reference List'!$J:$J,0))</f>
        <v>190</v>
      </c>
      <c r="T1393" s="235"/>
      <c r="U1393" s="235">
        <f t="shared" si="38"/>
        <v>0</v>
      </c>
      <c r="V1393" s="235"/>
      <c r="W1393" s="235"/>
      <c r="Y1393" s="228" t="str">
        <f t="shared" si="39"/>
        <v>GoldSumitomo Metal Mining Co., Ltd.</v>
      </c>
    </row>
    <row r="1394" spans="1:25" s="228" customFormat="1" ht="20.25">
      <c r="A1394" s="161" t="s">
        <v>1322</v>
      </c>
      <c r="B1394" s="408" t="s">
        <v>2323</v>
      </c>
      <c r="C1394" s="297" t="str">
        <f>IF(LEN(A1394)=0,"",INDEX('[2]Smelter Reference List'!$C$1:$C$65536,MATCH($A1394,'[2]Smelter Reference List'!$E$1:$E$65536,0)))</f>
        <v>Tanaka Kikinzoku Kogyo K.K.</v>
      </c>
      <c r="D1394" s="161" t="s">
        <v>2457</v>
      </c>
      <c r="E1394" s="161" t="s">
        <v>2249</v>
      </c>
      <c r="F1394" s="161" t="s">
        <v>1322</v>
      </c>
      <c r="G1394" s="161" t="s">
        <v>3125</v>
      </c>
      <c r="H1394" s="247">
        <v>0</v>
      </c>
      <c r="I1394" s="248" t="s">
        <v>3299</v>
      </c>
      <c r="J1394" s="248" t="s">
        <v>3300</v>
      </c>
      <c r="K1394" s="245"/>
      <c r="L1394" s="245"/>
      <c r="M1394" s="245"/>
      <c r="N1394" s="245"/>
      <c r="O1394" s="245"/>
      <c r="P1394" s="245"/>
      <c r="Q1394" s="246"/>
      <c r="R1394" s="233"/>
      <c r="S1394" s="234">
        <f>IF(C1394="",NA(),MATCH($B1394&amp;$C1394,'Smelter Reference List'!$J:$J,0))</f>
        <v>200</v>
      </c>
      <c r="T1394" s="235"/>
      <c r="U1394" s="235">
        <f t="shared" si="38"/>
        <v>0</v>
      </c>
      <c r="V1394" s="235"/>
      <c r="W1394" s="235"/>
      <c r="Y1394" s="228" t="str">
        <f t="shared" si="39"/>
        <v>GoldTanaka Kikinzoku Kogyo K.K.</v>
      </c>
    </row>
    <row r="1395" spans="1:25" s="228" customFormat="1" ht="20.25">
      <c r="A1395" s="161" t="s">
        <v>1331</v>
      </c>
      <c r="B1395" s="408" t="s">
        <v>2323</v>
      </c>
      <c r="C1395" s="297" t="str">
        <f>IF(LEN(A1395)=0,"",INDEX('[2]Smelter Reference List'!$C$1:$C$65536,MATCH($A1395,'[2]Smelter Reference List'!$E$1:$E$65536,0)))</f>
        <v>Valcambi S.A.</v>
      </c>
      <c r="D1395" s="161" t="s">
        <v>4728</v>
      </c>
      <c r="E1395" s="161" t="s">
        <v>2179</v>
      </c>
      <c r="F1395" s="161" t="s">
        <v>1331</v>
      </c>
      <c r="G1395" s="161" t="s">
        <v>3125</v>
      </c>
      <c r="H1395" s="247">
        <v>0</v>
      </c>
      <c r="I1395" s="248" t="s">
        <v>3317</v>
      </c>
      <c r="J1395" s="248" t="s">
        <v>3138</v>
      </c>
      <c r="K1395" s="245"/>
      <c r="L1395" s="245"/>
      <c r="M1395" s="245"/>
      <c r="N1395" s="245"/>
      <c r="O1395" s="245"/>
      <c r="P1395" s="245"/>
      <c r="Q1395" s="246"/>
      <c r="R1395" s="233"/>
      <c r="S1395" s="234">
        <f>IF(C1395="",NA(),MATCH($B1395&amp;$C1395,'Smelter Reference List'!$J:$J,0))</f>
        <v>217</v>
      </c>
      <c r="T1395" s="235"/>
      <c r="U1395" s="235">
        <f t="shared" si="38"/>
        <v>0</v>
      </c>
      <c r="V1395" s="235"/>
      <c r="W1395" s="235"/>
      <c r="Y1395" s="228" t="str">
        <f t="shared" si="39"/>
        <v>GoldValcambi S.A.</v>
      </c>
    </row>
    <row r="1396" spans="1:25" s="228" customFormat="1" ht="20.25">
      <c r="A1396" s="161" t="s">
        <v>1336</v>
      </c>
      <c r="B1396" s="408" t="s">
        <v>2323</v>
      </c>
      <c r="C1396" s="297" t="str">
        <f>IF(LEN(A1396)=0,"",INDEX('[2]Smelter Reference List'!$C$1:$C$65536,MATCH($A1396,'[2]Smelter Reference List'!$E$1:$E$65536,0)))</f>
        <v>Zhongyuan Gold Smelter of Zhongjin Gold Corporation</v>
      </c>
      <c r="D1396" s="161" t="s">
        <v>2575</v>
      </c>
      <c r="E1396" s="161" t="s">
        <v>2181</v>
      </c>
      <c r="F1396" s="161" t="s">
        <v>1336</v>
      </c>
      <c r="G1396" s="161" t="s">
        <v>3125</v>
      </c>
      <c r="H1396" s="247">
        <v>0</v>
      </c>
      <c r="I1396" s="248" t="s">
        <v>3326</v>
      </c>
      <c r="J1396" s="248" t="s">
        <v>3224</v>
      </c>
      <c r="K1396" s="245"/>
      <c r="L1396" s="245"/>
      <c r="M1396" s="245"/>
      <c r="N1396" s="245"/>
      <c r="O1396" s="245"/>
      <c r="P1396" s="245"/>
      <c r="Q1396" s="246"/>
      <c r="R1396" s="233"/>
      <c r="S1396" s="234">
        <f>IF(C1396="",NA(),MATCH($B1396&amp;$C1396,'Smelter Reference List'!$J:$J,0))</f>
        <v>234</v>
      </c>
      <c r="T1396" s="235"/>
      <c r="U1396" s="235">
        <f t="shared" si="38"/>
        <v>0</v>
      </c>
      <c r="V1396" s="235"/>
      <c r="W1396" s="235"/>
      <c r="Y1396" s="228" t="str">
        <f t="shared" si="39"/>
        <v>GoldZhongyuan Gold Smelter of Zhongjin Gold Corporation</v>
      </c>
    </row>
    <row r="1397" spans="1:25" s="228" customFormat="1" ht="20.25">
      <c r="A1397" s="161" t="s">
        <v>1407</v>
      </c>
      <c r="B1397" s="408" t="s">
        <v>2324</v>
      </c>
      <c r="C1397" s="297" t="str">
        <f>IF(LEN(A1397)=0,"",INDEX('[2]Smelter Reference List'!$C$1:$C$65536,MATCH($A1397,'[2]Smelter Reference List'!$E$1:$E$65536,0)))</f>
        <v>Yunnan Tin Company Limited</v>
      </c>
      <c r="D1397" s="161" t="s">
        <v>4749</v>
      </c>
      <c r="E1397" s="161" t="s">
        <v>2181</v>
      </c>
      <c r="F1397" s="161" t="s">
        <v>1407</v>
      </c>
      <c r="G1397" s="161" t="s">
        <v>3125</v>
      </c>
      <c r="H1397" s="247">
        <v>0</v>
      </c>
      <c r="I1397" s="248" t="s">
        <v>3468</v>
      </c>
      <c r="J1397" s="248" t="s">
        <v>3161</v>
      </c>
      <c r="K1397" s="245"/>
      <c r="L1397" s="245"/>
      <c r="M1397" s="245"/>
      <c r="N1397" s="245"/>
      <c r="O1397" s="245"/>
      <c r="P1397" s="245"/>
      <c r="Q1397" s="246"/>
      <c r="R1397" s="233"/>
      <c r="S1397" s="234">
        <f>IF(C1397="",NA(),MATCH($B1397&amp;$C1397,'Smelter Reference List'!$J:$J,0))</f>
        <v>462</v>
      </c>
      <c r="T1397" s="235"/>
      <c r="U1397" s="235">
        <f t="shared" si="38"/>
        <v>0</v>
      </c>
      <c r="V1397" s="235"/>
      <c r="W1397" s="235"/>
      <c r="Y1397" s="228" t="str">
        <f t="shared" si="39"/>
        <v>TinYunnan Tin Company Limited</v>
      </c>
    </row>
    <row r="1398" spans="1:25" s="228" customFormat="1" ht="20.25">
      <c r="A1398" s="161"/>
      <c r="B1398" s="408" t="s">
        <v>2324</v>
      </c>
      <c r="C1398" s="297" t="s">
        <v>3604</v>
      </c>
      <c r="D1398" s="228" t="s">
        <v>5890</v>
      </c>
      <c r="E1398" s="228" t="s">
        <v>2249</v>
      </c>
      <c r="F1398" s="161">
        <v>0</v>
      </c>
      <c r="G1398" s="161" t="s">
        <v>5584</v>
      </c>
      <c r="K1398" s="228" t="s">
        <v>5891</v>
      </c>
      <c r="L1398" s="228" t="s">
        <v>5892</v>
      </c>
      <c r="R1398" s="233"/>
      <c r="S1398" s="234">
        <f>IF(C1398="",NA(),MATCH($B1398&amp;$C1398,'Smelter Reference List'!$J:$J,0))</f>
        <v>467</v>
      </c>
      <c r="T1398" s="235"/>
      <c r="U1398" s="235">
        <f t="shared" si="38"/>
        <v>0</v>
      </c>
      <c r="V1398" s="235"/>
      <c r="W1398" s="235"/>
      <c r="Y1398" s="228" t="str">
        <f t="shared" si="39"/>
        <v>TinSmelter not listed</v>
      </c>
    </row>
    <row r="1399" spans="1:25" s="228" customFormat="1" ht="20.25">
      <c r="A1399" s="161"/>
      <c r="B1399" s="408" t="s">
        <v>2324</v>
      </c>
      <c r="C1399" s="297" t="s">
        <v>3604</v>
      </c>
      <c r="D1399" s="228" t="s">
        <v>5893</v>
      </c>
      <c r="E1399" s="228" t="s">
        <v>2249</v>
      </c>
      <c r="F1399" s="161">
        <v>0</v>
      </c>
      <c r="G1399" s="161" t="s">
        <v>5584</v>
      </c>
      <c r="K1399" s="228" t="s">
        <v>5894</v>
      </c>
      <c r="L1399" s="228" t="s">
        <v>5895</v>
      </c>
      <c r="R1399" s="233"/>
      <c r="S1399" s="234">
        <f>IF(C1399="",NA(),MATCH($B1399&amp;$C1399,'Smelter Reference List'!$J:$J,0))</f>
        <v>467</v>
      </c>
      <c r="T1399" s="235"/>
      <c r="U1399" s="235">
        <f t="shared" si="38"/>
        <v>0</v>
      </c>
      <c r="V1399" s="235"/>
      <c r="W1399" s="235"/>
      <c r="Y1399" s="228" t="str">
        <f t="shared" si="39"/>
        <v>TinSmelter not listed</v>
      </c>
    </row>
    <row r="1400" spans="1:25" s="228" customFormat="1" ht="20.25">
      <c r="A1400" s="161" t="s">
        <v>1377</v>
      </c>
      <c r="B1400" s="408" t="s">
        <v>2324</v>
      </c>
      <c r="C1400" s="297" t="str">
        <f>IF(LEN(A1400)=0,"",INDEX('[2]Smelter Reference List'!$C$1:$C$65536,MATCH($A1400,'[2]Smelter Reference List'!$E$1:$E$65536,0)))</f>
        <v>China Tin Group Co., Ltd.</v>
      </c>
      <c r="D1400" s="161" t="s">
        <v>2578</v>
      </c>
      <c r="E1400" s="161" t="s">
        <v>2181</v>
      </c>
      <c r="F1400" s="161" t="s">
        <v>1377</v>
      </c>
      <c r="G1400" s="161" t="s">
        <v>3125</v>
      </c>
      <c r="H1400" s="247">
        <v>0</v>
      </c>
      <c r="I1400" s="248" t="s">
        <v>3476</v>
      </c>
      <c r="J1400" s="248" t="s">
        <v>3442</v>
      </c>
      <c r="K1400" s="245"/>
      <c r="L1400" s="245"/>
      <c r="M1400" s="245"/>
      <c r="N1400" s="245"/>
      <c r="O1400" s="245"/>
      <c r="P1400" s="245"/>
      <c r="Q1400" s="246"/>
      <c r="R1400" s="233"/>
      <c r="S1400" s="234">
        <f>IF(C1400="",NA(),MATCH($B1400&amp;$C1400,'Smelter Reference List'!$J:$J,0))</f>
        <v>318</v>
      </c>
      <c r="T1400" s="235"/>
      <c r="U1400" s="235">
        <f t="shared" si="38"/>
        <v>0</v>
      </c>
      <c r="V1400" s="235"/>
      <c r="W1400" s="235"/>
      <c r="Y1400" s="228" t="str">
        <f t="shared" si="39"/>
        <v>TinChina Tin Group Co., Ltd.</v>
      </c>
    </row>
    <row r="1401" spans="1:25" s="228" customFormat="1" ht="20.25">
      <c r="A1401" s="161"/>
      <c r="B1401" s="408" t="s">
        <v>2323</v>
      </c>
      <c r="C1401" s="297" t="s">
        <v>3604</v>
      </c>
      <c r="D1401" s="228" t="s">
        <v>5896</v>
      </c>
      <c r="E1401" s="228" t="s">
        <v>2181</v>
      </c>
      <c r="F1401" s="161">
        <v>0</v>
      </c>
      <c r="G1401" s="161" t="s">
        <v>5584</v>
      </c>
      <c r="K1401" s="228" t="s">
        <v>5897</v>
      </c>
      <c r="L1401" s="228" t="s">
        <v>5898</v>
      </c>
      <c r="R1401" s="233"/>
      <c r="S1401" s="234">
        <f>IF(C1401="",NA(),MATCH($B1401&amp;$C1401,'Smelter Reference List'!$J:$J,0))</f>
        <v>238</v>
      </c>
      <c r="T1401" s="235"/>
      <c r="U1401" s="235">
        <f t="shared" si="38"/>
        <v>0</v>
      </c>
      <c r="V1401" s="235"/>
      <c r="W1401" s="235"/>
      <c r="Y1401" s="228" t="str">
        <f t="shared" si="39"/>
        <v>GoldSmelter not listed</v>
      </c>
    </row>
    <row r="1402" spans="1:25" s="228" customFormat="1" ht="20.25">
      <c r="A1402" s="161" t="s">
        <v>1337</v>
      </c>
      <c r="B1402" s="408" t="s">
        <v>2323</v>
      </c>
      <c r="C1402" s="297" t="str">
        <f>IF(LEN(A1402)=0,"",INDEX('[2]Smelter Reference List'!$C$1:$C$65536,MATCH($A1402,'[2]Smelter Reference List'!$E$1:$E$65536,0)))</f>
        <v>Zijin Mining Group Co., Ltd. Gold Refinery</v>
      </c>
      <c r="D1402" s="161" t="s">
        <v>4290</v>
      </c>
      <c r="E1402" s="161" t="s">
        <v>2181</v>
      </c>
      <c r="F1402" s="161" t="s">
        <v>1337</v>
      </c>
      <c r="G1402" s="161" t="s">
        <v>3125</v>
      </c>
      <c r="H1402" s="247">
        <v>0</v>
      </c>
      <c r="I1402" s="248" t="s">
        <v>3331</v>
      </c>
      <c r="J1402" s="248" t="s">
        <v>3332</v>
      </c>
      <c r="K1402" s="245"/>
      <c r="L1402" s="245"/>
      <c r="M1402" s="245"/>
      <c r="N1402" s="245"/>
      <c r="O1402" s="245"/>
      <c r="P1402" s="245"/>
      <c r="Q1402" s="246"/>
      <c r="R1402" s="233"/>
      <c r="S1402" s="234">
        <f>IF(C1402="",NA(),MATCH($B1402&amp;$C1402,'Smelter Reference List'!$J:$J,0))</f>
        <v>236</v>
      </c>
      <c r="T1402" s="235"/>
      <c r="U1402" s="235">
        <f t="shared" si="38"/>
        <v>0</v>
      </c>
      <c r="V1402" s="235"/>
      <c r="W1402" s="235"/>
      <c r="Y1402" s="228" t="str">
        <f t="shared" si="39"/>
        <v>GoldZijin Mining Group Co., Ltd. Gold Refinery</v>
      </c>
    </row>
    <row r="1403" spans="1:25" s="228" customFormat="1" ht="20.25">
      <c r="A1403" s="161"/>
      <c r="B1403" s="408" t="s">
        <v>2324</v>
      </c>
      <c r="C1403" s="297" t="s">
        <v>3604</v>
      </c>
      <c r="D1403" s="228" t="s">
        <v>5899</v>
      </c>
      <c r="E1403" s="228" t="s">
        <v>2181</v>
      </c>
      <c r="F1403" s="161">
        <v>0</v>
      </c>
      <c r="G1403" s="161" t="s">
        <v>5584</v>
      </c>
      <c r="K1403" s="228" t="s">
        <v>5900</v>
      </c>
      <c r="L1403" s="228" t="s">
        <v>5901</v>
      </c>
      <c r="R1403" s="233"/>
      <c r="S1403" s="234">
        <f>IF(C1403="",NA(),MATCH($B1403&amp;$C1403,'Smelter Reference List'!$J:$J,0))</f>
        <v>467</v>
      </c>
      <c r="T1403" s="235"/>
      <c r="U1403" s="235">
        <f t="shared" si="38"/>
        <v>0</v>
      </c>
      <c r="V1403" s="235"/>
      <c r="W1403" s="235"/>
      <c r="Y1403" s="228" t="str">
        <f t="shared" si="39"/>
        <v>TinSmelter not listed</v>
      </c>
    </row>
    <row r="1404" spans="1:25" s="228" customFormat="1" ht="20.25">
      <c r="A1404" s="161"/>
      <c r="B1404" s="408" t="s">
        <v>2324</v>
      </c>
      <c r="C1404" s="297" t="s">
        <v>3604</v>
      </c>
      <c r="D1404" s="228" t="s">
        <v>5902</v>
      </c>
      <c r="E1404" s="228" t="s">
        <v>2238</v>
      </c>
      <c r="F1404" s="161">
        <v>0</v>
      </c>
      <c r="G1404" s="161" t="s">
        <v>5584</v>
      </c>
      <c r="R1404" s="233"/>
      <c r="S1404" s="234">
        <f>IF(C1404="",NA(),MATCH($B1404&amp;$C1404,'Smelter Reference List'!$J:$J,0))</f>
        <v>467</v>
      </c>
      <c r="T1404" s="235"/>
      <c r="U1404" s="235">
        <f t="shared" si="38"/>
        <v>0</v>
      </c>
      <c r="V1404" s="235"/>
      <c r="W1404" s="235"/>
      <c r="Y1404" s="228" t="str">
        <f t="shared" si="39"/>
        <v>TinSmelter not listed</v>
      </c>
    </row>
    <row r="1405" spans="1:25" s="228" customFormat="1" ht="20.25">
      <c r="A1405" s="161"/>
      <c r="B1405" s="408" t="s">
        <v>2324</v>
      </c>
      <c r="C1405" s="297" t="s">
        <v>3604</v>
      </c>
      <c r="D1405" s="228" t="s">
        <v>5903</v>
      </c>
      <c r="E1405" s="228" t="s">
        <v>2238</v>
      </c>
      <c r="F1405" s="161">
        <v>0</v>
      </c>
      <c r="G1405" s="161" t="s">
        <v>5584</v>
      </c>
      <c r="R1405" s="233"/>
      <c r="S1405" s="234">
        <f>IF(C1405="",NA(),MATCH($B1405&amp;$C1405,'Smelter Reference List'!$J:$J,0))</f>
        <v>467</v>
      </c>
      <c r="T1405" s="235"/>
      <c r="U1405" s="235">
        <f t="shared" si="38"/>
        <v>0</v>
      </c>
      <c r="V1405" s="235"/>
      <c r="W1405" s="235"/>
      <c r="Y1405" s="228" t="str">
        <f t="shared" si="39"/>
        <v>TinSmelter not listed</v>
      </c>
    </row>
    <row r="1406" spans="1:25" s="228" customFormat="1" ht="20.25">
      <c r="A1406" s="161" t="s">
        <v>1291</v>
      </c>
      <c r="B1406" s="413" t="s">
        <v>2323</v>
      </c>
      <c r="C1406" s="297" t="str">
        <f>IF(LEN(A1406)=0,"",INDEX('[2]Smelter Reference List'!$C$1:$C$65536,MATCH($A1406,'[2]Smelter Reference List'!$E$1:$E$65536,0)))</f>
        <v>Metalor Technologies (Hong Kong) Ltd.</v>
      </c>
      <c r="D1406" s="161" t="s">
        <v>4162</v>
      </c>
      <c r="E1406" s="161" t="s">
        <v>2181</v>
      </c>
      <c r="F1406" s="161" t="s">
        <v>1291</v>
      </c>
      <c r="G1406" s="161" t="s">
        <v>3125</v>
      </c>
      <c r="H1406" s="247">
        <v>0</v>
      </c>
      <c r="I1406" s="248" t="s">
        <v>3236</v>
      </c>
      <c r="J1406" s="248" t="s">
        <v>3191</v>
      </c>
      <c r="K1406" s="245"/>
      <c r="L1406" s="245"/>
      <c r="M1406" s="245"/>
      <c r="N1406" s="245"/>
      <c r="O1406" s="245"/>
      <c r="P1406" s="245"/>
      <c r="Q1406" s="246"/>
      <c r="R1406" s="233"/>
      <c r="S1406" s="234">
        <f>IF(C1406="",NA(),MATCH($B1406&amp;$C1406,'Smelter Reference List'!$J:$J,0))</f>
        <v>120</v>
      </c>
      <c r="T1406" s="235"/>
      <c r="U1406" s="235">
        <f t="shared" si="38"/>
        <v>0</v>
      </c>
      <c r="V1406" s="235"/>
      <c r="W1406" s="235"/>
      <c r="Y1406" s="228" t="str">
        <f t="shared" si="39"/>
        <v>GoldMetalor Technologies (Hong Kong) Ltd.</v>
      </c>
    </row>
    <row r="1407" spans="1:25" s="228" customFormat="1" ht="20.25">
      <c r="A1407" s="161" t="s">
        <v>1407</v>
      </c>
      <c r="B1407" s="408" t="s">
        <v>2324</v>
      </c>
      <c r="C1407" s="297" t="str">
        <f>IF(LEN(A1407)=0,"",INDEX('[2]Smelter Reference List'!$C$1:$C$65536,MATCH($A1407,'[2]Smelter Reference List'!$E$1:$E$65536,0)))</f>
        <v>Yunnan Tin Company Limited</v>
      </c>
      <c r="D1407" s="161" t="s">
        <v>4749</v>
      </c>
      <c r="E1407" s="161" t="s">
        <v>2181</v>
      </c>
      <c r="F1407" s="161" t="s">
        <v>1407</v>
      </c>
      <c r="G1407" s="161" t="s">
        <v>3125</v>
      </c>
      <c r="H1407" s="247">
        <v>0</v>
      </c>
      <c r="I1407" s="248" t="s">
        <v>3468</v>
      </c>
      <c r="J1407" s="248" t="s">
        <v>3161</v>
      </c>
      <c r="K1407" s="245"/>
      <c r="L1407" s="245"/>
      <c r="M1407" s="245"/>
      <c r="N1407" s="245"/>
      <c r="O1407" s="245"/>
      <c r="P1407" s="245"/>
      <c r="Q1407" s="246"/>
      <c r="R1407" s="233"/>
      <c r="S1407" s="234">
        <f>IF(C1407="",NA(),MATCH($B1407&amp;$C1407,'Smelter Reference List'!$J:$J,0))</f>
        <v>462</v>
      </c>
      <c r="T1407" s="235"/>
      <c r="U1407" s="235">
        <f t="shared" si="38"/>
        <v>0</v>
      </c>
      <c r="V1407" s="235"/>
      <c r="W1407" s="235"/>
      <c r="Y1407" s="228" t="str">
        <f t="shared" si="39"/>
        <v>TinYunnan Tin Company Limited</v>
      </c>
    </row>
    <row r="1408" spans="1:25" s="228" customFormat="1" ht="20.25">
      <c r="A1408" s="161" t="s">
        <v>1378</v>
      </c>
      <c r="B1408" s="408" t="s">
        <v>2324</v>
      </c>
      <c r="C1408" s="297" t="str">
        <f>IF(LEN(A1408)=0,"",INDEX('[2]Smelter Reference List'!$C$1:$C$65536,MATCH($A1408,'[2]Smelter Reference List'!$E$1:$E$65536,0)))</f>
        <v>Malaysia Smelting Corporation (MSC)</v>
      </c>
      <c r="D1408" s="161" t="s">
        <v>1471</v>
      </c>
      <c r="E1408" s="161" t="s">
        <v>2289</v>
      </c>
      <c r="F1408" s="161" t="s">
        <v>1378</v>
      </c>
      <c r="G1408" s="161" t="s">
        <v>3125</v>
      </c>
      <c r="H1408" s="247">
        <v>0</v>
      </c>
      <c r="I1408" s="248" t="s">
        <v>3481</v>
      </c>
      <c r="J1408" s="248" t="s">
        <v>3482</v>
      </c>
      <c r="K1408" s="245"/>
      <c r="L1408" s="245"/>
      <c r="M1408" s="245"/>
      <c r="N1408" s="245"/>
      <c r="O1408" s="245"/>
      <c r="P1408" s="245"/>
      <c r="Q1408" s="246"/>
      <c r="R1408" s="233"/>
      <c r="S1408" s="234">
        <f>IF(C1408="",NA(),MATCH($B1408&amp;$C1408,'Smelter Reference List'!$J:$J,0))</f>
        <v>377</v>
      </c>
      <c r="T1408" s="235"/>
      <c r="U1408" s="235">
        <f t="shared" si="38"/>
        <v>0</v>
      </c>
      <c r="V1408" s="235"/>
      <c r="W1408" s="235"/>
      <c r="Y1408" s="228" t="str">
        <f t="shared" si="39"/>
        <v>TinMalaysia Smelting Corporation (MSC)</v>
      </c>
    </row>
    <row r="1409" spans="1:25" s="228" customFormat="1" ht="20.25">
      <c r="A1409" s="161" t="s">
        <v>1322</v>
      </c>
      <c r="B1409" s="408" t="s">
        <v>2323</v>
      </c>
      <c r="C1409" s="297" t="str">
        <f>IF(LEN(A1409)=0,"",INDEX('[2]Smelter Reference List'!$C$1:$C$65536,MATCH($A1409,'[2]Smelter Reference List'!$E$1:$E$65536,0)))</f>
        <v>Tanaka Kikinzoku Kogyo K.K.</v>
      </c>
      <c r="D1409" s="161" t="s">
        <v>2457</v>
      </c>
      <c r="E1409" s="161" t="s">
        <v>2249</v>
      </c>
      <c r="F1409" s="161" t="s">
        <v>1322</v>
      </c>
      <c r="G1409" s="161" t="s">
        <v>3125</v>
      </c>
      <c r="H1409" s="247">
        <v>0</v>
      </c>
      <c r="I1409" s="248" t="s">
        <v>3299</v>
      </c>
      <c r="J1409" s="248" t="s">
        <v>3300</v>
      </c>
      <c r="K1409" s="245"/>
      <c r="L1409" s="245"/>
      <c r="M1409" s="245"/>
      <c r="N1409" s="245"/>
      <c r="O1409" s="245"/>
      <c r="P1409" s="245"/>
      <c r="Q1409" s="246"/>
      <c r="R1409" s="233"/>
      <c r="S1409" s="234">
        <f>IF(C1409="",NA(),MATCH($B1409&amp;$C1409,'Smelter Reference List'!$J:$J,0))</f>
        <v>200</v>
      </c>
      <c r="T1409" s="235"/>
      <c r="U1409" s="235">
        <f t="shared" si="38"/>
        <v>0</v>
      </c>
      <c r="V1409" s="235"/>
      <c r="W1409" s="235"/>
      <c r="Y1409" s="228" t="str">
        <f t="shared" si="39"/>
        <v>GoldTanaka Kikinzoku Kogyo K.K.</v>
      </c>
    </row>
    <row r="1410" spans="1:25" s="228" customFormat="1" ht="20.25">
      <c r="A1410" s="161" t="s">
        <v>1332</v>
      </c>
      <c r="B1410" s="408" t="s">
        <v>2323</v>
      </c>
      <c r="C1410" s="297" t="str">
        <f>IF(LEN(A1410)=0,"",INDEX('[2]Smelter Reference List'!$C$1:$C$65536,MATCH($A1410,'[2]Smelter Reference List'!$E$1:$E$65536,0)))</f>
        <v>Western Australian Mint trading as The Perth Mint</v>
      </c>
      <c r="D1410" s="161" t="s">
        <v>2322</v>
      </c>
      <c r="E1410" s="161" t="s">
        <v>2154</v>
      </c>
      <c r="F1410" s="161" t="s">
        <v>1332</v>
      </c>
      <c r="G1410" s="161" t="s">
        <v>3125</v>
      </c>
      <c r="H1410" s="247">
        <v>0</v>
      </c>
      <c r="I1410" s="248" t="s">
        <v>3318</v>
      </c>
      <c r="J1410" s="248" t="s">
        <v>3319</v>
      </c>
      <c r="K1410" s="245"/>
      <c r="L1410" s="245"/>
      <c r="M1410" s="245"/>
      <c r="N1410" s="245"/>
      <c r="O1410" s="245"/>
      <c r="P1410" s="245"/>
      <c r="Q1410" s="246"/>
      <c r="R1410" s="233"/>
      <c r="S1410" s="234">
        <f>IF(C1410="",NA(),MATCH($B1410&amp;$C1410,'Smelter Reference List'!$J:$J,0))</f>
        <v>218</v>
      </c>
      <c r="T1410" s="235"/>
      <c r="U1410" s="235">
        <f t="shared" si="38"/>
        <v>0</v>
      </c>
      <c r="V1410" s="235"/>
      <c r="W1410" s="235"/>
      <c r="Y1410" s="228" t="str">
        <f t="shared" si="39"/>
        <v>GoldWestern Australian Mint trading as The Perth Mint</v>
      </c>
    </row>
    <row r="1411" spans="1:25" s="228" customFormat="1" ht="20.25">
      <c r="A1411" s="161" t="s">
        <v>1264</v>
      </c>
      <c r="B1411" s="408" t="s">
        <v>2323</v>
      </c>
      <c r="C1411" s="297" t="str">
        <f>IF(LEN(A1411)=0,"",INDEX('[2]Smelter Reference List'!$C$1:$C$65536,MATCH($A1411,'[2]Smelter Reference List'!$E$1:$E$65536,0)))</f>
        <v>Heraeus Ltd. Hong Kong</v>
      </c>
      <c r="D1411" s="161" t="s">
        <v>72</v>
      </c>
      <c r="E1411" s="161" t="s">
        <v>2181</v>
      </c>
      <c r="F1411" s="161" t="s">
        <v>1264</v>
      </c>
      <c r="G1411" s="161" t="s">
        <v>3125</v>
      </c>
      <c r="H1411" s="247">
        <v>0</v>
      </c>
      <c r="I1411" s="248" t="s">
        <v>3190</v>
      </c>
      <c r="J1411" s="248" t="s">
        <v>3191</v>
      </c>
      <c r="K1411" s="245"/>
      <c r="L1411" s="245"/>
      <c r="M1411" s="245"/>
      <c r="N1411" s="245"/>
      <c r="O1411" s="245"/>
      <c r="P1411" s="245"/>
      <c r="Q1411" s="246"/>
      <c r="R1411" s="233"/>
      <c r="S1411" s="234">
        <f>IF(C1411="",NA(),MATCH($B1411&amp;$C1411,'Smelter Reference List'!$J:$J,0))</f>
        <v>75</v>
      </c>
      <c r="T1411" s="235"/>
      <c r="U1411" s="235">
        <f t="shared" si="38"/>
        <v>0</v>
      </c>
      <c r="V1411" s="235"/>
      <c r="W1411" s="235"/>
      <c r="Y1411" s="228" t="str">
        <f t="shared" si="39"/>
        <v>GoldHeraeus Ltd. Hong Kong</v>
      </c>
    </row>
    <row r="1412" spans="1:25" s="228" customFormat="1" ht="20.25">
      <c r="A1412" s="161" t="s">
        <v>1322</v>
      </c>
      <c r="B1412" s="408" t="s">
        <v>2323</v>
      </c>
      <c r="C1412" s="297" t="str">
        <f>IF(LEN(A1412)=0,"",INDEX('[2]Smelter Reference List'!$C$1:$C$65536,MATCH($A1412,'[2]Smelter Reference List'!$E$1:$E$65536,0)))</f>
        <v>Tanaka Kikinzoku Kogyo K.K.</v>
      </c>
      <c r="D1412" s="161" t="s">
        <v>2457</v>
      </c>
      <c r="E1412" s="161" t="s">
        <v>2249</v>
      </c>
      <c r="F1412" s="161" t="s">
        <v>1322</v>
      </c>
      <c r="G1412" s="161" t="s">
        <v>3125</v>
      </c>
      <c r="H1412" s="247">
        <v>0</v>
      </c>
      <c r="I1412" s="248" t="s">
        <v>3299</v>
      </c>
      <c r="J1412" s="248" t="s">
        <v>3300</v>
      </c>
      <c r="K1412" s="245"/>
      <c r="L1412" s="245"/>
      <c r="M1412" s="245"/>
      <c r="N1412" s="245"/>
      <c r="O1412" s="245"/>
      <c r="P1412" s="245"/>
      <c r="Q1412" s="246"/>
      <c r="R1412" s="233"/>
      <c r="S1412" s="234">
        <f>IF(C1412="",NA(),MATCH($B1412&amp;$C1412,'Smelter Reference List'!$J:$J,0))</f>
        <v>200</v>
      </c>
      <c r="T1412" s="235"/>
      <c r="U1412" s="235">
        <f t="shared" si="38"/>
        <v>0</v>
      </c>
      <c r="V1412" s="235"/>
      <c r="W1412" s="235"/>
      <c r="Y1412" s="228" t="str">
        <f t="shared" si="39"/>
        <v>GoldTanaka Kikinzoku Kogyo K.K.</v>
      </c>
    </row>
    <row r="1413" spans="1:25" s="228" customFormat="1" ht="20.25">
      <c r="A1413" s="161" t="s">
        <v>1286</v>
      </c>
      <c r="B1413" s="408" t="s">
        <v>2323</v>
      </c>
      <c r="C1413" s="297" t="str">
        <f>IF(LEN(A1413)=0,"",INDEX('[2]Smelter Reference List'!$C$1:$C$65536,MATCH($A1413,'[2]Smelter Reference List'!$E$1:$E$65536,0)))</f>
        <v>LS-NIKKO Copper Inc.</v>
      </c>
      <c r="D1413" s="161" t="s">
        <v>74</v>
      </c>
      <c r="E1413" s="161" t="s">
        <v>2256</v>
      </c>
      <c r="F1413" s="161" t="s">
        <v>1286</v>
      </c>
      <c r="G1413" s="161" t="s">
        <v>3125</v>
      </c>
      <c r="H1413" s="247">
        <v>0</v>
      </c>
      <c r="I1413" s="248" t="s">
        <v>3225</v>
      </c>
      <c r="J1413" s="248" t="s">
        <v>3226</v>
      </c>
      <c r="K1413" s="245"/>
      <c r="L1413" s="245"/>
      <c r="M1413" s="245"/>
      <c r="N1413" s="245"/>
      <c r="O1413" s="245"/>
      <c r="P1413" s="245"/>
      <c r="Q1413" s="246"/>
      <c r="R1413" s="233"/>
      <c r="S1413" s="234">
        <f>IF(C1413="",NA(),MATCH($B1413&amp;$C1413,'Smelter Reference List'!$J:$J,0))</f>
        <v>111</v>
      </c>
      <c r="T1413" s="235"/>
      <c r="U1413" s="235">
        <f t="shared" si="38"/>
        <v>0</v>
      </c>
      <c r="V1413" s="235"/>
      <c r="W1413" s="235"/>
      <c r="Y1413" s="228" t="str">
        <f t="shared" si="39"/>
        <v>GoldLS-NIKKO Copper Inc.</v>
      </c>
    </row>
    <row r="1414" spans="1:25" s="228" customFormat="1" ht="20.25">
      <c r="A1414" s="161" t="s">
        <v>1311</v>
      </c>
      <c r="B1414" s="408" t="s">
        <v>2323</v>
      </c>
      <c r="C1414" s="297" t="str">
        <f>IF(LEN(A1414)=0,"",INDEX('[2]Smelter Reference List'!$C$1:$C$65536,MATCH($A1414,'[2]Smelter Reference List'!$E$1:$E$65536,0)))</f>
        <v>Royal Canadian Mint</v>
      </c>
      <c r="D1414" s="161" t="s">
        <v>1795</v>
      </c>
      <c r="E1414" s="161" t="s">
        <v>2177</v>
      </c>
      <c r="F1414" s="161" t="s">
        <v>1311</v>
      </c>
      <c r="G1414" s="161" t="s">
        <v>3125</v>
      </c>
      <c r="H1414" s="247">
        <v>0</v>
      </c>
      <c r="I1414" s="248" t="s">
        <v>3272</v>
      </c>
      <c r="J1414" s="248" t="s">
        <v>3210</v>
      </c>
      <c r="K1414" s="245"/>
      <c r="L1414" s="245"/>
      <c r="M1414" s="245"/>
      <c r="N1414" s="245"/>
      <c r="O1414" s="245"/>
      <c r="P1414" s="245"/>
      <c r="Q1414" s="246"/>
      <c r="R1414" s="233"/>
      <c r="S1414" s="234">
        <f>IF(C1414="",NA(),MATCH($B1414&amp;$C1414,'Smelter Reference List'!$J:$J,0))</f>
        <v>159</v>
      </c>
      <c r="T1414" s="235"/>
      <c r="U1414" s="235">
        <f t="shared" ref="U1414:U1477" si="40">IF(AND(C1414="Smelter not listed",OR(LEN(D1414)=0,LEN(E1414)=0)),1,0)</f>
        <v>0</v>
      </c>
      <c r="V1414" s="235"/>
      <c r="W1414" s="235"/>
      <c r="Y1414" s="228" t="str">
        <f t="shared" ref="Y1414:Y1477" si="41">B1414&amp;C1414</f>
        <v>GoldRoyal Canadian Mint</v>
      </c>
    </row>
    <row r="1415" spans="1:25" s="228" customFormat="1" ht="20.25">
      <c r="A1415" s="161" t="s">
        <v>1405</v>
      </c>
      <c r="B1415" s="408" t="s">
        <v>2324</v>
      </c>
      <c r="C1415" s="297" t="str">
        <f>IF(LEN(A1415)=0,"",INDEX('[2]Smelter Reference List'!$C$1:$C$65536,MATCH($A1415,'[2]Smelter Reference List'!$E$1:$E$65536,0)))</f>
        <v>White Solder Metalurgia e Mineração Ltda.</v>
      </c>
      <c r="D1415" s="161" t="s">
        <v>68</v>
      </c>
      <c r="E1415" s="161" t="s">
        <v>2170</v>
      </c>
      <c r="F1415" s="161" t="s">
        <v>1405</v>
      </c>
      <c r="G1415" s="161" t="s">
        <v>3125</v>
      </c>
      <c r="H1415" s="247">
        <v>0</v>
      </c>
      <c r="I1415" s="248" t="s">
        <v>3451</v>
      </c>
      <c r="J1415" s="248" t="s">
        <v>3452</v>
      </c>
      <c r="K1415" s="245"/>
      <c r="L1415" s="245"/>
      <c r="M1415" s="245"/>
      <c r="N1415" s="245"/>
      <c r="O1415" s="245"/>
      <c r="P1415" s="245"/>
      <c r="Q1415" s="246"/>
      <c r="R1415" s="233"/>
      <c r="S1415" s="234">
        <f>IF(C1415="",NA(),MATCH($B1415&amp;$C1415,'Smelter Reference List'!$J:$J,0))</f>
        <v>452</v>
      </c>
      <c r="T1415" s="235"/>
      <c r="U1415" s="235">
        <f t="shared" si="40"/>
        <v>0</v>
      </c>
      <c r="V1415" s="235"/>
      <c r="W1415" s="235"/>
      <c r="Y1415" s="228" t="str">
        <f t="shared" si="41"/>
        <v>TinWhite Solder Metalurgia e Mineração Ltda.</v>
      </c>
    </row>
    <row r="1416" spans="1:25" s="228" customFormat="1" ht="20.25">
      <c r="A1416" s="161" t="s">
        <v>1407</v>
      </c>
      <c r="B1416" s="408" t="s">
        <v>2324</v>
      </c>
      <c r="C1416" s="297" t="str">
        <f>IF(LEN(A1416)=0,"",INDEX('[2]Smelter Reference List'!$C$1:$C$65536,MATCH($A1416,'[2]Smelter Reference List'!$E$1:$E$65536,0)))</f>
        <v>Yunnan Tin Company Limited</v>
      </c>
      <c r="D1416" s="161" t="s">
        <v>4749</v>
      </c>
      <c r="E1416" s="161" t="s">
        <v>2181</v>
      </c>
      <c r="F1416" s="161" t="s">
        <v>1407</v>
      </c>
      <c r="G1416" s="161" t="s">
        <v>3125</v>
      </c>
      <c r="H1416" s="247">
        <v>0</v>
      </c>
      <c r="I1416" s="248" t="s">
        <v>3468</v>
      </c>
      <c r="J1416" s="248" t="s">
        <v>3161</v>
      </c>
      <c r="K1416" s="245"/>
      <c r="L1416" s="245"/>
      <c r="M1416" s="245"/>
      <c r="N1416" s="245"/>
      <c r="O1416" s="245"/>
      <c r="P1416" s="245"/>
      <c r="Q1416" s="246"/>
      <c r="R1416" s="233"/>
      <c r="S1416" s="234">
        <f>IF(C1416="",NA(),MATCH($B1416&amp;$C1416,'Smelter Reference List'!$J:$J,0))</f>
        <v>462</v>
      </c>
      <c r="T1416" s="235"/>
      <c r="U1416" s="235">
        <f t="shared" si="40"/>
        <v>0</v>
      </c>
      <c r="V1416" s="235"/>
      <c r="W1416" s="235"/>
      <c r="Y1416" s="228" t="str">
        <f t="shared" si="41"/>
        <v>TinYunnan Tin Company Limited</v>
      </c>
    </row>
    <row r="1417" spans="1:25" s="228" customFormat="1" ht="20.25">
      <c r="A1417" s="161" t="s">
        <v>1404</v>
      </c>
      <c r="B1417" s="408" t="s">
        <v>2324</v>
      </c>
      <c r="C1417" s="297" t="str">
        <f>IF(LEN(A1417)=0,"",INDEX('[2]Smelter Reference List'!$C$1:$C$65536,MATCH($A1417,'[2]Smelter Reference List'!$E$1:$E$65536,0)))</f>
        <v>Thaisarco</v>
      </c>
      <c r="D1417" s="161" t="s">
        <v>1951</v>
      </c>
      <c r="E1417" s="161" t="s">
        <v>1743</v>
      </c>
      <c r="F1417" s="161" t="s">
        <v>1404</v>
      </c>
      <c r="G1417" s="161" t="s">
        <v>3125</v>
      </c>
      <c r="H1417" s="247">
        <v>0</v>
      </c>
      <c r="I1417" s="248" t="s">
        <v>3510</v>
      </c>
      <c r="J1417" s="248" t="s">
        <v>3511</v>
      </c>
      <c r="K1417" s="245"/>
      <c r="L1417" s="245"/>
      <c r="M1417" s="245"/>
      <c r="N1417" s="245"/>
      <c r="O1417" s="245"/>
      <c r="P1417" s="245"/>
      <c r="Q1417" s="246"/>
      <c r="R1417" s="233"/>
      <c r="S1417" s="234">
        <f>IF(C1417="",NA(),MATCH($B1417&amp;$C1417,'Smelter Reference List'!$J:$J,0))</f>
        <v>445</v>
      </c>
      <c r="T1417" s="235"/>
      <c r="U1417" s="235">
        <f t="shared" si="40"/>
        <v>0</v>
      </c>
      <c r="V1417" s="235"/>
      <c r="W1417" s="235"/>
      <c r="Y1417" s="228" t="str">
        <f t="shared" si="41"/>
        <v>TinThaisarco</v>
      </c>
    </row>
    <row r="1418" spans="1:25" s="228" customFormat="1" ht="20.25">
      <c r="A1418" s="161" t="s">
        <v>1399</v>
      </c>
      <c r="B1418" s="408" t="s">
        <v>2324</v>
      </c>
      <c r="C1418" s="297" t="str">
        <f>IF(LEN(A1418)=0,"",INDEX('[2]Smelter Reference List'!$C$1:$C$65536,MATCH($A1418,'[2]Smelter Reference List'!$E$1:$E$65536,0)))</f>
        <v>PT Timah (Persero) Tbk Mentok</v>
      </c>
      <c r="D1418" s="161" t="s">
        <v>4266</v>
      </c>
      <c r="E1418" s="161" t="s">
        <v>2238</v>
      </c>
      <c r="F1418" s="161" t="s">
        <v>1399</v>
      </c>
      <c r="G1418" s="161" t="s">
        <v>3125</v>
      </c>
      <c r="H1418" s="247">
        <v>0</v>
      </c>
      <c r="I1418" s="248" t="s">
        <v>3507</v>
      </c>
      <c r="J1418" s="248" t="s">
        <v>3454</v>
      </c>
      <c r="K1418" s="245"/>
      <c r="L1418" s="245"/>
      <c r="M1418" s="245"/>
      <c r="N1418" s="245"/>
      <c r="O1418" s="245"/>
      <c r="P1418" s="245"/>
      <c r="Q1418" s="246"/>
      <c r="R1418" s="233"/>
      <c r="S1418" s="234">
        <f>IF(C1418="",NA(),MATCH($B1418&amp;$C1418,'Smelter Reference List'!$J:$J,0))</f>
        <v>432</v>
      </c>
      <c r="T1418" s="235"/>
      <c r="U1418" s="235">
        <f t="shared" si="40"/>
        <v>0</v>
      </c>
      <c r="V1418" s="235"/>
      <c r="W1418" s="235"/>
      <c r="Y1418" s="228" t="str">
        <f t="shared" si="41"/>
        <v>TinPT Timah (Persero) Tbk Mentok</v>
      </c>
    </row>
    <row r="1419" spans="1:25" s="228" customFormat="1" ht="20.25">
      <c r="A1419" s="161" t="s">
        <v>1378</v>
      </c>
      <c r="B1419" s="408" t="s">
        <v>2324</v>
      </c>
      <c r="C1419" s="297" t="str">
        <f>IF(LEN(A1419)=0,"",INDEX('[2]Smelter Reference List'!$C$1:$C$65536,MATCH($A1419,'[2]Smelter Reference List'!$E$1:$E$65536,0)))</f>
        <v>Malaysia Smelting Corporation (MSC)</v>
      </c>
      <c r="D1419" s="161" t="s">
        <v>1471</v>
      </c>
      <c r="E1419" s="161" t="s">
        <v>2289</v>
      </c>
      <c r="F1419" s="161" t="s">
        <v>1378</v>
      </c>
      <c r="G1419" s="161" t="s">
        <v>3125</v>
      </c>
      <c r="H1419" s="247">
        <v>0</v>
      </c>
      <c r="I1419" s="248" t="s">
        <v>3481</v>
      </c>
      <c r="J1419" s="248" t="s">
        <v>3482</v>
      </c>
      <c r="K1419" s="245"/>
      <c r="L1419" s="245"/>
      <c r="M1419" s="245"/>
      <c r="N1419" s="245"/>
      <c r="O1419" s="245"/>
      <c r="P1419" s="245"/>
      <c r="Q1419" s="246"/>
      <c r="R1419" s="233"/>
      <c r="S1419" s="234">
        <f>IF(C1419="",NA(),MATCH($B1419&amp;$C1419,'Smelter Reference List'!$J:$J,0))</f>
        <v>377</v>
      </c>
      <c r="T1419" s="235"/>
      <c r="U1419" s="235">
        <f t="shared" si="40"/>
        <v>0</v>
      </c>
      <c r="V1419" s="235"/>
      <c r="W1419" s="235"/>
      <c r="Y1419" s="228" t="str">
        <f t="shared" si="41"/>
        <v>TinMalaysia Smelting Corporation (MSC)</v>
      </c>
    </row>
    <row r="1420" spans="1:25" s="228" customFormat="1" ht="20.25">
      <c r="A1420" s="161" t="s">
        <v>1406</v>
      </c>
      <c r="B1420" s="408" t="s">
        <v>2324</v>
      </c>
      <c r="C1420" s="297" t="str">
        <f>IF(LEN(A1420)=0,"",INDEX('[2]Smelter Reference List'!$C$1:$C$65536,MATCH($A1420,'[2]Smelter Reference List'!$E$1:$E$65536,0)))</f>
        <v>Yunnan Chengfeng Non-ferrous Metals Co., Ltd.</v>
      </c>
      <c r="D1420" s="161" t="s">
        <v>4183</v>
      </c>
      <c r="E1420" s="161" t="s">
        <v>2181</v>
      </c>
      <c r="F1420" s="161" t="s">
        <v>1406</v>
      </c>
      <c r="G1420" s="161" t="s">
        <v>3125</v>
      </c>
      <c r="H1420" s="247">
        <v>0</v>
      </c>
      <c r="I1420" s="248" t="s">
        <v>3468</v>
      </c>
      <c r="J1420" s="248" t="s">
        <v>3161</v>
      </c>
      <c r="K1420" s="245"/>
      <c r="L1420" s="245"/>
      <c r="M1420" s="245"/>
      <c r="N1420" s="245"/>
      <c r="O1420" s="245"/>
      <c r="P1420" s="245"/>
      <c r="Q1420" s="246"/>
      <c r="R1420" s="233"/>
      <c r="S1420" s="234">
        <f>IF(C1420="",NA(),MATCH($B1420&amp;$C1420,'Smelter Reference List'!$J:$J,0))</f>
        <v>459</v>
      </c>
      <c r="T1420" s="235"/>
      <c r="U1420" s="235">
        <f t="shared" si="40"/>
        <v>0</v>
      </c>
      <c r="V1420" s="235"/>
      <c r="W1420" s="235"/>
      <c r="Y1420" s="228" t="str">
        <f t="shared" si="41"/>
        <v>TinYunnan Chengfeng Non-ferrous Metals Co., Ltd.</v>
      </c>
    </row>
    <row r="1421" spans="1:25" s="228" customFormat="1" ht="20.25">
      <c r="A1421" s="161" t="s">
        <v>1234</v>
      </c>
      <c r="B1421" s="408" t="s">
        <v>2323</v>
      </c>
      <c r="C1421" s="297" t="str">
        <f>IF(LEN(A1421)=0,"",INDEX('[2]Smelter Reference List'!$C$1:$C$65536,MATCH($A1421,'[2]Smelter Reference List'!$E$1:$E$65536,0)))</f>
        <v>Aida Chemical Industries Co., Ltd.</v>
      </c>
      <c r="D1421" s="161" t="s">
        <v>4146</v>
      </c>
      <c r="E1421" s="161" t="s">
        <v>2249</v>
      </c>
      <c r="F1421" s="161" t="s">
        <v>1234</v>
      </c>
      <c r="G1421" s="161" t="s">
        <v>3125</v>
      </c>
      <c r="H1421" s="247">
        <v>0</v>
      </c>
      <c r="I1421" s="248" t="s">
        <v>3128</v>
      </c>
      <c r="J1421" s="248" t="s">
        <v>3129</v>
      </c>
      <c r="K1421" s="245"/>
      <c r="L1421" s="245"/>
      <c r="M1421" s="245"/>
      <c r="N1421" s="245"/>
      <c r="O1421" s="245"/>
      <c r="P1421" s="245"/>
      <c r="Q1421" s="246"/>
      <c r="R1421" s="233"/>
      <c r="S1421" s="234">
        <f>IF(C1421="",NA(),MATCH($B1421&amp;$C1421,'Smelter Reference List'!$J:$J,0))</f>
        <v>9</v>
      </c>
      <c r="T1421" s="235"/>
      <c r="U1421" s="235">
        <f t="shared" si="40"/>
        <v>0</v>
      </c>
      <c r="V1421" s="235"/>
      <c r="W1421" s="235"/>
      <c r="Y1421" s="228" t="str">
        <f t="shared" si="41"/>
        <v>GoldAida Chemical Industries Co., Ltd.</v>
      </c>
    </row>
    <row r="1422" spans="1:25" s="228" customFormat="1" ht="20.25">
      <c r="A1422" s="161" t="s">
        <v>1235</v>
      </c>
      <c r="B1422" s="408" t="s">
        <v>2323</v>
      </c>
      <c r="C1422" s="297" t="str">
        <f>IF(LEN(A1422)=0,"",INDEX('[2]Smelter Reference List'!$C$1:$C$65536,MATCH($A1422,'[2]Smelter Reference List'!$E$1:$E$65536,0)))</f>
        <v>Allgemeine Gold-und Silberscheideanstalt A.G.</v>
      </c>
      <c r="D1422" s="161" t="s">
        <v>70</v>
      </c>
      <c r="E1422" s="161" t="s">
        <v>2195</v>
      </c>
      <c r="F1422" s="161" t="s">
        <v>1235</v>
      </c>
      <c r="G1422" s="161" t="s">
        <v>3125</v>
      </c>
      <c r="H1422" s="247">
        <v>0</v>
      </c>
      <c r="I1422" s="248" t="s">
        <v>3130</v>
      </c>
      <c r="J1422" s="248" t="s">
        <v>3131</v>
      </c>
      <c r="K1422" s="245"/>
      <c r="L1422" s="245"/>
      <c r="M1422" s="245"/>
      <c r="N1422" s="245"/>
      <c r="O1422" s="245"/>
      <c r="P1422" s="245"/>
      <c r="Q1422" s="246"/>
      <c r="R1422" s="233"/>
      <c r="S1422" s="234">
        <f>IF(C1422="",NA(),MATCH($B1422&amp;$C1422,'Smelter Reference List'!$J:$J,0))</f>
        <v>11</v>
      </c>
      <c r="T1422" s="235"/>
      <c r="U1422" s="235">
        <f t="shared" si="40"/>
        <v>0</v>
      </c>
      <c r="V1422" s="235"/>
      <c r="W1422" s="235"/>
      <c r="Y1422" s="228" t="str">
        <f t="shared" si="41"/>
        <v>GoldAllgemeine Gold-und Silberscheideanstalt A.G.</v>
      </c>
    </row>
    <row r="1423" spans="1:25" s="228" customFormat="1" ht="20.25">
      <c r="A1423" s="161" t="s">
        <v>1237</v>
      </c>
      <c r="B1423" s="408" t="s">
        <v>2323</v>
      </c>
      <c r="C1423" s="297" t="str">
        <f>IF(LEN(A1423)=0,"",INDEX('[2]Smelter Reference List'!$C$1:$C$65536,MATCH($A1423,'[2]Smelter Reference List'!$E$1:$E$65536,0)))</f>
        <v>AngloGold Ashanti Córrego do Sítio Mineração</v>
      </c>
      <c r="D1423" s="161" t="s">
        <v>3134</v>
      </c>
      <c r="E1423" s="161" t="s">
        <v>2170</v>
      </c>
      <c r="F1423" s="161" t="s">
        <v>1237</v>
      </c>
      <c r="G1423" s="161" t="s">
        <v>3125</v>
      </c>
      <c r="H1423" s="247">
        <v>0</v>
      </c>
      <c r="I1423" s="248" t="s">
        <v>3135</v>
      </c>
      <c r="J1423" s="248" t="s">
        <v>3136</v>
      </c>
      <c r="K1423" s="245"/>
      <c r="L1423" s="245"/>
      <c r="M1423" s="245"/>
      <c r="N1423" s="245"/>
      <c r="O1423" s="245"/>
      <c r="P1423" s="245"/>
      <c r="Q1423" s="246"/>
      <c r="R1423" s="233"/>
      <c r="S1423" s="234">
        <f>IF(C1423="",NA(),MATCH($B1423&amp;$C1423,'Smelter Reference List'!$J:$J,0))</f>
        <v>14</v>
      </c>
      <c r="T1423" s="235"/>
      <c r="U1423" s="235">
        <f t="shared" si="40"/>
        <v>0</v>
      </c>
      <c r="V1423" s="235"/>
      <c r="W1423" s="235"/>
      <c r="Y1423" s="228" t="str">
        <f t="shared" si="41"/>
        <v>GoldAngloGold Ashanti Córrego do Sítio Mineração</v>
      </c>
    </row>
    <row r="1424" spans="1:25" s="228" customFormat="1" ht="20.25">
      <c r="A1424" s="161" t="s">
        <v>1238</v>
      </c>
      <c r="B1424" s="408" t="s">
        <v>2323</v>
      </c>
      <c r="C1424" s="297" t="str">
        <f>IF(LEN(A1424)=0,"",INDEX('[2]Smelter Reference List'!$C$1:$C$65536,MATCH($A1424,'[2]Smelter Reference List'!$E$1:$E$65536,0)))</f>
        <v>Argor-Heraeus S.A.</v>
      </c>
      <c r="D1424" s="161" t="s">
        <v>4669</v>
      </c>
      <c r="E1424" s="161" t="s">
        <v>2179</v>
      </c>
      <c r="F1424" s="161" t="s">
        <v>1238</v>
      </c>
      <c r="G1424" s="161" t="s">
        <v>3125</v>
      </c>
      <c r="H1424" s="247">
        <v>0</v>
      </c>
      <c r="I1424" s="248" t="s">
        <v>3137</v>
      </c>
      <c r="J1424" s="248" t="s">
        <v>3138</v>
      </c>
      <c r="K1424" s="245"/>
      <c r="L1424" s="245"/>
      <c r="M1424" s="245"/>
      <c r="N1424" s="245"/>
      <c r="O1424" s="245"/>
      <c r="P1424" s="245"/>
      <c r="Q1424" s="246"/>
      <c r="R1424" s="233"/>
      <c r="S1424" s="234">
        <f>IF(C1424="",NA(),MATCH($B1424&amp;$C1424,'Smelter Reference List'!$J:$J,0))</f>
        <v>17</v>
      </c>
      <c r="T1424" s="235"/>
      <c r="U1424" s="235">
        <f t="shared" si="40"/>
        <v>0</v>
      </c>
      <c r="V1424" s="235"/>
      <c r="W1424" s="235"/>
      <c r="Y1424" s="228" t="str">
        <f t="shared" si="41"/>
        <v>GoldArgor-Heraeus S.A.</v>
      </c>
    </row>
    <row r="1425" spans="1:25" s="228" customFormat="1" ht="20.25">
      <c r="A1425" s="161" t="s">
        <v>1239</v>
      </c>
      <c r="B1425" s="408" t="s">
        <v>2323</v>
      </c>
      <c r="C1425" s="297" t="str">
        <f>IF(LEN(A1425)=0,"",INDEX('[2]Smelter Reference List'!$C$1:$C$65536,MATCH($A1425,'[2]Smelter Reference List'!$E$1:$E$65536,0)))</f>
        <v>Asahi Pretec Corp.</v>
      </c>
      <c r="D1425" s="161" t="s">
        <v>4670</v>
      </c>
      <c r="E1425" s="161" t="s">
        <v>2249</v>
      </c>
      <c r="F1425" s="161" t="s">
        <v>1239</v>
      </c>
      <c r="G1425" s="161" t="s">
        <v>3125</v>
      </c>
      <c r="H1425" s="247">
        <v>0</v>
      </c>
      <c r="I1425" s="248" t="s">
        <v>3139</v>
      </c>
      <c r="J1425" s="248" t="s">
        <v>3140</v>
      </c>
      <c r="K1425" s="245"/>
      <c r="L1425" s="245"/>
      <c r="M1425" s="245"/>
      <c r="N1425" s="245"/>
      <c r="O1425" s="245"/>
      <c r="P1425" s="245"/>
      <c r="Q1425" s="246"/>
      <c r="R1425" s="233"/>
      <c r="S1425" s="234">
        <f>IF(C1425="",NA(),MATCH($B1425&amp;$C1425,'Smelter Reference List'!$J:$J,0))</f>
        <v>18</v>
      </c>
      <c r="T1425" s="235"/>
      <c r="U1425" s="235">
        <f t="shared" si="40"/>
        <v>0</v>
      </c>
      <c r="V1425" s="235"/>
      <c r="W1425" s="235"/>
      <c r="Y1425" s="228" t="str">
        <f t="shared" si="41"/>
        <v>GoldAsahi Pretec Corp.</v>
      </c>
    </row>
    <row r="1426" spans="1:25" s="228" customFormat="1" ht="20.25">
      <c r="A1426" s="161" t="s">
        <v>1240</v>
      </c>
      <c r="B1426" s="408" t="s">
        <v>2323</v>
      </c>
      <c r="C1426" s="297" t="str">
        <f>IF(LEN(A1426)=0,"",INDEX('[2]Smelter Reference List'!$C$1:$C$65536,MATCH($A1426,'[2]Smelter Reference List'!$E$1:$E$65536,0)))</f>
        <v>Asaka Riken Co., Ltd.</v>
      </c>
      <c r="D1426" s="161" t="s">
        <v>4147</v>
      </c>
      <c r="E1426" s="161" t="s">
        <v>2249</v>
      </c>
      <c r="F1426" s="161" t="s">
        <v>1240</v>
      </c>
      <c r="G1426" s="161" t="s">
        <v>3125</v>
      </c>
      <c r="H1426" s="247">
        <v>0</v>
      </c>
      <c r="I1426" s="248" t="s">
        <v>3142</v>
      </c>
      <c r="J1426" s="248" t="s">
        <v>3143</v>
      </c>
      <c r="K1426" s="245"/>
      <c r="L1426" s="245"/>
      <c r="M1426" s="245"/>
      <c r="N1426" s="245"/>
      <c r="O1426" s="245"/>
      <c r="P1426" s="245"/>
      <c r="Q1426" s="246"/>
      <c r="R1426" s="233"/>
      <c r="S1426" s="234">
        <f>IF(C1426="",NA(),MATCH($B1426&amp;$C1426,'Smelter Reference List'!$J:$J,0))</f>
        <v>21</v>
      </c>
      <c r="T1426" s="235"/>
      <c r="U1426" s="235">
        <f t="shared" si="40"/>
        <v>0</v>
      </c>
      <c r="V1426" s="235"/>
      <c r="W1426" s="235"/>
      <c r="Y1426" s="228" t="str">
        <f t="shared" si="41"/>
        <v>GoldAsaka Riken Co., Ltd.</v>
      </c>
    </row>
    <row r="1427" spans="1:25" s="228" customFormat="1" ht="20.25">
      <c r="A1427" s="161" t="s">
        <v>1242</v>
      </c>
      <c r="B1427" s="408" t="s">
        <v>2323</v>
      </c>
      <c r="C1427" s="297" t="str">
        <f>IF(LEN(A1427)=0,"",INDEX('[2]Smelter Reference List'!$C$1:$C$65536,MATCH($A1427,'[2]Smelter Reference List'!$E$1:$E$65536,0)))</f>
        <v>Aurubis AG</v>
      </c>
      <c r="D1427" s="161" t="s">
        <v>2448</v>
      </c>
      <c r="E1427" s="161" t="s">
        <v>2195</v>
      </c>
      <c r="F1427" s="161" t="s">
        <v>1242</v>
      </c>
      <c r="G1427" s="161" t="s">
        <v>3125</v>
      </c>
      <c r="H1427" s="247">
        <v>0</v>
      </c>
      <c r="I1427" s="248" t="s">
        <v>3146</v>
      </c>
      <c r="J1427" s="248" t="s">
        <v>3147</v>
      </c>
      <c r="K1427" s="245"/>
      <c r="L1427" s="245"/>
      <c r="M1427" s="245"/>
      <c r="N1427" s="245"/>
      <c r="O1427" s="245"/>
      <c r="P1427" s="245"/>
      <c r="Q1427" s="246"/>
      <c r="R1427" s="233"/>
      <c r="S1427" s="234">
        <f>IF(C1427="",NA(),MATCH($B1427&amp;$C1427,'Smelter Reference List'!$J:$J,0))</f>
        <v>26</v>
      </c>
      <c r="T1427" s="235"/>
      <c r="U1427" s="235">
        <f t="shared" si="40"/>
        <v>0</v>
      </c>
      <c r="V1427" s="235"/>
      <c r="W1427" s="235"/>
      <c r="Y1427" s="228" t="str">
        <f t="shared" si="41"/>
        <v>GoldAurubis AG</v>
      </c>
    </row>
    <row r="1428" spans="1:25" s="228" customFormat="1" ht="20.25">
      <c r="A1428" s="161" t="s">
        <v>1250</v>
      </c>
      <c r="B1428" s="408" t="s">
        <v>2323</v>
      </c>
      <c r="C1428" s="297" t="str">
        <f>IF(LEN(A1428)=0,"",INDEX('[2]Smelter Reference List'!$C$1:$C$65536,MATCH($A1428,'[2]Smelter Reference List'!$E$1:$E$65536,0)))</f>
        <v>Chimet S.p.A.</v>
      </c>
      <c r="D1428" s="161" t="s">
        <v>71</v>
      </c>
      <c r="E1428" s="161" t="s">
        <v>2246</v>
      </c>
      <c r="F1428" s="161" t="s">
        <v>1250</v>
      </c>
      <c r="G1428" s="161" t="s">
        <v>3125</v>
      </c>
      <c r="H1428" s="247">
        <v>0</v>
      </c>
      <c r="I1428" s="248" t="s">
        <v>3163</v>
      </c>
      <c r="J1428" s="248" t="s">
        <v>3164</v>
      </c>
      <c r="K1428" s="245"/>
      <c r="L1428" s="245"/>
      <c r="M1428" s="245"/>
      <c r="N1428" s="245"/>
      <c r="O1428" s="245"/>
      <c r="P1428" s="245"/>
      <c r="Q1428" s="246"/>
      <c r="R1428" s="233"/>
      <c r="S1428" s="234">
        <f>IF(C1428="",NA(),MATCH($B1428&amp;$C1428,'Smelter Reference List'!$J:$J,0))</f>
        <v>38</v>
      </c>
      <c r="T1428" s="235"/>
      <c r="U1428" s="235">
        <f t="shared" si="40"/>
        <v>0</v>
      </c>
      <c r="V1428" s="235"/>
      <c r="W1428" s="235"/>
      <c r="Y1428" s="228" t="str">
        <f t="shared" si="41"/>
        <v>GoldChimet S.p.A.</v>
      </c>
    </row>
    <row r="1429" spans="1:25" s="228" customFormat="1" ht="20.25">
      <c r="A1429" s="161" t="s">
        <v>1324</v>
      </c>
      <c r="B1429" s="408" t="s">
        <v>2323</v>
      </c>
      <c r="C1429" s="297" t="str">
        <f>IF(LEN(A1429)=0,"",INDEX('[2]Smelter Reference List'!$C$1:$C$65536,MATCH($A1429,'[2]Smelter Reference List'!$E$1:$E$65536,0)))</f>
        <v>The Refinery of Shandong Gold Mining Co., Ltd.</v>
      </c>
      <c r="D1429" s="161" t="s">
        <v>4177</v>
      </c>
      <c r="E1429" s="161" t="s">
        <v>2181</v>
      </c>
      <c r="F1429" s="161" t="s">
        <v>1324</v>
      </c>
      <c r="G1429" s="161" t="s">
        <v>3125</v>
      </c>
      <c r="H1429" s="247">
        <v>0</v>
      </c>
      <c r="I1429" s="248" t="s">
        <v>3286</v>
      </c>
      <c r="J1429" s="248" t="s">
        <v>3263</v>
      </c>
      <c r="K1429" s="245"/>
      <c r="L1429" s="245"/>
      <c r="M1429" s="245"/>
      <c r="N1429" s="245"/>
      <c r="O1429" s="245"/>
      <c r="P1429" s="245"/>
      <c r="Q1429" s="246"/>
      <c r="R1429" s="233"/>
      <c r="S1429" s="234">
        <f>IF(C1429="",NA(),MATCH($B1429&amp;$C1429,'Smelter Reference List'!$J:$J,0))</f>
        <v>204</v>
      </c>
      <c r="T1429" s="235"/>
      <c r="U1429" s="235">
        <f t="shared" si="40"/>
        <v>0</v>
      </c>
      <c r="V1429" s="235"/>
      <c r="W1429" s="235"/>
      <c r="Y1429" s="228" t="str">
        <f t="shared" si="41"/>
        <v>GoldThe Refinery of Shandong Gold Mining Co., Ltd.</v>
      </c>
    </row>
    <row r="1430" spans="1:25" s="228" customFormat="1" ht="20.25">
      <c r="A1430" s="161" t="s">
        <v>1258</v>
      </c>
      <c r="B1430" s="408" t="s">
        <v>2323</v>
      </c>
      <c r="C1430" s="297" t="str">
        <f>IF(LEN(A1430)=0,"",INDEX('[2]Smelter Reference List'!$C$1:$C$65536,MATCH($A1430,'[2]Smelter Reference List'!$E$1:$E$65536,0)))</f>
        <v>Dowa</v>
      </c>
      <c r="D1430" s="161" t="s">
        <v>1788</v>
      </c>
      <c r="E1430" s="161" t="s">
        <v>2249</v>
      </c>
      <c r="F1430" s="161" t="s">
        <v>1258</v>
      </c>
      <c r="G1430" s="161" t="s">
        <v>3125</v>
      </c>
      <c r="H1430" s="247">
        <v>0</v>
      </c>
      <c r="I1430" s="248" t="s">
        <v>3173</v>
      </c>
      <c r="J1430" s="248" t="s">
        <v>3174</v>
      </c>
      <c r="K1430" s="245"/>
      <c r="L1430" s="245"/>
      <c r="M1430" s="245"/>
      <c r="N1430" s="245"/>
      <c r="O1430" s="245"/>
      <c r="P1430" s="245"/>
      <c r="Q1430" s="246"/>
      <c r="R1430" s="233"/>
      <c r="S1430" s="234">
        <f>IF(C1430="",NA(),MATCH($B1430&amp;$C1430,'Smelter Reference List'!$J:$J,0))</f>
        <v>49</v>
      </c>
      <c r="T1430" s="235"/>
      <c r="U1430" s="235">
        <f t="shared" si="40"/>
        <v>0</v>
      </c>
      <c r="V1430" s="235"/>
      <c r="W1430" s="235"/>
      <c r="Y1430" s="228" t="str">
        <f t="shared" si="41"/>
        <v>GoldDowa</v>
      </c>
    </row>
    <row r="1431" spans="1:25" s="228" customFormat="1" ht="20.25">
      <c r="A1431" s="161" t="s">
        <v>727</v>
      </c>
      <c r="B1431" s="408" t="s">
        <v>2323</v>
      </c>
      <c r="C1431" s="297" t="str">
        <f>IF(LEN(A1431)=0,"",INDEX('[2]Smelter Reference List'!$C$1:$C$65536,MATCH($A1431,'[2]Smelter Reference List'!$E$1:$E$65536,0)))</f>
        <v>Eco-System Recycling Co., Ltd.</v>
      </c>
      <c r="D1431" s="161" t="s">
        <v>726</v>
      </c>
      <c r="E1431" s="161" t="s">
        <v>2249</v>
      </c>
      <c r="F1431" s="161" t="s">
        <v>727</v>
      </c>
      <c r="G1431" s="161" t="s">
        <v>3125</v>
      </c>
      <c r="H1431" s="247">
        <v>0</v>
      </c>
      <c r="I1431" s="248" t="s">
        <v>3178</v>
      </c>
      <c r="J1431" s="248" t="s">
        <v>3179</v>
      </c>
      <c r="K1431" s="245"/>
      <c r="L1431" s="245"/>
      <c r="M1431" s="245"/>
      <c r="N1431" s="245"/>
      <c r="O1431" s="245"/>
      <c r="P1431" s="245"/>
      <c r="Q1431" s="246"/>
      <c r="R1431" s="233"/>
      <c r="S1431" s="234">
        <f>IF(C1431="",NA(),MATCH($B1431&amp;$C1431,'Smelter Reference List'!$J:$J,0))</f>
        <v>54</v>
      </c>
      <c r="T1431" s="235"/>
      <c r="U1431" s="235">
        <f t="shared" si="40"/>
        <v>0</v>
      </c>
      <c r="V1431" s="235"/>
      <c r="W1431" s="235"/>
      <c r="Y1431" s="228" t="str">
        <f t="shared" si="41"/>
        <v>GoldEco-System Recycling Co., Ltd.</v>
      </c>
    </row>
    <row r="1432" spans="1:25" s="228" customFormat="1" ht="20.25">
      <c r="A1432" s="161" t="s">
        <v>1263</v>
      </c>
      <c r="B1432" s="408" t="s">
        <v>2323</v>
      </c>
      <c r="C1432" s="297" t="str">
        <f>IF(LEN(A1432)=0,"",INDEX('[2]Smelter Reference List'!$C$1:$C$65536,MATCH($A1432,'[2]Smelter Reference List'!$E$1:$E$65536,0)))</f>
        <v>Heimerle + Meule GmbH</v>
      </c>
      <c r="D1432" s="161" t="s">
        <v>1959</v>
      </c>
      <c r="E1432" s="161" t="s">
        <v>2195</v>
      </c>
      <c r="F1432" s="161" t="s">
        <v>1263</v>
      </c>
      <c r="G1432" s="161" t="s">
        <v>3125</v>
      </c>
      <c r="H1432" s="247">
        <v>0</v>
      </c>
      <c r="I1432" s="248" t="s">
        <v>3130</v>
      </c>
      <c r="J1432" s="248" t="s">
        <v>3131</v>
      </c>
      <c r="K1432" s="245"/>
      <c r="L1432" s="245"/>
      <c r="M1432" s="245"/>
      <c r="N1432" s="245"/>
      <c r="O1432" s="245"/>
      <c r="P1432" s="245"/>
      <c r="Q1432" s="246"/>
      <c r="R1432" s="233"/>
      <c r="S1432" s="234">
        <f>IF(C1432="",NA(),MATCH($B1432&amp;$C1432,'Smelter Reference List'!$J:$J,0))</f>
        <v>71</v>
      </c>
      <c r="T1432" s="235"/>
      <c r="U1432" s="235">
        <f t="shared" si="40"/>
        <v>0</v>
      </c>
      <c r="V1432" s="235"/>
      <c r="W1432" s="235"/>
      <c r="Y1432" s="228" t="str">
        <f t="shared" si="41"/>
        <v>GoldHeimerle + Meule GmbH</v>
      </c>
    </row>
    <row r="1433" spans="1:25" s="228" customFormat="1" ht="20.25">
      <c r="A1433" s="161" t="s">
        <v>1264</v>
      </c>
      <c r="B1433" s="408" t="s">
        <v>2323</v>
      </c>
      <c r="C1433" s="297" t="str">
        <f>IF(LEN(A1433)=0,"",INDEX('[2]Smelter Reference List'!$C$1:$C$65536,MATCH($A1433,'[2]Smelter Reference List'!$E$1:$E$65536,0)))</f>
        <v>Heraeus Ltd. Hong Kong</v>
      </c>
      <c r="D1433" s="161" t="s">
        <v>72</v>
      </c>
      <c r="E1433" s="161" t="s">
        <v>2181</v>
      </c>
      <c r="F1433" s="161" t="s">
        <v>1264</v>
      </c>
      <c r="G1433" s="161" t="s">
        <v>3125</v>
      </c>
      <c r="H1433" s="247">
        <v>0</v>
      </c>
      <c r="I1433" s="248" t="s">
        <v>3190</v>
      </c>
      <c r="J1433" s="248" t="s">
        <v>3191</v>
      </c>
      <c r="K1433" s="245"/>
      <c r="L1433" s="245"/>
      <c r="M1433" s="245"/>
      <c r="N1433" s="245"/>
      <c r="O1433" s="245"/>
      <c r="P1433" s="245"/>
      <c r="Q1433" s="246"/>
      <c r="R1433" s="233"/>
      <c r="S1433" s="234">
        <f>IF(C1433="",NA(),MATCH($B1433&amp;$C1433,'Smelter Reference List'!$J:$J,0))</f>
        <v>75</v>
      </c>
      <c r="T1433" s="235"/>
      <c r="U1433" s="235">
        <f t="shared" si="40"/>
        <v>0</v>
      </c>
      <c r="V1433" s="235"/>
      <c r="W1433" s="235"/>
      <c r="Y1433" s="228" t="str">
        <f t="shared" si="41"/>
        <v>GoldHeraeus Ltd. Hong Kong</v>
      </c>
    </row>
    <row r="1434" spans="1:25" s="228" customFormat="1" ht="20.25">
      <c r="A1434" s="161" t="s">
        <v>1265</v>
      </c>
      <c r="B1434" s="408" t="s">
        <v>2323</v>
      </c>
      <c r="C1434" s="297" t="str">
        <f>IF(LEN(A1434)=0,"",INDEX('[2]Smelter Reference List'!$C$1:$C$65536,MATCH($A1434,'[2]Smelter Reference List'!$E$1:$E$65536,0)))</f>
        <v>Heraeus Precious Metals GmbH &amp; Co. KG</v>
      </c>
      <c r="D1434" s="161" t="s">
        <v>2451</v>
      </c>
      <c r="E1434" s="161" t="s">
        <v>2195</v>
      </c>
      <c r="F1434" s="161" t="s">
        <v>1265</v>
      </c>
      <c r="G1434" s="161" t="s">
        <v>3125</v>
      </c>
      <c r="H1434" s="247">
        <v>0</v>
      </c>
      <c r="I1434" s="248" t="s">
        <v>3192</v>
      </c>
      <c r="J1434" s="248" t="s">
        <v>3193</v>
      </c>
      <c r="K1434" s="245"/>
      <c r="L1434" s="245"/>
      <c r="M1434" s="245"/>
      <c r="N1434" s="245"/>
      <c r="O1434" s="245"/>
      <c r="P1434" s="245"/>
      <c r="Q1434" s="246"/>
      <c r="R1434" s="233"/>
      <c r="S1434" s="234">
        <f>IF(C1434="",NA(),MATCH($B1434&amp;$C1434,'Smelter Reference List'!$J:$J,0))</f>
        <v>76</v>
      </c>
      <c r="T1434" s="235"/>
      <c r="U1434" s="235">
        <f t="shared" si="40"/>
        <v>0</v>
      </c>
      <c r="V1434" s="235"/>
      <c r="W1434" s="235"/>
      <c r="Y1434" s="228" t="str">
        <f t="shared" si="41"/>
        <v>GoldHeraeus Precious Metals GmbH &amp; Co. KG</v>
      </c>
    </row>
    <row r="1435" spans="1:25" s="228" customFormat="1" ht="20.25">
      <c r="A1435" s="161" t="s">
        <v>1269</v>
      </c>
      <c r="B1435" s="408" t="s">
        <v>2323</v>
      </c>
      <c r="C1435" s="297" t="str">
        <f>IF(LEN(A1435)=0,"",INDEX('[2]Smelter Reference List'!$C$1:$C$65536,MATCH($A1435,'[2]Smelter Reference List'!$E$1:$E$65536,0)))</f>
        <v>Ishifuku Metal Industry Co., Ltd.</v>
      </c>
      <c r="D1435" s="161" t="s">
        <v>2452</v>
      </c>
      <c r="E1435" s="161" t="s">
        <v>2249</v>
      </c>
      <c r="F1435" s="161" t="s">
        <v>1269</v>
      </c>
      <c r="G1435" s="161" t="s">
        <v>3125</v>
      </c>
      <c r="H1435" s="247">
        <v>0</v>
      </c>
      <c r="I1435" s="248" t="s">
        <v>3199</v>
      </c>
      <c r="J1435" s="248" t="s">
        <v>3179</v>
      </c>
      <c r="K1435" s="245"/>
      <c r="L1435" s="245"/>
      <c r="M1435" s="245"/>
      <c r="N1435" s="245"/>
      <c r="O1435" s="245"/>
      <c r="P1435" s="245"/>
      <c r="Q1435" s="246"/>
      <c r="R1435" s="233"/>
      <c r="S1435" s="234">
        <f>IF(C1435="",NA(),MATCH($B1435&amp;$C1435,'Smelter Reference List'!$J:$J,0))</f>
        <v>82</v>
      </c>
      <c r="T1435" s="235"/>
      <c r="U1435" s="235">
        <f t="shared" si="40"/>
        <v>0</v>
      </c>
      <c r="V1435" s="235"/>
      <c r="W1435" s="235"/>
      <c r="Y1435" s="228" t="str">
        <f t="shared" si="41"/>
        <v>GoldIshifuku Metal Industry Co., Ltd.</v>
      </c>
    </row>
    <row r="1436" spans="1:25" s="228" customFormat="1" ht="20.25">
      <c r="A1436" s="161" t="s">
        <v>1272</v>
      </c>
      <c r="B1436" s="408" t="s">
        <v>2323</v>
      </c>
      <c r="C1436" s="297" t="str">
        <f>IF(LEN(A1436)=0,"",INDEX('[2]Smelter Reference List'!$C$1:$C$65536,MATCH($A1436,'[2]Smelter Reference List'!$E$1:$E$65536,0)))</f>
        <v>Jiangxi Copper Co., Ltd.</v>
      </c>
      <c r="D1436" s="161" t="s">
        <v>4689</v>
      </c>
      <c r="E1436" s="161" t="s">
        <v>2181</v>
      </c>
      <c r="F1436" s="161" t="s">
        <v>1272</v>
      </c>
      <c r="G1436" s="161" t="s">
        <v>3125</v>
      </c>
      <c r="H1436" s="247">
        <v>0</v>
      </c>
      <c r="I1436" s="248" t="s">
        <v>3203</v>
      </c>
      <c r="J1436" s="248" t="s">
        <v>3204</v>
      </c>
      <c r="K1436" s="245"/>
      <c r="L1436" s="245"/>
      <c r="M1436" s="245"/>
      <c r="N1436" s="245"/>
      <c r="O1436" s="245"/>
      <c r="P1436" s="245"/>
      <c r="Q1436" s="246"/>
      <c r="R1436" s="233"/>
      <c r="S1436" s="234">
        <f>IF(C1436="",NA(),MATCH($B1436&amp;$C1436,'Smelter Reference List'!$J:$J,0))</f>
        <v>86</v>
      </c>
      <c r="T1436" s="235"/>
      <c r="U1436" s="235">
        <f t="shared" si="40"/>
        <v>0</v>
      </c>
      <c r="V1436" s="235"/>
      <c r="W1436" s="235"/>
      <c r="Y1436" s="228" t="str">
        <f t="shared" si="41"/>
        <v>GoldJiangxi Copper Co., Ltd.</v>
      </c>
    </row>
    <row r="1437" spans="1:25" s="228" customFormat="1" ht="20.25">
      <c r="A1437" s="161" t="s">
        <v>1273</v>
      </c>
      <c r="B1437" s="408" t="s">
        <v>2323</v>
      </c>
      <c r="C1437" s="297" t="str">
        <f>IF(LEN(A1437)=0,"",INDEX('[2]Smelter Reference List'!$C$1:$C$65536,MATCH($A1437,'[2]Smelter Reference List'!$E$1:$E$65536,0)))</f>
        <v>Asahi Refining USA Inc.</v>
      </c>
      <c r="D1437" s="161" t="s">
        <v>4267</v>
      </c>
      <c r="E1437" s="161" t="s">
        <v>1759</v>
      </c>
      <c r="F1437" s="161" t="s">
        <v>1273</v>
      </c>
      <c r="G1437" s="161" t="s">
        <v>3125</v>
      </c>
      <c r="H1437" s="247">
        <v>0</v>
      </c>
      <c r="I1437" s="248" t="s">
        <v>3206</v>
      </c>
      <c r="J1437" s="248" t="s">
        <v>3207</v>
      </c>
      <c r="K1437" s="245"/>
      <c r="L1437" s="245"/>
      <c r="M1437" s="245"/>
      <c r="N1437" s="245"/>
      <c r="O1437" s="245"/>
      <c r="P1437" s="245"/>
      <c r="Q1437" s="246"/>
      <c r="R1437" s="233"/>
      <c r="S1437" s="234">
        <f>IF(C1437="",NA(),MATCH($B1437&amp;$C1437,'Smelter Reference List'!$J:$J,0))</f>
        <v>20</v>
      </c>
      <c r="T1437" s="235"/>
      <c r="U1437" s="235">
        <f t="shared" si="40"/>
        <v>0</v>
      </c>
      <c r="V1437" s="235"/>
      <c r="W1437" s="235"/>
      <c r="Y1437" s="228" t="str">
        <f t="shared" si="41"/>
        <v>GoldAsahi Refining USA Inc.</v>
      </c>
    </row>
    <row r="1438" spans="1:25" s="228" customFormat="1" ht="20.25">
      <c r="A1438" s="161" t="s">
        <v>1274</v>
      </c>
      <c r="B1438" s="408" t="s">
        <v>2323</v>
      </c>
      <c r="C1438" s="297" t="str">
        <f>IF(LEN(A1438)=0,"",INDEX('[2]Smelter Reference List'!$C$1:$C$65536,MATCH($A1438,'[2]Smelter Reference List'!$E$1:$E$65536,0)))</f>
        <v>Asahi Refining Canada Ltd.</v>
      </c>
      <c r="D1438" s="161" t="s">
        <v>4671</v>
      </c>
      <c r="E1438" s="161" t="s">
        <v>2177</v>
      </c>
      <c r="F1438" s="161" t="s">
        <v>1274</v>
      </c>
      <c r="G1438" s="161" t="s">
        <v>3125</v>
      </c>
      <c r="H1438" s="247">
        <v>0</v>
      </c>
      <c r="I1438" s="248" t="s">
        <v>3209</v>
      </c>
      <c r="J1438" s="248" t="s">
        <v>3210</v>
      </c>
      <c r="K1438" s="245"/>
      <c r="L1438" s="245"/>
      <c r="M1438" s="245"/>
      <c r="N1438" s="245"/>
      <c r="O1438" s="245"/>
      <c r="P1438" s="245"/>
      <c r="Q1438" s="246"/>
      <c r="R1438" s="233"/>
      <c r="S1438" s="234">
        <f>IF(C1438="",NA(),MATCH($B1438&amp;$C1438,'Smelter Reference List'!$J:$J,0))</f>
        <v>19</v>
      </c>
      <c r="T1438" s="235"/>
      <c r="U1438" s="235">
        <f t="shared" si="40"/>
        <v>0</v>
      </c>
      <c r="V1438" s="235"/>
      <c r="W1438" s="235"/>
      <c r="Y1438" s="228" t="str">
        <f t="shared" si="41"/>
        <v>GoldAsahi Refining Canada Ltd.</v>
      </c>
    </row>
    <row r="1439" spans="1:25" s="228" customFormat="1" ht="20.25">
      <c r="A1439" s="161" t="s">
        <v>1277</v>
      </c>
      <c r="B1439" s="408" t="s">
        <v>2323</v>
      </c>
      <c r="C1439" s="297" t="str">
        <f>IF(LEN(A1439)=0,"",INDEX('[2]Smelter Reference List'!$C$1:$C$65536,MATCH($A1439,'[2]Smelter Reference List'!$E$1:$E$65536,0)))</f>
        <v>JX Nippon Mining &amp; Metals Co., Ltd.</v>
      </c>
      <c r="D1439" s="161" t="s">
        <v>73</v>
      </c>
      <c r="E1439" s="161" t="s">
        <v>2249</v>
      </c>
      <c r="F1439" s="161" t="s">
        <v>1277</v>
      </c>
      <c r="G1439" s="161" t="s">
        <v>3125</v>
      </c>
      <c r="H1439" s="247">
        <v>0</v>
      </c>
      <c r="I1439" s="248" t="s">
        <v>4844</v>
      </c>
      <c r="J1439" s="248" t="s">
        <v>4844</v>
      </c>
      <c r="K1439" s="245"/>
      <c r="L1439" s="245"/>
      <c r="M1439" s="245"/>
      <c r="N1439" s="245"/>
      <c r="O1439" s="245"/>
      <c r="P1439" s="245"/>
      <c r="Q1439" s="246"/>
      <c r="R1439" s="233"/>
      <c r="S1439" s="234">
        <f>IF(C1439="",NA(),MATCH($B1439&amp;$C1439,'Smelter Reference List'!$J:$J,0))</f>
        <v>93</v>
      </c>
      <c r="T1439" s="235"/>
      <c r="U1439" s="235">
        <f t="shared" si="40"/>
        <v>0</v>
      </c>
      <c r="V1439" s="235"/>
      <c r="W1439" s="235"/>
      <c r="Y1439" s="228" t="str">
        <f t="shared" si="41"/>
        <v>GoldJX Nippon Mining &amp; Metals Co., Ltd.</v>
      </c>
    </row>
    <row r="1440" spans="1:25" s="228" customFormat="1" ht="20.25">
      <c r="A1440" s="161" t="s">
        <v>1280</v>
      </c>
      <c r="B1440" s="408" t="s">
        <v>2323</v>
      </c>
      <c r="C1440" s="297" t="str">
        <f>IF(LEN(A1440)=0,"",INDEX('[2]Smelter Reference List'!$C$1:$C$65536,MATCH($A1440,'[2]Smelter Reference List'!$E$1:$E$65536,0)))</f>
        <v>Kennecott Utah Copper LLC</v>
      </c>
      <c r="D1440" s="161" t="s">
        <v>1279</v>
      </c>
      <c r="E1440" s="161" t="s">
        <v>1759</v>
      </c>
      <c r="F1440" s="161" t="s">
        <v>1280</v>
      </c>
      <c r="G1440" s="161" t="s">
        <v>3125</v>
      </c>
      <c r="H1440" s="247">
        <v>0</v>
      </c>
      <c r="I1440" s="248" t="s">
        <v>3215</v>
      </c>
      <c r="J1440" s="248" t="s">
        <v>3207</v>
      </c>
      <c r="K1440" s="245"/>
      <c r="L1440" s="245"/>
      <c r="M1440" s="245"/>
      <c r="N1440" s="245"/>
      <c r="O1440" s="245"/>
      <c r="P1440" s="245"/>
      <c r="Q1440" s="246"/>
      <c r="R1440" s="233"/>
      <c r="S1440" s="234">
        <f>IF(C1440="",NA(),MATCH($B1440&amp;$C1440,'Smelter Reference List'!$J:$J,0))</f>
        <v>97</v>
      </c>
      <c r="T1440" s="235"/>
      <c r="U1440" s="235">
        <f t="shared" si="40"/>
        <v>0</v>
      </c>
      <c r="V1440" s="235"/>
      <c r="W1440" s="235"/>
      <c r="Y1440" s="228" t="str">
        <f t="shared" si="41"/>
        <v>GoldKennecott Utah Copper LLC</v>
      </c>
    </row>
    <row r="1441" spans="1:25" s="228" customFormat="1" ht="20.25">
      <c r="A1441" s="161" t="s">
        <v>1281</v>
      </c>
      <c r="B1441" s="408" t="s">
        <v>2323</v>
      </c>
      <c r="C1441" s="297" t="str">
        <f>IF(LEN(A1441)=0,"",INDEX('[2]Smelter Reference List'!$C$1:$C$65536,MATCH($A1441,'[2]Smelter Reference List'!$E$1:$E$65536,0)))</f>
        <v>Kojima Chemicals Co., Ltd.</v>
      </c>
      <c r="D1441" s="161" t="s">
        <v>4158</v>
      </c>
      <c r="E1441" s="161" t="s">
        <v>2249</v>
      </c>
      <c r="F1441" s="161" t="s">
        <v>1281</v>
      </c>
      <c r="G1441" s="161" t="s">
        <v>3125</v>
      </c>
      <c r="H1441" s="247">
        <v>0</v>
      </c>
      <c r="I1441" s="248" t="s">
        <v>3216</v>
      </c>
      <c r="J1441" s="248" t="s">
        <v>3179</v>
      </c>
      <c r="K1441" s="245"/>
      <c r="L1441" s="245"/>
      <c r="M1441" s="245"/>
      <c r="N1441" s="245"/>
      <c r="O1441" s="245"/>
      <c r="P1441" s="245"/>
      <c r="Q1441" s="246"/>
      <c r="R1441" s="233"/>
      <c r="S1441" s="234">
        <f>IF(C1441="",NA(),MATCH($B1441&amp;$C1441,'Smelter Reference List'!$J:$J,0))</f>
        <v>99</v>
      </c>
      <c r="T1441" s="235"/>
      <c r="U1441" s="235">
        <f t="shared" si="40"/>
        <v>0</v>
      </c>
      <c r="V1441" s="235"/>
      <c r="W1441" s="235"/>
      <c r="Y1441" s="228" t="str">
        <f t="shared" si="41"/>
        <v>GoldKojima Chemicals Co., Ltd.</v>
      </c>
    </row>
    <row r="1442" spans="1:25" s="228" customFormat="1" ht="20.25">
      <c r="A1442" s="161" t="s">
        <v>1286</v>
      </c>
      <c r="B1442" s="408" t="s">
        <v>2323</v>
      </c>
      <c r="C1442" s="297" t="str">
        <f>IF(LEN(A1442)=0,"",INDEX('[2]Smelter Reference List'!$C$1:$C$65536,MATCH($A1442,'[2]Smelter Reference List'!$E$1:$E$65536,0)))</f>
        <v>LS-NIKKO Copper Inc.</v>
      </c>
      <c r="D1442" s="161" t="s">
        <v>74</v>
      </c>
      <c r="E1442" s="161" t="s">
        <v>2256</v>
      </c>
      <c r="F1442" s="161" t="s">
        <v>1286</v>
      </c>
      <c r="G1442" s="161" t="s">
        <v>3125</v>
      </c>
      <c r="H1442" s="247">
        <v>0</v>
      </c>
      <c r="I1442" s="248" t="s">
        <v>3225</v>
      </c>
      <c r="J1442" s="248" t="s">
        <v>3226</v>
      </c>
      <c r="K1442" s="245"/>
      <c r="L1442" s="245"/>
      <c r="M1442" s="245"/>
      <c r="N1442" s="245"/>
      <c r="O1442" s="245"/>
      <c r="P1442" s="245"/>
      <c r="Q1442" s="246"/>
      <c r="R1442" s="233"/>
      <c r="S1442" s="234">
        <f>IF(C1442="",NA(),MATCH($B1442&amp;$C1442,'Smelter Reference List'!$J:$J,0))</f>
        <v>111</v>
      </c>
      <c r="T1442" s="235"/>
      <c r="U1442" s="235">
        <f t="shared" si="40"/>
        <v>0</v>
      </c>
      <c r="V1442" s="235"/>
      <c r="W1442" s="235"/>
      <c r="Y1442" s="228" t="str">
        <f t="shared" si="41"/>
        <v>GoldLS-NIKKO Copper Inc.</v>
      </c>
    </row>
    <row r="1443" spans="1:25" s="228" customFormat="1" ht="20.25">
      <c r="A1443" s="161" t="s">
        <v>1289</v>
      </c>
      <c r="B1443" s="408" t="s">
        <v>2323</v>
      </c>
      <c r="C1443" s="297" t="str">
        <f>IF(LEN(A1443)=0,"",INDEX('[2]Smelter Reference List'!$C$1:$C$65536,MATCH($A1443,'[2]Smelter Reference List'!$E$1:$E$65536,0)))</f>
        <v>Materion</v>
      </c>
      <c r="D1443" s="161" t="s">
        <v>1792</v>
      </c>
      <c r="E1443" s="161" t="s">
        <v>1759</v>
      </c>
      <c r="F1443" s="161" t="s">
        <v>1289</v>
      </c>
      <c r="G1443" s="161" t="s">
        <v>3125</v>
      </c>
      <c r="H1443" s="247">
        <v>0</v>
      </c>
      <c r="I1443" s="248" t="s">
        <v>3229</v>
      </c>
      <c r="J1443" s="248" t="s">
        <v>3230</v>
      </c>
      <c r="K1443" s="245"/>
      <c r="L1443" s="245"/>
      <c r="M1443" s="245"/>
      <c r="N1443" s="245"/>
      <c r="O1443" s="245"/>
      <c r="P1443" s="245"/>
      <c r="Q1443" s="246"/>
      <c r="R1443" s="233"/>
      <c r="S1443" s="234">
        <f>IF(C1443="",NA(),MATCH($B1443&amp;$C1443,'Smelter Reference List'!$J:$J,0))</f>
        <v>115</v>
      </c>
      <c r="T1443" s="235"/>
      <c r="U1443" s="235">
        <f t="shared" si="40"/>
        <v>0</v>
      </c>
      <c r="V1443" s="235"/>
      <c r="W1443" s="235"/>
      <c r="Y1443" s="228" t="str">
        <f t="shared" si="41"/>
        <v>GoldMaterion</v>
      </c>
    </row>
    <row r="1444" spans="1:25" s="228" customFormat="1" ht="20.25">
      <c r="A1444" s="161" t="s">
        <v>1290</v>
      </c>
      <c r="B1444" s="408" t="s">
        <v>2323</v>
      </c>
      <c r="C1444" s="297" t="str">
        <f>IF(LEN(A1444)=0,"",INDEX('[2]Smelter Reference List'!$C$1:$C$65536,MATCH($A1444,'[2]Smelter Reference List'!$E$1:$E$65536,0)))</f>
        <v>Matsuda Sangyo Co., Ltd.</v>
      </c>
      <c r="D1444" s="161" t="s">
        <v>75</v>
      </c>
      <c r="E1444" s="161" t="s">
        <v>2249</v>
      </c>
      <c r="F1444" s="161" t="s">
        <v>1290</v>
      </c>
      <c r="G1444" s="161" t="s">
        <v>3125</v>
      </c>
      <c r="H1444" s="247">
        <v>0</v>
      </c>
      <c r="I1444" s="248" t="s">
        <v>3231</v>
      </c>
      <c r="J1444" s="248" t="s">
        <v>3179</v>
      </c>
      <c r="K1444" s="245"/>
      <c r="L1444" s="245"/>
      <c r="M1444" s="245"/>
      <c r="N1444" s="245"/>
      <c r="O1444" s="245"/>
      <c r="P1444" s="245"/>
      <c r="Q1444" s="246"/>
      <c r="R1444" s="233"/>
      <c r="S1444" s="234">
        <f>IF(C1444="",NA(),MATCH($B1444&amp;$C1444,'Smelter Reference List'!$J:$J,0))</f>
        <v>116</v>
      </c>
      <c r="T1444" s="235"/>
      <c r="U1444" s="235">
        <f t="shared" si="40"/>
        <v>0</v>
      </c>
      <c r="V1444" s="235"/>
      <c r="W1444" s="235"/>
      <c r="Y1444" s="228" t="str">
        <f t="shared" si="41"/>
        <v>GoldMatsuda Sangyo Co., Ltd.</v>
      </c>
    </row>
    <row r="1445" spans="1:25" s="228" customFormat="1" ht="20.25">
      <c r="A1445" s="161" t="s">
        <v>1291</v>
      </c>
      <c r="B1445" s="408" t="s">
        <v>2323</v>
      </c>
      <c r="C1445" s="297" t="str">
        <f>IF(LEN(A1445)=0,"",INDEX('[2]Smelter Reference List'!$C$1:$C$65536,MATCH($A1445,'[2]Smelter Reference List'!$E$1:$E$65536,0)))</f>
        <v>Metalor Technologies (Hong Kong) Ltd.</v>
      </c>
      <c r="D1445" s="161" t="s">
        <v>4162</v>
      </c>
      <c r="E1445" s="161" t="s">
        <v>2181</v>
      </c>
      <c r="F1445" s="161" t="s">
        <v>1291</v>
      </c>
      <c r="G1445" s="161" t="s">
        <v>3125</v>
      </c>
      <c r="H1445" s="247">
        <v>0</v>
      </c>
      <c r="I1445" s="248" t="s">
        <v>3236</v>
      </c>
      <c r="J1445" s="248" t="s">
        <v>3191</v>
      </c>
      <c r="K1445" s="245"/>
      <c r="L1445" s="245"/>
      <c r="M1445" s="245"/>
      <c r="N1445" s="245"/>
      <c r="O1445" s="245"/>
      <c r="P1445" s="245"/>
      <c r="Q1445" s="246"/>
      <c r="R1445" s="233"/>
      <c r="S1445" s="234">
        <f>IF(C1445="",NA(),MATCH($B1445&amp;$C1445,'Smelter Reference List'!$J:$J,0))</f>
        <v>120</v>
      </c>
      <c r="T1445" s="235"/>
      <c r="U1445" s="235">
        <f t="shared" si="40"/>
        <v>0</v>
      </c>
      <c r="V1445" s="235"/>
      <c r="W1445" s="235"/>
      <c r="Y1445" s="228" t="str">
        <f t="shared" si="41"/>
        <v>GoldMetalor Technologies (Hong Kong) Ltd.</v>
      </c>
    </row>
    <row r="1446" spans="1:25" s="228" customFormat="1" ht="20.25">
      <c r="A1446" s="161" t="s">
        <v>1293</v>
      </c>
      <c r="B1446" s="408" t="s">
        <v>2323</v>
      </c>
      <c r="C1446" s="297" t="str">
        <f>IF(LEN(A1446)=0,"",INDEX('[2]Smelter Reference List'!$C$1:$C$65536,MATCH($A1446,'[2]Smelter Reference List'!$E$1:$E$65536,0)))</f>
        <v>Metalor Technologies S.A.</v>
      </c>
      <c r="D1446" s="161" t="s">
        <v>4697</v>
      </c>
      <c r="E1446" s="161" t="s">
        <v>2179</v>
      </c>
      <c r="F1446" s="161" t="s">
        <v>1293</v>
      </c>
      <c r="G1446" s="161" t="s">
        <v>3125</v>
      </c>
      <c r="H1446" s="247">
        <v>0</v>
      </c>
      <c r="I1446" s="248" t="s">
        <v>3239</v>
      </c>
      <c r="J1446" s="248" t="s">
        <v>3240</v>
      </c>
      <c r="K1446" s="245"/>
      <c r="L1446" s="245"/>
      <c r="M1446" s="245"/>
      <c r="N1446" s="245"/>
      <c r="O1446" s="245"/>
      <c r="P1446" s="245"/>
      <c r="Q1446" s="246"/>
      <c r="R1446" s="233"/>
      <c r="S1446" s="234">
        <f>IF(C1446="",NA(),MATCH($B1446&amp;$C1446,'Smelter Reference List'!$J:$J,0))</f>
        <v>123</v>
      </c>
      <c r="T1446" s="235"/>
      <c r="U1446" s="235">
        <f t="shared" si="40"/>
        <v>0</v>
      </c>
      <c r="V1446" s="235"/>
      <c r="W1446" s="235"/>
      <c r="Y1446" s="228" t="str">
        <f t="shared" si="41"/>
        <v>GoldMetalor Technologies S.A.</v>
      </c>
    </row>
    <row r="1447" spans="1:25" s="228" customFormat="1" ht="20.25">
      <c r="A1447" s="161" t="s">
        <v>1294</v>
      </c>
      <c r="B1447" s="408" t="s">
        <v>2323</v>
      </c>
      <c r="C1447" s="297" t="str">
        <f>IF(LEN(A1447)=0,"",INDEX('[2]Smelter Reference List'!$C$1:$C$65536,MATCH($A1447,'[2]Smelter Reference List'!$E$1:$E$65536,0)))</f>
        <v>Metalor USA Refining Corporation</v>
      </c>
      <c r="D1447" s="161" t="s">
        <v>2453</v>
      </c>
      <c r="E1447" s="161" t="s">
        <v>1759</v>
      </c>
      <c r="F1447" s="161" t="s">
        <v>1294</v>
      </c>
      <c r="G1447" s="161" t="s">
        <v>3125</v>
      </c>
      <c r="H1447" s="247">
        <v>0</v>
      </c>
      <c r="I1447" s="248" t="s">
        <v>3241</v>
      </c>
      <c r="J1447" s="248" t="s">
        <v>3242</v>
      </c>
      <c r="K1447" s="245"/>
      <c r="L1447" s="245"/>
      <c r="M1447" s="245"/>
      <c r="N1447" s="245"/>
      <c r="O1447" s="245"/>
      <c r="P1447" s="245"/>
      <c r="Q1447" s="246"/>
      <c r="R1447" s="233"/>
      <c r="S1447" s="234">
        <f>IF(C1447="",NA(),MATCH($B1447&amp;$C1447,'Smelter Reference List'!$J:$J,0))</f>
        <v>124</v>
      </c>
      <c r="T1447" s="235"/>
      <c r="U1447" s="235">
        <f t="shared" si="40"/>
        <v>0</v>
      </c>
      <c r="V1447" s="235"/>
      <c r="W1447" s="235"/>
      <c r="Y1447" s="228" t="str">
        <f t="shared" si="41"/>
        <v>GoldMetalor USA Refining Corporation</v>
      </c>
    </row>
    <row r="1448" spans="1:25" s="228" customFormat="1" ht="20.25">
      <c r="A1448" s="161" t="s">
        <v>1296</v>
      </c>
      <c r="B1448" s="408" t="s">
        <v>2323</v>
      </c>
      <c r="C1448" s="297" t="str">
        <f>IF(LEN(A1448)=0,"",INDEX('[2]Smelter Reference List'!$C$1:$C$65536,MATCH($A1448,'[2]Smelter Reference List'!$E$1:$E$65536,0)))</f>
        <v>Mitsubishi Materials Corporation</v>
      </c>
      <c r="D1448" s="161" t="s">
        <v>2371</v>
      </c>
      <c r="E1448" s="161" t="s">
        <v>2249</v>
      </c>
      <c r="F1448" s="161" t="s">
        <v>1296</v>
      </c>
      <c r="G1448" s="161" t="s">
        <v>3125</v>
      </c>
      <c r="H1448" s="247">
        <v>0</v>
      </c>
      <c r="I1448" s="248" t="s">
        <v>3245</v>
      </c>
      <c r="J1448" s="248" t="s">
        <v>4283</v>
      </c>
      <c r="K1448" s="245"/>
      <c r="L1448" s="245"/>
      <c r="M1448" s="245"/>
      <c r="N1448" s="245"/>
      <c r="O1448" s="245"/>
      <c r="P1448" s="245"/>
      <c r="Q1448" s="246"/>
      <c r="R1448" s="233"/>
      <c r="S1448" s="234">
        <f>IF(C1448="",NA(),MATCH($B1448&amp;$C1448,'Smelter Reference List'!$J:$J,0))</f>
        <v>128</v>
      </c>
      <c r="T1448" s="235"/>
      <c r="U1448" s="235">
        <f t="shared" si="40"/>
        <v>0</v>
      </c>
      <c r="V1448" s="235"/>
      <c r="W1448" s="235"/>
      <c r="Y1448" s="228" t="str">
        <f t="shared" si="41"/>
        <v>GoldMitsubishi Materials Corporation</v>
      </c>
    </row>
    <row r="1449" spans="1:25" s="228" customFormat="1" ht="20.25">
      <c r="A1449" s="161" t="s">
        <v>1297</v>
      </c>
      <c r="B1449" s="408" t="s">
        <v>2323</v>
      </c>
      <c r="C1449" s="297" t="str">
        <f>IF(LEN(A1449)=0,"",INDEX('[2]Smelter Reference List'!$C$1:$C$65536,MATCH($A1449,'[2]Smelter Reference List'!$E$1:$E$65536,0)))</f>
        <v>Mitsui Mining and Smelting Co., Ltd.</v>
      </c>
      <c r="D1449" s="161" t="s">
        <v>2454</v>
      </c>
      <c r="E1449" s="161" t="s">
        <v>2249</v>
      </c>
      <c r="F1449" s="161" t="s">
        <v>1297</v>
      </c>
      <c r="G1449" s="161" t="s">
        <v>3125</v>
      </c>
      <c r="H1449" s="247">
        <v>0</v>
      </c>
      <c r="I1449" s="248" t="s">
        <v>3247</v>
      </c>
      <c r="J1449" s="248" t="s">
        <v>3246</v>
      </c>
      <c r="K1449" s="245"/>
      <c r="L1449" s="245"/>
      <c r="M1449" s="245"/>
      <c r="N1449" s="245"/>
      <c r="O1449" s="245"/>
      <c r="P1449" s="245"/>
      <c r="Q1449" s="246"/>
      <c r="R1449" s="233"/>
      <c r="S1449" s="234">
        <f>IF(C1449="",NA(),MATCH($B1449&amp;$C1449,'Smelter Reference List'!$J:$J,0))</f>
        <v>130</v>
      </c>
      <c r="T1449" s="235"/>
      <c r="U1449" s="235">
        <f t="shared" si="40"/>
        <v>0</v>
      </c>
      <c r="V1449" s="235"/>
      <c r="W1449" s="235"/>
      <c r="Y1449" s="228" t="str">
        <f t="shared" si="41"/>
        <v>GoldMitsui Mining and Smelting Co., Ltd.</v>
      </c>
    </row>
    <row r="1450" spans="1:25" s="228" customFormat="1" ht="20.25">
      <c r="A1450" s="161" t="s">
        <v>1301</v>
      </c>
      <c r="B1450" s="408" t="s">
        <v>2323</v>
      </c>
      <c r="C1450" s="297" t="str">
        <f>IF(LEN(A1450)=0,"",INDEX('[2]Smelter Reference List'!$C$1:$C$65536,MATCH($A1450,'[2]Smelter Reference List'!$E$1:$E$65536,0)))</f>
        <v>Nihon Material Co., Ltd.</v>
      </c>
      <c r="D1450" s="161" t="s">
        <v>4166</v>
      </c>
      <c r="E1450" s="161" t="s">
        <v>2249</v>
      </c>
      <c r="F1450" s="161" t="s">
        <v>1301</v>
      </c>
      <c r="G1450" s="161" t="s">
        <v>3125</v>
      </c>
      <c r="H1450" s="247">
        <v>0</v>
      </c>
      <c r="I1450" s="248" t="s">
        <v>3253</v>
      </c>
      <c r="J1450" s="248" t="s">
        <v>3254</v>
      </c>
      <c r="K1450" s="245"/>
      <c r="L1450" s="245"/>
      <c r="M1450" s="245"/>
      <c r="N1450" s="245"/>
      <c r="O1450" s="245"/>
      <c r="P1450" s="245"/>
      <c r="Q1450" s="246"/>
      <c r="R1450" s="233"/>
      <c r="S1450" s="234">
        <f>IF(C1450="",NA(),MATCH($B1450&amp;$C1450,'Smelter Reference List'!$J:$J,0))</f>
        <v>137</v>
      </c>
      <c r="T1450" s="235"/>
      <c r="U1450" s="235">
        <f t="shared" si="40"/>
        <v>0</v>
      </c>
      <c r="V1450" s="235"/>
      <c r="W1450" s="235"/>
      <c r="Y1450" s="228" t="str">
        <f t="shared" si="41"/>
        <v>GoldNihon Material Co., Ltd.</v>
      </c>
    </row>
    <row r="1451" spans="1:25" s="228" customFormat="1" ht="20.25">
      <c r="A1451" s="161" t="s">
        <v>1302</v>
      </c>
      <c r="B1451" s="408" t="s">
        <v>2323</v>
      </c>
      <c r="C1451" s="297" t="str">
        <f>IF(LEN(A1451)=0,"",INDEX('[2]Smelter Reference List'!$C$1:$C$65536,MATCH($A1451,'[2]Smelter Reference List'!$E$1:$E$65536,0)))</f>
        <v>Elemetal Refining, LLC</v>
      </c>
      <c r="D1451" s="161" t="s">
        <v>4268</v>
      </c>
      <c r="E1451" s="161" t="s">
        <v>1759</v>
      </c>
      <c r="F1451" s="161" t="s">
        <v>1302</v>
      </c>
      <c r="G1451" s="161" t="s">
        <v>3125</v>
      </c>
      <c r="H1451" s="247">
        <v>0</v>
      </c>
      <c r="I1451" s="248" t="s">
        <v>3255</v>
      </c>
      <c r="J1451" s="248" t="s">
        <v>3256</v>
      </c>
      <c r="K1451" s="245"/>
      <c r="L1451" s="245"/>
      <c r="M1451" s="245"/>
      <c r="N1451" s="245"/>
      <c r="O1451" s="245"/>
      <c r="P1451" s="245"/>
      <c r="Q1451" s="246"/>
      <c r="R1451" s="233"/>
      <c r="S1451" s="234">
        <f>IF(C1451="",NA(),MATCH($B1451&amp;$C1451,'Smelter Reference List'!$J:$J,0))</f>
        <v>55</v>
      </c>
      <c r="T1451" s="235"/>
      <c r="U1451" s="235">
        <f t="shared" si="40"/>
        <v>0</v>
      </c>
      <c r="V1451" s="235"/>
      <c r="W1451" s="235"/>
      <c r="Y1451" s="228" t="str">
        <f t="shared" si="41"/>
        <v>GoldElemetal Refining, LLC</v>
      </c>
    </row>
    <row r="1452" spans="1:25" s="228" customFormat="1" ht="20.25">
      <c r="A1452" s="161" t="s">
        <v>1303</v>
      </c>
      <c r="B1452" s="408" t="s">
        <v>2323</v>
      </c>
      <c r="C1452" s="297" t="str">
        <f>IF(LEN(A1452)=0,"",INDEX('[2]Smelter Reference List'!$C$1:$C$65536,MATCH($A1452,'[2]Smelter Reference List'!$E$1:$E$65536,0)))</f>
        <v>Ohura Precious Metal Industry Co., Ltd.</v>
      </c>
      <c r="D1452" s="161" t="s">
        <v>4167</v>
      </c>
      <c r="E1452" s="161" t="s">
        <v>2249</v>
      </c>
      <c r="F1452" s="161" t="s">
        <v>1303</v>
      </c>
      <c r="G1452" s="161" t="s">
        <v>3125</v>
      </c>
      <c r="H1452" s="247">
        <v>0</v>
      </c>
      <c r="I1452" s="248" t="s">
        <v>3257</v>
      </c>
      <c r="J1452" s="248" t="s">
        <v>3258</v>
      </c>
      <c r="K1452" s="245"/>
      <c r="L1452" s="245"/>
      <c r="M1452" s="245"/>
      <c r="N1452" s="245"/>
      <c r="O1452" s="245"/>
      <c r="P1452" s="245"/>
      <c r="Q1452" s="246"/>
      <c r="R1452" s="233"/>
      <c r="S1452" s="234">
        <f>IF(C1452="",NA(),MATCH($B1452&amp;$C1452,'Smelter Reference List'!$J:$J,0))</f>
        <v>141</v>
      </c>
      <c r="T1452" s="235"/>
      <c r="U1452" s="235">
        <f t="shared" si="40"/>
        <v>0</v>
      </c>
      <c r="V1452" s="235"/>
      <c r="W1452" s="235"/>
      <c r="Y1452" s="228" t="str">
        <f t="shared" si="41"/>
        <v>GoldOhura Precious Metal Industry Co., Ltd.</v>
      </c>
    </row>
    <row r="1453" spans="1:25" s="228" customFormat="1" ht="20.25">
      <c r="A1453" s="161" t="s">
        <v>1305</v>
      </c>
      <c r="B1453" s="408" t="s">
        <v>2323</v>
      </c>
      <c r="C1453" s="297" t="str">
        <f>IF(LEN(A1453)=0,"",INDEX('[2]Smelter Reference List'!$C$1:$C$65536,MATCH($A1453,'[2]Smelter Reference List'!$E$1:$E$65536,0)))</f>
        <v>PAMP S.A.</v>
      </c>
      <c r="D1453" s="161" t="s">
        <v>4705</v>
      </c>
      <c r="E1453" s="161" t="s">
        <v>2179</v>
      </c>
      <c r="F1453" s="161" t="s">
        <v>1305</v>
      </c>
      <c r="G1453" s="161" t="s">
        <v>3125</v>
      </c>
      <c r="H1453" s="247">
        <v>0</v>
      </c>
      <c r="I1453" s="248" t="s">
        <v>3262</v>
      </c>
      <c r="J1453" s="248" t="s">
        <v>3138</v>
      </c>
      <c r="K1453" s="245"/>
      <c r="L1453" s="245"/>
      <c r="M1453" s="245"/>
      <c r="N1453" s="245"/>
      <c r="O1453" s="245"/>
      <c r="P1453" s="245"/>
      <c r="Q1453" s="246"/>
      <c r="R1453" s="233"/>
      <c r="S1453" s="234">
        <f>IF(C1453="",NA(),MATCH($B1453&amp;$C1453,'Smelter Reference List'!$J:$J,0))</f>
        <v>146</v>
      </c>
      <c r="T1453" s="235"/>
      <c r="U1453" s="235">
        <f t="shared" si="40"/>
        <v>0</v>
      </c>
      <c r="V1453" s="235"/>
      <c r="W1453" s="235"/>
      <c r="Y1453" s="228" t="str">
        <f t="shared" si="41"/>
        <v>GoldPAMP S.A.</v>
      </c>
    </row>
    <row r="1454" spans="1:25" s="228" customFormat="1" ht="20.25">
      <c r="A1454" s="161" t="s">
        <v>1309</v>
      </c>
      <c r="B1454" s="408" t="s">
        <v>2323</v>
      </c>
      <c r="C1454" s="297" t="str">
        <f>IF(LEN(A1454)=0,"",INDEX('[2]Smelter Reference List'!$C$1:$C$65536,MATCH($A1454,'[2]Smelter Reference List'!$E$1:$E$65536,0)))</f>
        <v>PX Précinox S.A.</v>
      </c>
      <c r="D1454" s="161" t="s">
        <v>4706</v>
      </c>
      <c r="E1454" s="161" t="s">
        <v>2179</v>
      </c>
      <c r="F1454" s="161" t="s">
        <v>1309</v>
      </c>
      <c r="G1454" s="161" t="s">
        <v>3125</v>
      </c>
      <c r="H1454" s="247">
        <v>0</v>
      </c>
      <c r="I1454" s="248" t="s">
        <v>3269</v>
      </c>
      <c r="J1454" s="248" t="s">
        <v>3240</v>
      </c>
      <c r="K1454" s="245"/>
      <c r="L1454" s="245"/>
      <c r="M1454" s="245"/>
      <c r="N1454" s="245"/>
      <c r="O1454" s="245"/>
      <c r="P1454" s="245"/>
      <c r="Q1454" s="246"/>
      <c r="R1454" s="233"/>
      <c r="S1454" s="234">
        <f>IF(C1454="",NA(),MATCH($B1454&amp;$C1454,'Smelter Reference List'!$J:$J,0))</f>
        <v>154</v>
      </c>
      <c r="T1454" s="235"/>
      <c r="U1454" s="235">
        <f t="shared" si="40"/>
        <v>0</v>
      </c>
      <c r="V1454" s="235"/>
      <c r="W1454" s="235"/>
      <c r="Y1454" s="228" t="str">
        <f t="shared" si="41"/>
        <v>GoldPX Précinox S.A.</v>
      </c>
    </row>
    <row r="1455" spans="1:25" s="228" customFormat="1" ht="20.25">
      <c r="A1455" s="161" t="s">
        <v>1310</v>
      </c>
      <c r="B1455" s="408" t="s">
        <v>2323</v>
      </c>
      <c r="C1455" s="297" t="str">
        <f>IF(LEN(A1455)=0,"",INDEX('[2]Smelter Reference List'!$C$1:$C$65536,MATCH($A1455,'[2]Smelter Reference List'!$E$1:$E$65536,0)))</f>
        <v>Rand Refinery (Pty) Ltd.</v>
      </c>
      <c r="D1455" s="161" t="s">
        <v>4171</v>
      </c>
      <c r="E1455" s="161" t="s">
        <v>1772</v>
      </c>
      <c r="F1455" s="161" t="s">
        <v>1310</v>
      </c>
      <c r="G1455" s="161" t="s">
        <v>3125</v>
      </c>
      <c r="H1455" s="247">
        <v>0</v>
      </c>
      <c r="I1455" s="248" t="s">
        <v>3270</v>
      </c>
      <c r="J1455" s="248" t="s">
        <v>3271</v>
      </c>
      <c r="K1455" s="245"/>
      <c r="L1455" s="245"/>
      <c r="M1455" s="245"/>
      <c r="N1455" s="245"/>
      <c r="O1455" s="245"/>
      <c r="P1455" s="245"/>
      <c r="Q1455" s="246"/>
      <c r="R1455" s="233"/>
      <c r="S1455" s="234">
        <f>IF(C1455="",NA(),MATCH($B1455&amp;$C1455,'Smelter Reference List'!$J:$J,0))</f>
        <v>155</v>
      </c>
      <c r="T1455" s="235"/>
      <c r="U1455" s="235">
        <f t="shared" si="40"/>
        <v>0</v>
      </c>
      <c r="V1455" s="235"/>
      <c r="W1455" s="235"/>
      <c r="Y1455" s="228" t="str">
        <f t="shared" si="41"/>
        <v>GoldRand Refinery (Pty) Ltd.</v>
      </c>
    </row>
    <row r="1456" spans="1:25" s="228" customFormat="1" ht="20.25">
      <c r="A1456" s="161" t="s">
        <v>1311</v>
      </c>
      <c r="B1456" s="408" t="s">
        <v>2323</v>
      </c>
      <c r="C1456" s="297" t="str">
        <f>IF(LEN(A1456)=0,"",INDEX('[2]Smelter Reference List'!$C$1:$C$65536,MATCH($A1456,'[2]Smelter Reference List'!$E$1:$E$65536,0)))</f>
        <v>Royal Canadian Mint</v>
      </c>
      <c r="D1456" s="161" t="s">
        <v>1795</v>
      </c>
      <c r="E1456" s="161" t="s">
        <v>2177</v>
      </c>
      <c r="F1456" s="161" t="s">
        <v>1311</v>
      </c>
      <c r="G1456" s="161" t="s">
        <v>3125</v>
      </c>
      <c r="H1456" s="247">
        <v>0</v>
      </c>
      <c r="I1456" s="248" t="s">
        <v>3272</v>
      </c>
      <c r="J1456" s="248" t="s">
        <v>3210</v>
      </c>
      <c r="K1456" s="245"/>
      <c r="L1456" s="245"/>
      <c r="M1456" s="245"/>
      <c r="N1456" s="245"/>
      <c r="O1456" s="245"/>
      <c r="P1456" s="245"/>
      <c r="Q1456" s="246"/>
      <c r="R1456" s="233"/>
      <c r="S1456" s="234">
        <f>IF(C1456="",NA(),MATCH($B1456&amp;$C1456,'Smelter Reference List'!$J:$J,0))</f>
        <v>159</v>
      </c>
      <c r="T1456" s="235"/>
      <c r="U1456" s="235">
        <f t="shared" si="40"/>
        <v>0</v>
      </c>
      <c r="V1456" s="235"/>
      <c r="W1456" s="235"/>
      <c r="Y1456" s="228" t="str">
        <f t="shared" si="41"/>
        <v>GoldRoyal Canadian Mint</v>
      </c>
    </row>
    <row r="1457" spans="1:25" s="228" customFormat="1" ht="20.25">
      <c r="A1457" s="161" t="s">
        <v>1315</v>
      </c>
      <c r="B1457" s="408" t="s">
        <v>2323</v>
      </c>
      <c r="C1457" s="297" t="str">
        <f>IF(LEN(A1457)=0,"",INDEX('[2]Smelter Reference List'!$C$1:$C$65536,MATCH($A1457,'[2]Smelter Reference List'!$E$1:$E$65536,0)))</f>
        <v>SEMPSA Joyería Platería S.A.</v>
      </c>
      <c r="D1457" s="161" t="s">
        <v>4716</v>
      </c>
      <c r="E1457" s="161" t="s">
        <v>2205</v>
      </c>
      <c r="F1457" s="161" t="s">
        <v>1315</v>
      </c>
      <c r="G1457" s="161" t="s">
        <v>3125</v>
      </c>
      <c r="H1457" s="247">
        <v>0</v>
      </c>
      <c r="I1457" s="248" t="s">
        <v>3281</v>
      </c>
      <c r="J1457" s="248" t="s">
        <v>3282</v>
      </c>
      <c r="K1457" s="245"/>
      <c r="L1457" s="245"/>
      <c r="M1457" s="245"/>
      <c r="N1457" s="245"/>
      <c r="O1457" s="245"/>
      <c r="P1457" s="245"/>
      <c r="Q1457" s="246"/>
      <c r="R1457" s="233"/>
      <c r="S1457" s="234">
        <f>IF(C1457="",NA(),MATCH($B1457&amp;$C1457,'Smelter Reference List'!$J:$J,0))</f>
        <v>171</v>
      </c>
      <c r="T1457" s="235"/>
      <c r="U1457" s="235">
        <f t="shared" si="40"/>
        <v>0</v>
      </c>
      <c r="V1457" s="235"/>
      <c r="W1457" s="235"/>
      <c r="Y1457" s="228" t="str">
        <f t="shared" si="41"/>
        <v>GoldSEMPSA Joyería Platería S.A.</v>
      </c>
    </row>
    <row r="1458" spans="1:25" s="228" customFormat="1" ht="20.25">
      <c r="A1458" s="161" t="s">
        <v>1316</v>
      </c>
      <c r="B1458" s="408" t="s">
        <v>2323</v>
      </c>
      <c r="C1458" s="297" t="str">
        <f>IF(LEN(A1458)=0,"",INDEX('[2]Smelter Reference List'!$C$1:$C$65536,MATCH($A1458,'[2]Smelter Reference List'!$E$1:$E$65536,0)))</f>
        <v>Shandong Zhaojin Gold &amp; Silver Refinery Co., Ltd.</v>
      </c>
      <c r="D1458" s="161" t="s">
        <v>4174</v>
      </c>
      <c r="E1458" s="161" t="s">
        <v>2181</v>
      </c>
      <c r="F1458" s="161" t="s">
        <v>1316</v>
      </c>
      <c r="G1458" s="161" t="s">
        <v>3125</v>
      </c>
      <c r="H1458" s="247">
        <v>0</v>
      </c>
      <c r="I1458" s="248" t="s">
        <v>3185</v>
      </c>
      <c r="J1458" s="248" t="s">
        <v>3264</v>
      </c>
      <c r="K1458" s="245"/>
      <c r="L1458" s="245"/>
      <c r="M1458" s="245"/>
      <c r="N1458" s="245"/>
      <c r="O1458" s="245"/>
      <c r="P1458" s="245"/>
      <c r="Q1458" s="246"/>
      <c r="R1458" s="233"/>
      <c r="S1458" s="234">
        <f>IF(C1458="",NA(),MATCH($B1458&amp;$C1458,'Smelter Reference List'!$J:$J,0))</f>
        <v>176</v>
      </c>
      <c r="T1458" s="235"/>
      <c r="U1458" s="235">
        <f t="shared" si="40"/>
        <v>0</v>
      </c>
      <c r="V1458" s="235"/>
      <c r="W1458" s="235"/>
      <c r="Y1458" s="228" t="str">
        <f t="shared" si="41"/>
        <v>GoldShandong Zhaojin Gold &amp; Silver Refinery Co., Ltd.</v>
      </c>
    </row>
    <row r="1459" spans="1:25" s="228" customFormat="1" ht="20.25">
      <c r="A1459" s="161" t="s">
        <v>1320</v>
      </c>
      <c r="B1459" s="408" t="s">
        <v>2323</v>
      </c>
      <c r="C1459" s="297" t="str">
        <f>IF(LEN(A1459)=0,"",INDEX('[2]Smelter Reference List'!$C$1:$C$65536,MATCH($A1459,'[2]Smelter Reference List'!$E$1:$E$65536,0)))</f>
        <v>Solar Applied Materials Technology Corp.</v>
      </c>
      <c r="D1459" s="161" t="s">
        <v>1797</v>
      </c>
      <c r="E1459" s="161" t="s">
        <v>1753</v>
      </c>
      <c r="F1459" s="161" t="s">
        <v>1320</v>
      </c>
      <c r="G1459" s="161" t="s">
        <v>3125</v>
      </c>
      <c r="H1459" s="247">
        <v>0</v>
      </c>
      <c r="I1459" s="248" t="s">
        <v>3295</v>
      </c>
      <c r="J1459" s="248" t="s">
        <v>3296</v>
      </c>
      <c r="K1459" s="245"/>
      <c r="L1459" s="245"/>
      <c r="M1459" s="245"/>
      <c r="N1459" s="245"/>
      <c r="O1459" s="245"/>
      <c r="P1459" s="245"/>
      <c r="Q1459" s="246"/>
      <c r="R1459" s="233"/>
      <c r="S1459" s="234">
        <f>IF(C1459="",NA(),MATCH($B1459&amp;$C1459,'Smelter Reference List'!$J:$J,0))</f>
        <v>185</v>
      </c>
      <c r="T1459" s="235"/>
      <c r="U1459" s="235">
        <f t="shared" si="40"/>
        <v>0</v>
      </c>
      <c r="V1459" s="235"/>
      <c r="W1459" s="235"/>
      <c r="Y1459" s="228" t="str">
        <f t="shared" si="41"/>
        <v>GoldSolar Applied Materials Technology Corp.</v>
      </c>
    </row>
    <row r="1460" spans="1:25" s="228" customFormat="1" ht="20.25">
      <c r="A1460" s="161" t="s">
        <v>1321</v>
      </c>
      <c r="B1460" s="408" t="s">
        <v>2323</v>
      </c>
      <c r="C1460" s="297" t="str">
        <f>IF(LEN(A1460)=0,"",INDEX('[2]Smelter Reference List'!$C$1:$C$65536,MATCH($A1460,'[2]Smelter Reference List'!$E$1:$E$65536,0)))</f>
        <v>Sumitomo Metal Mining Co., Ltd.</v>
      </c>
      <c r="D1460" s="161" t="s">
        <v>77</v>
      </c>
      <c r="E1460" s="161" t="s">
        <v>2249</v>
      </c>
      <c r="F1460" s="161" t="s">
        <v>1321</v>
      </c>
      <c r="G1460" s="161" t="s">
        <v>3125</v>
      </c>
      <c r="H1460" s="247">
        <v>0</v>
      </c>
      <c r="I1460" s="248" t="s">
        <v>3297</v>
      </c>
      <c r="J1460" s="248" t="s">
        <v>4284</v>
      </c>
      <c r="K1460" s="245"/>
      <c r="L1460" s="245"/>
      <c r="M1460" s="245"/>
      <c r="N1460" s="245"/>
      <c r="O1460" s="245"/>
      <c r="P1460" s="245"/>
      <c r="Q1460" s="246"/>
      <c r="R1460" s="233"/>
      <c r="S1460" s="234">
        <f>IF(C1460="",NA(),MATCH($B1460&amp;$C1460,'Smelter Reference List'!$J:$J,0))</f>
        <v>190</v>
      </c>
      <c r="T1460" s="235"/>
      <c r="U1460" s="235">
        <f t="shared" si="40"/>
        <v>0</v>
      </c>
      <c r="V1460" s="235"/>
      <c r="W1460" s="235"/>
      <c r="Y1460" s="228" t="str">
        <f t="shared" si="41"/>
        <v>GoldSumitomo Metal Mining Co., Ltd.</v>
      </c>
    </row>
    <row r="1461" spans="1:25" s="228" customFormat="1" ht="20.25">
      <c r="A1461" s="161" t="s">
        <v>1322</v>
      </c>
      <c r="B1461" s="408" t="s">
        <v>2323</v>
      </c>
      <c r="C1461" s="297" t="str">
        <f>IF(LEN(A1461)=0,"",INDEX('[2]Smelter Reference List'!$C$1:$C$65536,MATCH($A1461,'[2]Smelter Reference List'!$E$1:$E$65536,0)))</f>
        <v>Tanaka Kikinzoku Kogyo K.K.</v>
      </c>
      <c r="D1461" s="161" t="s">
        <v>2457</v>
      </c>
      <c r="E1461" s="161" t="s">
        <v>2249</v>
      </c>
      <c r="F1461" s="161" t="s">
        <v>1322</v>
      </c>
      <c r="G1461" s="161" t="s">
        <v>3125</v>
      </c>
      <c r="H1461" s="247">
        <v>0</v>
      </c>
      <c r="I1461" s="248" t="s">
        <v>3299</v>
      </c>
      <c r="J1461" s="248" t="s">
        <v>3300</v>
      </c>
      <c r="K1461" s="245"/>
      <c r="L1461" s="245"/>
      <c r="M1461" s="245"/>
      <c r="N1461" s="245"/>
      <c r="O1461" s="245"/>
      <c r="P1461" s="245"/>
      <c r="Q1461" s="246"/>
      <c r="R1461" s="233"/>
      <c r="S1461" s="234">
        <f>IF(C1461="",NA(),MATCH($B1461&amp;$C1461,'Smelter Reference List'!$J:$J,0))</f>
        <v>200</v>
      </c>
      <c r="T1461" s="235"/>
      <c r="U1461" s="235">
        <f t="shared" si="40"/>
        <v>0</v>
      </c>
      <c r="V1461" s="235"/>
      <c r="W1461" s="235"/>
      <c r="Y1461" s="228" t="str">
        <f t="shared" si="41"/>
        <v>GoldTanaka Kikinzoku Kogyo K.K.</v>
      </c>
    </row>
    <row r="1462" spans="1:25" s="228" customFormat="1" ht="20.25">
      <c r="A1462" s="161" t="s">
        <v>1325</v>
      </c>
      <c r="B1462" s="408" t="s">
        <v>2323</v>
      </c>
      <c r="C1462" s="297" t="str">
        <f>IF(LEN(A1462)=0,"",INDEX('[2]Smelter Reference List'!$C$1:$C$65536,MATCH($A1462,'[2]Smelter Reference List'!$E$1:$E$65536,0)))</f>
        <v>Tokuriki Honten Co., Ltd.</v>
      </c>
      <c r="D1462" s="161" t="s">
        <v>4178</v>
      </c>
      <c r="E1462" s="161" t="s">
        <v>2249</v>
      </c>
      <c r="F1462" s="161" t="s">
        <v>1325</v>
      </c>
      <c r="G1462" s="161" t="s">
        <v>3125</v>
      </c>
      <c r="H1462" s="247">
        <v>0</v>
      </c>
      <c r="I1462" s="248" t="s">
        <v>3305</v>
      </c>
      <c r="J1462" s="248" t="s">
        <v>3179</v>
      </c>
      <c r="K1462" s="245"/>
      <c r="L1462" s="245"/>
      <c r="M1462" s="245"/>
      <c r="N1462" s="245"/>
      <c r="O1462" s="245"/>
      <c r="P1462" s="245"/>
      <c r="Q1462" s="246"/>
      <c r="R1462" s="233"/>
      <c r="S1462" s="234">
        <f>IF(C1462="",NA(),MATCH($B1462&amp;$C1462,'Smelter Reference List'!$J:$J,0))</f>
        <v>205</v>
      </c>
      <c r="T1462" s="235"/>
      <c r="U1462" s="235">
        <f t="shared" si="40"/>
        <v>0</v>
      </c>
      <c r="V1462" s="235"/>
      <c r="W1462" s="235"/>
      <c r="Y1462" s="228" t="str">
        <f t="shared" si="41"/>
        <v>GoldTokuriki Honten Co., Ltd.</v>
      </c>
    </row>
    <row r="1463" spans="1:25" s="228" customFormat="1" ht="20.25">
      <c r="A1463" s="161" t="s">
        <v>1329</v>
      </c>
      <c r="B1463" s="408" t="s">
        <v>2323</v>
      </c>
      <c r="C1463" s="297" t="str">
        <f>IF(LEN(A1463)=0,"",INDEX('[2]Smelter Reference List'!$C$1:$C$65536,MATCH($A1463,'[2]Smelter Reference List'!$E$1:$E$65536,0)))</f>
        <v>Umicore S.A. Business Unit Precious Metals Refining</v>
      </c>
      <c r="D1463" s="161" t="s">
        <v>4724</v>
      </c>
      <c r="E1463" s="161" t="s">
        <v>2158</v>
      </c>
      <c r="F1463" s="161" t="s">
        <v>1329</v>
      </c>
      <c r="G1463" s="161" t="s">
        <v>3125</v>
      </c>
      <c r="H1463" s="247">
        <v>0</v>
      </c>
      <c r="I1463" s="248" t="s">
        <v>3314</v>
      </c>
      <c r="J1463" s="248" t="s">
        <v>3315</v>
      </c>
      <c r="K1463" s="245"/>
      <c r="L1463" s="245"/>
      <c r="M1463" s="245"/>
      <c r="N1463" s="245"/>
      <c r="O1463" s="245"/>
      <c r="P1463" s="245"/>
      <c r="Q1463" s="246"/>
      <c r="R1463" s="233"/>
      <c r="S1463" s="234">
        <f>IF(C1463="",NA(),MATCH($B1463&amp;$C1463,'Smelter Reference List'!$J:$J,0))</f>
        <v>214</v>
      </c>
      <c r="T1463" s="235"/>
      <c r="U1463" s="235">
        <f t="shared" si="40"/>
        <v>0</v>
      </c>
      <c r="V1463" s="235"/>
      <c r="W1463" s="235"/>
      <c r="Y1463" s="228" t="str">
        <f t="shared" si="41"/>
        <v>GoldUmicore S.A. Business Unit Precious Metals Refining</v>
      </c>
    </row>
    <row r="1464" spans="1:25" s="228" customFormat="1" ht="20.25">
      <c r="A1464" s="161" t="s">
        <v>1330</v>
      </c>
      <c r="B1464" s="408" t="s">
        <v>2323</v>
      </c>
      <c r="C1464" s="297" t="str">
        <f>IF(LEN(A1464)=0,"",INDEX('[2]Smelter Reference List'!$C$1:$C$65536,MATCH($A1464,'[2]Smelter Reference List'!$E$1:$E$65536,0)))</f>
        <v>United Precious Metal Refining, Inc.</v>
      </c>
      <c r="D1464" s="161" t="s">
        <v>1470</v>
      </c>
      <c r="E1464" s="161" t="s">
        <v>1759</v>
      </c>
      <c r="F1464" s="161" t="s">
        <v>1330</v>
      </c>
      <c r="G1464" s="161" t="s">
        <v>3125</v>
      </c>
      <c r="H1464" s="247">
        <v>0</v>
      </c>
      <c r="I1464" s="248" t="s">
        <v>3316</v>
      </c>
      <c r="J1464" s="248" t="s">
        <v>3230</v>
      </c>
      <c r="K1464" s="245"/>
      <c r="L1464" s="245"/>
      <c r="M1464" s="245"/>
      <c r="N1464" s="245"/>
      <c r="O1464" s="245"/>
      <c r="P1464" s="245"/>
      <c r="Q1464" s="246"/>
      <c r="R1464" s="233"/>
      <c r="S1464" s="234">
        <f>IF(C1464="",NA(),MATCH($B1464&amp;$C1464,'Smelter Reference List'!$J:$J,0))</f>
        <v>215</v>
      </c>
      <c r="T1464" s="235"/>
      <c r="U1464" s="235">
        <f t="shared" si="40"/>
        <v>0</v>
      </c>
      <c r="V1464" s="235"/>
      <c r="W1464" s="235"/>
      <c r="Y1464" s="228" t="str">
        <f t="shared" si="41"/>
        <v>GoldUnited Precious Metal Refining, Inc.</v>
      </c>
    </row>
    <row r="1465" spans="1:25" s="228" customFormat="1" ht="20.25">
      <c r="A1465" s="161" t="s">
        <v>1331</v>
      </c>
      <c r="B1465" s="408" t="s">
        <v>2323</v>
      </c>
      <c r="C1465" s="297" t="str">
        <f>IF(LEN(A1465)=0,"",INDEX('[2]Smelter Reference List'!$C$1:$C$65536,MATCH($A1465,'[2]Smelter Reference List'!$E$1:$E$65536,0)))</f>
        <v>Valcambi S.A.</v>
      </c>
      <c r="D1465" s="161" t="s">
        <v>4728</v>
      </c>
      <c r="E1465" s="161" t="s">
        <v>2179</v>
      </c>
      <c r="F1465" s="161" t="s">
        <v>1331</v>
      </c>
      <c r="G1465" s="161" t="s">
        <v>3125</v>
      </c>
      <c r="H1465" s="247">
        <v>0</v>
      </c>
      <c r="I1465" s="248" t="s">
        <v>3317</v>
      </c>
      <c r="J1465" s="248" t="s">
        <v>3138</v>
      </c>
      <c r="K1465" s="245"/>
      <c r="L1465" s="245"/>
      <c r="M1465" s="245"/>
      <c r="N1465" s="245"/>
      <c r="O1465" s="245"/>
      <c r="P1465" s="245"/>
      <c r="Q1465" s="246"/>
      <c r="R1465" s="233"/>
      <c r="S1465" s="234">
        <f>IF(C1465="",NA(),MATCH($B1465&amp;$C1465,'Smelter Reference List'!$J:$J,0))</f>
        <v>217</v>
      </c>
      <c r="T1465" s="235"/>
      <c r="U1465" s="235">
        <f t="shared" si="40"/>
        <v>0</v>
      </c>
      <c r="V1465" s="235"/>
      <c r="W1465" s="235"/>
      <c r="Y1465" s="228" t="str">
        <f t="shared" si="41"/>
        <v>GoldValcambi S.A.</v>
      </c>
    </row>
    <row r="1466" spans="1:25" s="228" customFormat="1" ht="20.25">
      <c r="A1466" s="161" t="s">
        <v>1332</v>
      </c>
      <c r="B1466" s="408" t="s">
        <v>2323</v>
      </c>
      <c r="C1466" s="297" t="str">
        <f>IF(LEN(A1466)=0,"",INDEX('[2]Smelter Reference List'!$C$1:$C$65536,MATCH($A1466,'[2]Smelter Reference List'!$E$1:$E$65536,0)))</f>
        <v>Western Australian Mint trading as The Perth Mint</v>
      </c>
      <c r="D1466" s="161" t="s">
        <v>2322</v>
      </c>
      <c r="E1466" s="161" t="s">
        <v>2154</v>
      </c>
      <c r="F1466" s="161" t="s">
        <v>1332</v>
      </c>
      <c r="G1466" s="161" t="s">
        <v>3125</v>
      </c>
      <c r="H1466" s="247">
        <v>0</v>
      </c>
      <c r="I1466" s="248" t="s">
        <v>3318</v>
      </c>
      <c r="J1466" s="248" t="s">
        <v>3319</v>
      </c>
      <c r="K1466" s="245"/>
      <c r="L1466" s="245"/>
      <c r="M1466" s="245"/>
      <c r="N1466" s="245"/>
      <c r="O1466" s="245"/>
      <c r="P1466" s="245"/>
      <c r="Q1466" s="246"/>
      <c r="R1466" s="233"/>
      <c r="S1466" s="234">
        <f>IF(C1466="",NA(),MATCH($B1466&amp;$C1466,'Smelter Reference List'!$J:$J,0))</f>
        <v>218</v>
      </c>
      <c r="T1466" s="235"/>
      <c r="U1466" s="235">
        <f t="shared" si="40"/>
        <v>0</v>
      </c>
      <c r="V1466" s="235"/>
      <c r="W1466" s="235"/>
      <c r="Y1466" s="228" t="str">
        <f t="shared" si="41"/>
        <v>GoldWestern Australian Mint trading as The Perth Mint</v>
      </c>
    </row>
    <row r="1467" spans="1:25" s="228" customFormat="1" ht="20.25">
      <c r="A1467" s="161" t="s">
        <v>1248</v>
      </c>
      <c r="B1467" s="408" t="s">
        <v>2323</v>
      </c>
      <c r="C1467" s="297" t="str">
        <f>IF(LEN(A1467)=0,"",INDEX('[2]Smelter Reference List'!$C$1:$C$65536,MATCH($A1467,'[2]Smelter Reference List'!$E$1:$E$65536,0)))</f>
        <v>CCR Refinery - Glencore Canada Corporation</v>
      </c>
      <c r="D1467" s="161" t="s">
        <v>4323</v>
      </c>
      <c r="E1467" s="161" t="s">
        <v>2177</v>
      </c>
      <c r="F1467" s="161" t="s">
        <v>1248</v>
      </c>
      <c r="G1467" s="161" t="s">
        <v>3125</v>
      </c>
      <c r="H1467" s="247">
        <v>0</v>
      </c>
      <c r="I1467" s="248" t="s">
        <v>3154</v>
      </c>
      <c r="J1467" s="248" t="s">
        <v>3155</v>
      </c>
      <c r="K1467" s="245"/>
      <c r="L1467" s="245"/>
      <c r="M1467" s="245"/>
      <c r="N1467" s="245"/>
      <c r="O1467" s="245"/>
      <c r="P1467" s="245"/>
      <c r="Q1467" s="246"/>
      <c r="R1467" s="233"/>
      <c r="S1467" s="234">
        <f>IF(C1467="",NA(),MATCH($B1467&amp;$C1467,'Smelter Reference List'!$J:$J,0))</f>
        <v>33</v>
      </c>
      <c r="T1467" s="235"/>
      <c r="U1467" s="235">
        <f t="shared" si="40"/>
        <v>0</v>
      </c>
      <c r="V1467" s="235"/>
      <c r="W1467" s="235"/>
      <c r="Y1467" s="228" t="str">
        <f t="shared" si="41"/>
        <v>GoldCCR Refinery - Glencore Canada Corporation</v>
      </c>
    </row>
    <row r="1468" spans="1:25" s="228" customFormat="1" ht="20.25">
      <c r="A1468" s="161" t="s">
        <v>1333</v>
      </c>
      <c r="B1468" s="408" t="s">
        <v>2323</v>
      </c>
      <c r="C1468" s="297" t="str">
        <f>IF(LEN(A1468)=0,"",INDEX('[2]Smelter Reference List'!$C$1:$C$65536,MATCH($A1468,'[2]Smelter Reference List'!$E$1:$E$65536,0)))</f>
        <v>Yamamoto Precious Metal Co., Ltd.</v>
      </c>
      <c r="D1468" s="161" t="s">
        <v>4181</v>
      </c>
      <c r="E1468" s="161" t="s">
        <v>2249</v>
      </c>
      <c r="F1468" s="161" t="s">
        <v>1333</v>
      </c>
      <c r="G1468" s="161" t="s">
        <v>3125</v>
      </c>
      <c r="H1468" s="247">
        <v>0</v>
      </c>
      <c r="I1468" s="248" t="s">
        <v>3201</v>
      </c>
      <c r="J1468" s="248" t="s">
        <v>3202</v>
      </c>
      <c r="K1468" s="245"/>
      <c r="L1468" s="245"/>
      <c r="M1468" s="245"/>
      <c r="N1468" s="245"/>
      <c r="O1468" s="245"/>
      <c r="P1468" s="245"/>
      <c r="Q1468" s="246"/>
      <c r="R1468" s="233"/>
      <c r="S1468" s="234">
        <f>IF(C1468="",NA(),MATCH($B1468&amp;$C1468,'Smelter Reference List'!$J:$J,0))</f>
        <v>222</v>
      </c>
      <c r="T1468" s="235"/>
      <c r="U1468" s="235">
        <f t="shared" si="40"/>
        <v>0</v>
      </c>
      <c r="V1468" s="235"/>
      <c r="W1468" s="235"/>
      <c r="Y1468" s="228" t="str">
        <f t="shared" si="41"/>
        <v>GoldYamamoto Precious Metal Co., Ltd.</v>
      </c>
    </row>
    <row r="1469" spans="1:25" s="228" customFormat="1" ht="20.25">
      <c r="A1469" s="161" t="s">
        <v>1334</v>
      </c>
      <c r="B1469" s="408" t="s">
        <v>2323</v>
      </c>
      <c r="C1469" s="297" t="str">
        <f>IF(LEN(A1469)=0,"",INDEX('[2]Smelter Reference List'!$C$1:$C$65536,MATCH($A1469,'[2]Smelter Reference List'!$E$1:$E$65536,0)))</f>
        <v>Yokohama Metal Co., Ltd.</v>
      </c>
      <c r="D1469" s="161" t="s">
        <v>4182</v>
      </c>
      <c r="E1469" s="161" t="s">
        <v>2249</v>
      </c>
      <c r="F1469" s="161" t="s">
        <v>1334</v>
      </c>
      <c r="G1469" s="161" t="s">
        <v>3125</v>
      </c>
      <c r="H1469" s="247">
        <v>0</v>
      </c>
      <c r="I1469" s="248" t="s">
        <v>3325</v>
      </c>
      <c r="J1469" s="248" t="s">
        <v>3300</v>
      </c>
      <c r="K1469" s="245"/>
      <c r="L1469" s="245"/>
      <c r="M1469" s="245"/>
      <c r="N1469" s="245"/>
      <c r="O1469" s="245"/>
      <c r="P1469" s="245"/>
      <c r="Q1469" s="246"/>
      <c r="R1469" s="233"/>
      <c r="S1469" s="234">
        <f>IF(C1469="",NA(),MATCH($B1469&amp;$C1469,'Smelter Reference List'!$J:$J,0))</f>
        <v>225</v>
      </c>
      <c r="T1469" s="235"/>
      <c r="U1469" s="235">
        <f t="shared" si="40"/>
        <v>0</v>
      </c>
      <c r="V1469" s="235"/>
      <c r="W1469" s="235"/>
      <c r="Y1469" s="228" t="str">
        <f t="shared" si="41"/>
        <v>GoldYokohama Metal Co., Ltd.</v>
      </c>
    </row>
    <row r="1470" spans="1:25" s="228" customFormat="1" ht="20.25">
      <c r="A1470" s="161" t="s">
        <v>1336</v>
      </c>
      <c r="B1470" s="408" t="s">
        <v>2323</v>
      </c>
      <c r="C1470" s="297" t="str">
        <f>IF(LEN(A1470)=0,"",INDEX('[2]Smelter Reference List'!$C$1:$C$65536,MATCH($A1470,'[2]Smelter Reference List'!$E$1:$E$65536,0)))</f>
        <v>Zhongyuan Gold Smelter of Zhongjin Gold Corporation</v>
      </c>
      <c r="D1470" s="161" t="s">
        <v>2575</v>
      </c>
      <c r="E1470" s="161" t="s">
        <v>2181</v>
      </c>
      <c r="F1470" s="161" t="s">
        <v>1336</v>
      </c>
      <c r="G1470" s="161" t="s">
        <v>3125</v>
      </c>
      <c r="H1470" s="247">
        <v>0</v>
      </c>
      <c r="I1470" s="248" t="s">
        <v>3326</v>
      </c>
      <c r="J1470" s="248" t="s">
        <v>3224</v>
      </c>
      <c r="K1470" s="245"/>
      <c r="L1470" s="245"/>
      <c r="M1470" s="245"/>
      <c r="N1470" s="245"/>
      <c r="O1470" s="245"/>
      <c r="P1470" s="245"/>
      <c r="Q1470" s="246"/>
      <c r="R1470" s="233"/>
      <c r="S1470" s="234">
        <f>IF(C1470="",NA(),MATCH($B1470&amp;$C1470,'Smelter Reference List'!$J:$J,0))</f>
        <v>234</v>
      </c>
      <c r="T1470" s="235"/>
      <c r="U1470" s="235">
        <f t="shared" si="40"/>
        <v>0</v>
      </c>
      <c r="V1470" s="235"/>
      <c r="W1470" s="235"/>
      <c r="Y1470" s="228" t="str">
        <f t="shared" si="41"/>
        <v>GoldZhongyuan Gold Smelter of Zhongjin Gold Corporation</v>
      </c>
    </row>
    <row r="1471" spans="1:25" s="228" customFormat="1" ht="20.25">
      <c r="A1471" s="161" t="s">
        <v>1338</v>
      </c>
      <c r="B1471" s="408" t="s">
        <v>2325</v>
      </c>
      <c r="C1471" s="297" t="str">
        <f>IF(LEN(A1471)=0,"",INDEX('[2]Smelter Reference List'!$C$1:$C$65536,MATCH($A1471,'[2]Smelter Reference List'!$E$1:$E$65536,0)))</f>
        <v>Changsha South Tantalum Niobium Co., Ltd.</v>
      </c>
      <c r="D1471" s="161" t="s">
        <v>3</v>
      </c>
      <c r="E1471" s="161" t="s">
        <v>2181</v>
      </c>
      <c r="F1471" s="161" t="s">
        <v>1338</v>
      </c>
      <c r="G1471" s="161" t="s">
        <v>3125</v>
      </c>
      <c r="H1471" s="247">
        <v>0</v>
      </c>
      <c r="I1471" s="248" t="s">
        <v>3194</v>
      </c>
      <c r="J1471" s="248" t="s">
        <v>3186</v>
      </c>
      <c r="K1471" s="245"/>
      <c r="L1471" s="245"/>
      <c r="M1471" s="245"/>
      <c r="N1471" s="245"/>
      <c r="O1471" s="245"/>
      <c r="P1471" s="245"/>
      <c r="Q1471" s="246"/>
      <c r="R1471" s="233"/>
      <c r="S1471" s="234">
        <f>IF(C1471="",NA(),MATCH($B1471&amp;$C1471,'Smelter Reference List'!$J:$J,0))</f>
        <v>240</v>
      </c>
      <c r="T1471" s="235"/>
      <c r="U1471" s="235">
        <f t="shared" si="40"/>
        <v>0</v>
      </c>
      <c r="V1471" s="235"/>
      <c r="W1471" s="235"/>
      <c r="Y1471" s="228" t="str">
        <f t="shared" si="41"/>
        <v>TantalumChangsha South Tantalum Niobium Co., Ltd.</v>
      </c>
    </row>
    <row r="1472" spans="1:25" s="228" customFormat="1" ht="20.25">
      <c r="A1472" s="161" t="s">
        <v>1339</v>
      </c>
      <c r="B1472" s="408" t="s">
        <v>2325</v>
      </c>
      <c r="C1472" s="297" t="str">
        <f>IF(LEN(A1472)=0,"",INDEX('[2]Smelter Reference List'!$C$1:$C$65536,MATCH($A1472,'[2]Smelter Reference List'!$E$1:$E$65536,0)))</f>
        <v>Conghua Tantalum and Niobium Smeltry</v>
      </c>
      <c r="D1472" s="161" t="s">
        <v>2374</v>
      </c>
      <c r="E1472" s="161" t="s">
        <v>2181</v>
      </c>
      <c r="F1472" s="161" t="s">
        <v>1339</v>
      </c>
      <c r="G1472" s="161" t="s">
        <v>3125</v>
      </c>
      <c r="H1472" s="247">
        <v>0</v>
      </c>
      <c r="I1472" s="248" t="s">
        <v>3371</v>
      </c>
      <c r="J1472" s="248" t="s">
        <v>3335</v>
      </c>
      <c r="K1472" s="245"/>
      <c r="L1472" s="245"/>
      <c r="M1472" s="245"/>
      <c r="N1472" s="245"/>
      <c r="O1472" s="245"/>
      <c r="P1472" s="245"/>
      <c r="Q1472" s="246"/>
      <c r="R1472" s="233"/>
      <c r="S1472" s="234">
        <f>IF(C1472="",NA(),MATCH($B1472&amp;$C1472,'Smelter Reference List'!$J:$J,0))</f>
        <v>242</v>
      </c>
      <c r="T1472" s="235"/>
      <c r="U1472" s="235">
        <f t="shared" si="40"/>
        <v>0</v>
      </c>
      <c r="V1472" s="235"/>
      <c r="W1472" s="235"/>
      <c r="Y1472" s="228" t="str">
        <f t="shared" si="41"/>
        <v>TantalumConghua Tantalum and Niobium Smeltry</v>
      </c>
    </row>
    <row r="1473" spans="1:25" s="228" customFormat="1" ht="20.25">
      <c r="A1473" s="161" t="s">
        <v>1341</v>
      </c>
      <c r="B1473" s="408" t="s">
        <v>2325</v>
      </c>
      <c r="C1473" s="297" t="str">
        <f>IF(LEN(A1473)=0,"",INDEX('[2]Smelter Reference List'!$C$1:$C$65536,MATCH($A1473,'[2]Smelter Reference List'!$E$1:$E$65536,0)))</f>
        <v>Exotech Inc.</v>
      </c>
      <c r="D1473" s="161" t="s">
        <v>2307</v>
      </c>
      <c r="E1473" s="161" t="s">
        <v>1759</v>
      </c>
      <c r="F1473" s="161" t="s">
        <v>1341</v>
      </c>
      <c r="G1473" s="161" t="s">
        <v>3125</v>
      </c>
      <c r="H1473" s="247">
        <v>0</v>
      </c>
      <c r="I1473" s="248" t="s">
        <v>3373</v>
      </c>
      <c r="J1473" s="248" t="s">
        <v>3348</v>
      </c>
      <c r="K1473" s="245"/>
      <c r="L1473" s="245"/>
      <c r="M1473" s="245"/>
      <c r="N1473" s="245"/>
      <c r="O1473" s="245"/>
      <c r="P1473" s="245"/>
      <c r="Q1473" s="246"/>
      <c r="R1473" s="233"/>
      <c r="S1473" s="234">
        <f>IF(C1473="",NA(),MATCH($B1473&amp;$C1473,'Smelter Reference List'!$J:$J,0))</f>
        <v>247</v>
      </c>
      <c r="T1473" s="235"/>
      <c r="U1473" s="235">
        <f t="shared" si="40"/>
        <v>0</v>
      </c>
      <c r="V1473" s="235"/>
      <c r="W1473" s="235"/>
      <c r="Y1473" s="228" t="str">
        <f t="shared" si="41"/>
        <v>TantalumExotech Inc.</v>
      </c>
    </row>
    <row r="1474" spans="1:25" s="228" customFormat="1" ht="20.25">
      <c r="A1474" s="161" t="s">
        <v>1342</v>
      </c>
      <c r="B1474" s="408" t="s">
        <v>2325</v>
      </c>
      <c r="C1474" s="297" t="str">
        <f>IF(LEN(A1474)=0,"",INDEX('[2]Smelter Reference List'!$C$1:$C$65536,MATCH($A1474,'[2]Smelter Reference List'!$E$1:$E$65536,0)))</f>
        <v>F&amp;X Electro-Materials Ltd.</v>
      </c>
      <c r="D1474" s="161" t="s">
        <v>63</v>
      </c>
      <c r="E1474" s="161" t="s">
        <v>2181</v>
      </c>
      <c r="F1474" s="161" t="s">
        <v>1342</v>
      </c>
      <c r="G1474" s="161" t="s">
        <v>3125</v>
      </c>
      <c r="H1474" s="247">
        <v>0</v>
      </c>
      <c r="I1474" s="248" t="s">
        <v>3374</v>
      </c>
      <c r="J1474" s="248" t="s">
        <v>3335</v>
      </c>
      <c r="K1474" s="245"/>
      <c r="L1474" s="245"/>
      <c r="M1474" s="245"/>
      <c r="N1474" s="245"/>
      <c r="O1474" s="245"/>
      <c r="P1474" s="245"/>
      <c r="Q1474" s="246"/>
      <c r="R1474" s="233"/>
      <c r="S1474" s="234">
        <f>IF(C1474="",NA(),MATCH($B1474&amp;$C1474,'Smelter Reference List'!$J:$J,0))</f>
        <v>249</v>
      </c>
      <c r="T1474" s="235"/>
      <c r="U1474" s="235">
        <f t="shared" si="40"/>
        <v>0</v>
      </c>
      <c r="V1474" s="235"/>
      <c r="W1474" s="235"/>
      <c r="Y1474" s="228" t="str">
        <f t="shared" si="41"/>
        <v>TantalumF&amp;X Electro-Materials Ltd.</v>
      </c>
    </row>
    <row r="1475" spans="1:25" s="228" customFormat="1" ht="20.25">
      <c r="A1475" s="161" t="s">
        <v>2736</v>
      </c>
      <c r="B1475" s="408" t="s">
        <v>2325</v>
      </c>
      <c r="C1475" s="297" t="str">
        <f>IF(LEN(A1475)=0,"",INDEX('[2]Smelter Reference List'!$C$1:$C$65536,MATCH($A1475,'[2]Smelter Reference List'!$E$1:$E$65536,0)))</f>
        <v>Global Advanced Metals Boyertown</v>
      </c>
      <c r="D1475" s="161" t="s">
        <v>2735</v>
      </c>
      <c r="E1475" s="161" t="s">
        <v>1759</v>
      </c>
      <c r="F1475" s="161" t="s">
        <v>2736</v>
      </c>
      <c r="G1475" s="161" t="s">
        <v>3125</v>
      </c>
      <c r="H1475" s="247">
        <v>0</v>
      </c>
      <c r="I1475" s="248" t="s">
        <v>3428</v>
      </c>
      <c r="J1475" s="248" t="s">
        <v>3401</v>
      </c>
      <c r="K1475" s="245"/>
      <c r="L1475" s="245"/>
      <c r="M1475" s="245"/>
      <c r="N1475" s="245"/>
      <c r="O1475" s="245"/>
      <c r="P1475" s="245"/>
      <c r="Q1475" s="246"/>
      <c r="R1475" s="233"/>
      <c r="S1475" s="234">
        <f>IF(C1475="",NA(),MATCH($B1475&amp;$C1475,'Smelter Reference List'!$J:$J,0))</f>
        <v>252</v>
      </c>
      <c r="T1475" s="235"/>
      <c r="U1475" s="235">
        <f t="shared" si="40"/>
        <v>0</v>
      </c>
      <c r="V1475" s="235"/>
      <c r="W1475" s="235"/>
      <c r="Y1475" s="228" t="str">
        <f t="shared" si="41"/>
        <v>TantalumGlobal Advanced Metals Boyertown</v>
      </c>
    </row>
    <row r="1476" spans="1:25" s="228" customFormat="1" ht="20.25">
      <c r="A1476" s="161" t="s">
        <v>2738</v>
      </c>
      <c r="B1476" s="408" t="s">
        <v>2325</v>
      </c>
      <c r="C1476" s="297" t="str">
        <f>IF(LEN(A1476)=0,"",INDEX('[2]Smelter Reference List'!$C$1:$C$65536,MATCH($A1476,'[2]Smelter Reference List'!$E$1:$E$65536,0)))</f>
        <v>H.C. Starck Co., Ltd.</v>
      </c>
      <c r="D1476" s="161" t="s">
        <v>2737</v>
      </c>
      <c r="E1476" s="161" t="s">
        <v>1743</v>
      </c>
      <c r="F1476" s="161" t="s">
        <v>2738</v>
      </c>
      <c r="G1476" s="161" t="s">
        <v>3125</v>
      </c>
      <c r="H1476" s="247">
        <v>0</v>
      </c>
      <c r="I1476" s="248" t="s">
        <v>3416</v>
      </c>
      <c r="J1476" s="248" t="s">
        <v>3417</v>
      </c>
      <c r="K1476" s="245"/>
      <c r="L1476" s="245"/>
      <c r="M1476" s="245"/>
      <c r="N1476" s="245"/>
      <c r="O1476" s="245"/>
      <c r="P1476" s="245"/>
      <c r="Q1476" s="246"/>
      <c r="R1476" s="233"/>
      <c r="S1476" s="234">
        <f>IF(C1476="",NA(),MATCH($B1476&amp;$C1476,'Smelter Reference List'!$J:$J,0))</f>
        <v>254</v>
      </c>
      <c r="T1476" s="235"/>
      <c r="U1476" s="235">
        <f t="shared" si="40"/>
        <v>0</v>
      </c>
      <c r="V1476" s="235"/>
      <c r="W1476" s="235"/>
      <c r="Y1476" s="228" t="str">
        <f t="shared" si="41"/>
        <v>TantalumH.C. Starck Co., Ltd.</v>
      </c>
    </row>
    <row r="1477" spans="1:25" s="228" customFormat="1" ht="20.25">
      <c r="A1477" s="161" t="s">
        <v>2740</v>
      </c>
      <c r="B1477" s="408" t="s">
        <v>2325</v>
      </c>
      <c r="C1477" s="297" t="str">
        <f>IF(LEN(A1477)=0,"",INDEX('[2]Smelter Reference List'!$C$1:$C$65536,MATCH($A1477,'[2]Smelter Reference List'!$E$1:$E$65536,0)))</f>
        <v>H.C. Starck GmbH Goslar</v>
      </c>
      <c r="D1477" s="161" t="s">
        <v>2739</v>
      </c>
      <c r="E1477" s="161" t="s">
        <v>2195</v>
      </c>
      <c r="F1477" s="161" t="s">
        <v>2740</v>
      </c>
      <c r="G1477" s="161" t="s">
        <v>3125</v>
      </c>
      <c r="H1477" s="247">
        <v>0</v>
      </c>
      <c r="I1477" s="248" t="s">
        <v>3418</v>
      </c>
      <c r="J1477" s="248" t="s">
        <v>3419</v>
      </c>
      <c r="K1477" s="245"/>
      <c r="L1477" s="245"/>
      <c r="M1477" s="245"/>
      <c r="N1477" s="245"/>
      <c r="O1477" s="245"/>
      <c r="P1477" s="245"/>
      <c r="Q1477" s="246"/>
      <c r="R1477" s="233"/>
      <c r="S1477" s="234">
        <f>IF(C1477="",NA(),MATCH($B1477&amp;$C1477,'Smelter Reference List'!$J:$J,0))</f>
        <v>255</v>
      </c>
      <c r="T1477" s="235"/>
      <c r="U1477" s="235">
        <f t="shared" si="40"/>
        <v>0</v>
      </c>
      <c r="V1477" s="235"/>
      <c r="W1477" s="235"/>
      <c r="Y1477" s="228" t="str">
        <f t="shared" si="41"/>
        <v>TantalumH.C. Starck GmbH Goslar</v>
      </c>
    </row>
    <row r="1478" spans="1:25" s="228" customFormat="1" ht="20.25">
      <c r="A1478" s="161" t="s">
        <v>2742</v>
      </c>
      <c r="B1478" s="408" t="s">
        <v>2325</v>
      </c>
      <c r="C1478" s="297" t="str">
        <f>IF(LEN(A1478)=0,"",INDEX('[2]Smelter Reference List'!$C$1:$C$65536,MATCH($A1478,'[2]Smelter Reference List'!$E$1:$E$65536,0)))</f>
        <v>H.C. Starck GmbH Laufenburg</v>
      </c>
      <c r="D1478" s="161" t="s">
        <v>2741</v>
      </c>
      <c r="E1478" s="161" t="s">
        <v>2195</v>
      </c>
      <c r="F1478" s="161" t="s">
        <v>2742</v>
      </c>
      <c r="G1478" s="161" t="s">
        <v>3125</v>
      </c>
      <c r="H1478" s="247">
        <v>0</v>
      </c>
      <c r="I1478" s="248" t="s">
        <v>3420</v>
      </c>
      <c r="J1478" s="248" t="s">
        <v>3131</v>
      </c>
      <c r="K1478" s="245"/>
      <c r="L1478" s="245"/>
      <c r="M1478" s="245"/>
      <c r="N1478" s="245"/>
      <c r="O1478" s="245"/>
      <c r="P1478" s="245"/>
      <c r="Q1478" s="246"/>
      <c r="R1478" s="233"/>
      <c r="S1478" s="234">
        <f>IF(C1478="",NA(),MATCH($B1478&amp;$C1478,'Smelter Reference List'!$J:$J,0))</f>
        <v>256</v>
      </c>
      <c r="T1478" s="235"/>
      <c r="U1478" s="235">
        <f t="shared" ref="U1478:U1541" si="42">IF(AND(C1478="Smelter not listed",OR(LEN(D1478)=0,LEN(E1478)=0)),1,0)</f>
        <v>0</v>
      </c>
      <c r="V1478" s="235"/>
      <c r="W1478" s="235"/>
      <c r="Y1478" s="228" t="str">
        <f t="shared" ref="Y1478:Y1541" si="43">B1478&amp;C1478</f>
        <v>TantalumH.C. Starck GmbH Laufenburg</v>
      </c>
    </row>
    <row r="1479" spans="1:25" s="228" customFormat="1" ht="20.25">
      <c r="A1479" s="161" t="s">
        <v>2744</v>
      </c>
      <c r="B1479" s="408" t="s">
        <v>2325</v>
      </c>
      <c r="C1479" s="297" t="str">
        <f>IF(LEN(A1479)=0,"",INDEX('[2]Smelter Reference List'!$C$1:$C$65536,MATCH($A1479,'[2]Smelter Reference List'!$E$1:$E$65536,0)))</f>
        <v>H.C. Starck Hermsdorf GmbH</v>
      </c>
      <c r="D1479" s="161" t="s">
        <v>2743</v>
      </c>
      <c r="E1479" s="161" t="s">
        <v>2195</v>
      </c>
      <c r="F1479" s="161" t="s">
        <v>2744</v>
      </c>
      <c r="G1479" s="161" t="s">
        <v>3125</v>
      </c>
      <c r="H1479" s="247">
        <v>0</v>
      </c>
      <c r="I1479" s="248" t="s">
        <v>3421</v>
      </c>
      <c r="J1479" s="248" t="s">
        <v>3422</v>
      </c>
      <c r="K1479" s="245"/>
      <c r="L1479" s="245"/>
      <c r="M1479" s="245"/>
      <c r="N1479" s="245"/>
      <c r="O1479" s="245"/>
      <c r="P1479" s="245"/>
      <c r="Q1479" s="246"/>
      <c r="R1479" s="233"/>
      <c r="S1479" s="234">
        <f>IF(C1479="",NA(),MATCH($B1479&amp;$C1479,'Smelter Reference List'!$J:$J,0))</f>
        <v>257</v>
      </c>
      <c r="T1479" s="235"/>
      <c r="U1479" s="235">
        <f t="shared" si="42"/>
        <v>0</v>
      </c>
      <c r="V1479" s="235"/>
      <c r="W1479" s="235"/>
      <c r="Y1479" s="228" t="str">
        <f t="shared" si="43"/>
        <v>TantalumH.C. Starck Hermsdorf GmbH</v>
      </c>
    </row>
    <row r="1480" spans="1:25" s="228" customFormat="1" ht="20.25">
      <c r="A1480" s="161" t="s">
        <v>2746</v>
      </c>
      <c r="B1480" s="408" t="s">
        <v>2325</v>
      </c>
      <c r="C1480" s="297" t="str">
        <f>IF(LEN(A1480)=0,"",INDEX('[2]Smelter Reference List'!$C$1:$C$65536,MATCH($A1480,'[2]Smelter Reference List'!$E$1:$E$65536,0)))</f>
        <v>H.C. Starck Inc.</v>
      </c>
      <c r="D1480" s="161" t="s">
        <v>2745</v>
      </c>
      <c r="E1480" s="161" t="s">
        <v>1759</v>
      </c>
      <c r="F1480" s="161" t="s">
        <v>2746</v>
      </c>
      <c r="G1480" s="161" t="s">
        <v>3125</v>
      </c>
      <c r="H1480" s="247">
        <v>0</v>
      </c>
      <c r="I1480" s="248" t="s">
        <v>3423</v>
      </c>
      <c r="J1480" s="248" t="s">
        <v>3242</v>
      </c>
      <c r="K1480" s="245"/>
      <c r="L1480" s="245"/>
      <c r="M1480" s="245"/>
      <c r="N1480" s="245"/>
      <c r="O1480" s="245"/>
      <c r="P1480" s="245"/>
      <c r="Q1480" s="246"/>
      <c r="R1480" s="233"/>
      <c r="S1480" s="234">
        <f>IF(C1480="",NA(),MATCH($B1480&amp;$C1480,'Smelter Reference List'!$J:$J,0))</f>
        <v>258</v>
      </c>
      <c r="T1480" s="235"/>
      <c r="U1480" s="235">
        <f t="shared" si="42"/>
        <v>0</v>
      </c>
      <c r="V1480" s="235"/>
      <c r="W1480" s="235"/>
      <c r="Y1480" s="228" t="str">
        <f t="shared" si="43"/>
        <v>TantalumH.C. Starck Inc.</v>
      </c>
    </row>
    <row r="1481" spans="1:25" s="228" customFormat="1" ht="20.25">
      <c r="A1481" s="161" t="s">
        <v>2748</v>
      </c>
      <c r="B1481" s="408" t="s">
        <v>2325</v>
      </c>
      <c r="C1481" s="297" t="str">
        <f>IF(LEN(A1481)=0,"",INDEX('[2]Smelter Reference List'!$C$1:$C$65536,MATCH($A1481,'[2]Smelter Reference List'!$E$1:$E$65536,0)))</f>
        <v>H.C. Starck Ltd.</v>
      </c>
      <c r="D1481" s="161" t="s">
        <v>2747</v>
      </c>
      <c r="E1481" s="161" t="s">
        <v>2249</v>
      </c>
      <c r="F1481" s="161" t="s">
        <v>2748</v>
      </c>
      <c r="G1481" s="161" t="s">
        <v>3125</v>
      </c>
      <c r="H1481" s="247">
        <v>0</v>
      </c>
      <c r="I1481" s="248" t="s">
        <v>3424</v>
      </c>
      <c r="J1481" s="248" t="s">
        <v>3425</v>
      </c>
      <c r="K1481" s="245"/>
      <c r="L1481" s="245"/>
      <c r="M1481" s="245"/>
      <c r="N1481" s="245"/>
      <c r="O1481" s="245"/>
      <c r="P1481" s="245"/>
      <c r="Q1481" s="246"/>
      <c r="R1481" s="233"/>
      <c r="S1481" s="234">
        <f>IF(C1481="",NA(),MATCH($B1481&amp;$C1481,'Smelter Reference List'!$J:$J,0))</f>
        <v>259</v>
      </c>
      <c r="T1481" s="235"/>
      <c r="U1481" s="235">
        <f t="shared" si="42"/>
        <v>0</v>
      </c>
      <c r="V1481" s="235"/>
      <c r="W1481" s="235"/>
      <c r="Y1481" s="228" t="str">
        <f t="shared" si="43"/>
        <v>TantalumH.C. Starck Ltd.</v>
      </c>
    </row>
    <row r="1482" spans="1:25" s="228" customFormat="1" ht="20.25">
      <c r="A1482" s="161" t="s">
        <v>2750</v>
      </c>
      <c r="B1482" s="408" t="s">
        <v>2325</v>
      </c>
      <c r="C1482" s="297" t="str">
        <f>IF(LEN(A1482)=0,"",INDEX('[2]Smelter Reference List'!$C$1:$C$65536,MATCH($A1482,'[2]Smelter Reference List'!$E$1:$E$65536,0)))</f>
        <v>H.C. Starck Smelting GmbH &amp; Co. KG</v>
      </c>
      <c r="D1482" s="161" t="s">
        <v>4729</v>
      </c>
      <c r="E1482" s="161" t="s">
        <v>2195</v>
      </c>
      <c r="F1482" s="161" t="s">
        <v>2750</v>
      </c>
      <c r="G1482" s="161" t="s">
        <v>3125</v>
      </c>
      <c r="H1482" s="247">
        <v>0</v>
      </c>
      <c r="I1482" s="248" t="s">
        <v>3420</v>
      </c>
      <c r="J1482" s="248" t="s">
        <v>3131</v>
      </c>
      <c r="K1482" s="245"/>
      <c r="L1482" s="245"/>
      <c r="M1482" s="245"/>
      <c r="N1482" s="245"/>
      <c r="O1482" s="245"/>
      <c r="P1482" s="245"/>
      <c r="Q1482" s="246"/>
      <c r="R1482" s="233"/>
      <c r="S1482" s="234">
        <f>IF(C1482="",NA(),MATCH($B1482&amp;$C1482,'Smelter Reference List'!$J:$J,0))</f>
        <v>260</v>
      </c>
      <c r="T1482" s="235"/>
      <c r="U1482" s="235">
        <f t="shared" si="42"/>
        <v>0</v>
      </c>
      <c r="V1482" s="235"/>
      <c r="W1482" s="235"/>
      <c r="Y1482" s="228" t="str">
        <f t="shared" si="43"/>
        <v>TantalumH.C. Starck Smelting GmbH &amp; Co. KG</v>
      </c>
    </row>
    <row r="1483" spans="1:25" s="228" customFormat="1" ht="20.25">
      <c r="A1483" s="161" t="s">
        <v>1346</v>
      </c>
      <c r="B1483" s="408" t="s">
        <v>2325</v>
      </c>
      <c r="C1483" s="297" t="str">
        <f>IF(LEN(A1483)=0,"",INDEX('[2]Smelter Reference List'!$C$1:$C$65536,MATCH($A1483,'[2]Smelter Reference List'!$E$1:$E$65536,0)))</f>
        <v>JiuJiang JinXin Nonferrous Metals Co., Ltd.</v>
      </c>
      <c r="D1483" s="161" t="s">
        <v>5</v>
      </c>
      <c r="E1483" s="161" t="s">
        <v>2181</v>
      </c>
      <c r="F1483" s="161" t="s">
        <v>1346</v>
      </c>
      <c r="G1483" s="161" t="s">
        <v>3125</v>
      </c>
      <c r="H1483" s="247">
        <v>0</v>
      </c>
      <c r="I1483" s="248" t="s">
        <v>3379</v>
      </c>
      <c r="J1483" s="248" t="s">
        <v>3204</v>
      </c>
      <c r="K1483" s="245"/>
      <c r="L1483" s="245"/>
      <c r="M1483" s="245"/>
      <c r="N1483" s="245"/>
      <c r="O1483" s="245"/>
      <c r="P1483" s="245"/>
      <c r="Q1483" s="246"/>
      <c r="R1483" s="233"/>
      <c r="S1483" s="234">
        <f>IF(C1483="",NA(),MATCH($B1483&amp;$C1483,'Smelter Reference List'!$J:$J,0))</f>
        <v>266</v>
      </c>
      <c r="T1483" s="235"/>
      <c r="U1483" s="235">
        <f t="shared" si="42"/>
        <v>0</v>
      </c>
      <c r="V1483" s="235"/>
      <c r="W1483" s="235"/>
      <c r="Y1483" s="228" t="str">
        <f t="shared" si="43"/>
        <v>TantalumJiuJiang JinXin Nonferrous Metals Co., Ltd.</v>
      </c>
    </row>
    <row r="1484" spans="1:25" s="228" customFormat="1" ht="20.25">
      <c r="A1484" s="161" t="s">
        <v>1347</v>
      </c>
      <c r="B1484" s="408" t="s">
        <v>2325</v>
      </c>
      <c r="C1484" s="297" t="str">
        <f>IF(LEN(A1484)=0,"",INDEX('[2]Smelter Reference List'!$C$1:$C$65536,MATCH($A1484,'[2]Smelter Reference List'!$E$1:$E$65536,0)))</f>
        <v>Jiujiang Tanbre Co., Ltd.</v>
      </c>
      <c r="D1484" s="161" t="s">
        <v>64</v>
      </c>
      <c r="E1484" s="161" t="s">
        <v>2181</v>
      </c>
      <c r="F1484" s="161" t="s">
        <v>1347</v>
      </c>
      <c r="G1484" s="161" t="s">
        <v>3125</v>
      </c>
      <c r="H1484" s="247">
        <v>0</v>
      </c>
      <c r="I1484" s="248" t="s">
        <v>3379</v>
      </c>
      <c r="J1484" s="248" t="s">
        <v>3204</v>
      </c>
      <c r="K1484" s="245"/>
      <c r="L1484" s="245"/>
      <c r="M1484" s="245"/>
      <c r="N1484" s="245"/>
      <c r="O1484" s="245"/>
      <c r="P1484" s="245"/>
      <c r="Q1484" s="246"/>
      <c r="R1484" s="233"/>
      <c r="S1484" s="234">
        <f>IF(C1484="",NA(),MATCH($B1484&amp;$C1484,'Smelter Reference List'!$J:$J,0))</f>
        <v>267</v>
      </c>
      <c r="T1484" s="235"/>
      <c r="U1484" s="235">
        <f t="shared" si="42"/>
        <v>0</v>
      </c>
      <c r="V1484" s="235"/>
      <c r="W1484" s="235"/>
      <c r="Y1484" s="228" t="str">
        <f t="shared" si="43"/>
        <v>TantalumJiujiang Tanbre Co., Ltd.</v>
      </c>
    </row>
    <row r="1485" spans="1:25" s="228" customFormat="1" ht="20.25">
      <c r="A1485" s="161" t="s">
        <v>1349</v>
      </c>
      <c r="B1485" s="408" t="s">
        <v>2325</v>
      </c>
      <c r="C1485" s="297" t="str">
        <f>IF(LEN(A1485)=0,"",INDEX('[2]Smelter Reference List'!$C$1:$C$65536,MATCH($A1485,'[2]Smelter Reference List'!$E$1:$E$65536,0)))</f>
        <v>LSM Brasil S.A.</v>
      </c>
      <c r="D1485" s="161" t="s">
        <v>65</v>
      </c>
      <c r="E1485" s="161" t="s">
        <v>2170</v>
      </c>
      <c r="F1485" s="161" t="s">
        <v>1349</v>
      </c>
      <c r="G1485" s="161" t="s">
        <v>3125</v>
      </c>
      <c r="H1485" s="247">
        <v>0</v>
      </c>
      <c r="I1485" s="248" t="s">
        <v>3381</v>
      </c>
      <c r="J1485" s="248" t="s">
        <v>3136</v>
      </c>
      <c r="K1485" s="245"/>
      <c r="L1485" s="245"/>
      <c r="M1485" s="245"/>
      <c r="N1485" s="245"/>
      <c r="O1485" s="245"/>
      <c r="P1485" s="245"/>
      <c r="Q1485" s="246"/>
      <c r="R1485" s="233"/>
      <c r="S1485" s="234">
        <f>IF(C1485="",NA(),MATCH($B1485&amp;$C1485,'Smelter Reference List'!$J:$J,0))</f>
        <v>272</v>
      </c>
      <c r="T1485" s="235"/>
      <c r="U1485" s="235">
        <f t="shared" si="42"/>
        <v>0</v>
      </c>
      <c r="V1485" s="235"/>
      <c r="W1485" s="235"/>
      <c r="Y1485" s="228" t="str">
        <f t="shared" si="43"/>
        <v>TantalumLSM Brasil S.A.</v>
      </c>
    </row>
    <row r="1486" spans="1:25" s="228" customFormat="1" ht="20.25">
      <c r="A1486" s="161" t="s">
        <v>1352</v>
      </c>
      <c r="B1486" s="408" t="s">
        <v>2325</v>
      </c>
      <c r="C1486" s="297" t="str">
        <f>IF(LEN(A1486)=0,"",INDEX('[2]Smelter Reference List'!$C$1:$C$65536,MATCH($A1486,'[2]Smelter Reference List'!$E$1:$E$65536,0)))</f>
        <v>Mitsui Mining &amp; Smelting</v>
      </c>
      <c r="D1486" s="161" t="s">
        <v>2308</v>
      </c>
      <c r="E1486" s="161" t="s">
        <v>2249</v>
      </c>
      <c r="F1486" s="161" t="s">
        <v>1352</v>
      </c>
      <c r="G1486" s="161" t="s">
        <v>3125</v>
      </c>
      <c r="H1486" s="247">
        <v>0</v>
      </c>
      <c r="I1486" s="248" t="s">
        <v>3387</v>
      </c>
      <c r="J1486" s="248" t="s">
        <v>3388</v>
      </c>
      <c r="K1486" s="245"/>
      <c r="L1486" s="245"/>
      <c r="M1486" s="245"/>
      <c r="N1486" s="245"/>
      <c r="O1486" s="245"/>
      <c r="P1486" s="245"/>
      <c r="Q1486" s="246"/>
      <c r="R1486" s="233"/>
      <c r="S1486" s="234">
        <f>IF(C1486="",NA(),MATCH($B1486&amp;$C1486,'Smelter Reference List'!$J:$J,0))</f>
        <v>276</v>
      </c>
      <c r="T1486" s="235"/>
      <c r="U1486" s="235">
        <f t="shared" si="42"/>
        <v>0</v>
      </c>
      <c r="V1486" s="235"/>
      <c r="W1486" s="235"/>
      <c r="Y1486" s="228" t="str">
        <f t="shared" si="43"/>
        <v>TantalumMitsui Mining &amp; Smelting</v>
      </c>
    </row>
    <row r="1487" spans="1:25" s="228" customFormat="1" ht="20.25">
      <c r="A1487" s="161" t="s">
        <v>1353</v>
      </c>
      <c r="B1487" s="408" t="s">
        <v>2325</v>
      </c>
      <c r="C1487" s="297" t="str">
        <f>IF(LEN(A1487)=0,"",INDEX('[2]Smelter Reference List'!$C$1:$C$65536,MATCH($A1487,'[2]Smelter Reference List'!$E$1:$E$65536,0)))</f>
        <v>Molycorp Silmet A.S.</v>
      </c>
      <c r="D1487" s="161" t="s">
        <v>66</v>
      </c>
      <c r="E1487" s="161" t="s">
        <v>2206</v>
      </c>
      <c r="F1487" s="161" t="s">
        <v>1353</v>
      </c>
      <c r="G1487" s="161" t="s">
        <v>3125</v>
      </c>
      <c r="H1487" s="247">
        <v>0</v>
      </c>
      <c r="I1487" s="248" t="s">
        <v>3389</v>
      </c>
      <c r="J1487" s="248" t="s">
        <v>3390</v>
      </c>
      <c r="K1487" s="245"/>
      <c r="L1487" s="245"/>
      <c r="M1487" s="245"/>
      <c r="N1487" s="245"/>
      <c r="O1487" s="245"/>
      <c r="P1487" s="245"/>
      <c r="Q1487" s="246"/>
      <c r="R1487" s="233"/>
      <c r="S1487" s="234">
        <f>IF(C1487="",NA(),MATCH($B1487&amp;$C1487,'Smelter Reference List'!$J:$J,0))</f>
        <v>277</v>
      </c>
      <c r="T1487" s="235"/>
      <c r="U1487" s="235">
        <f t="shared" si="42"/>
        <v>0</v>
      </c>
      <c r="V1487" s="235"/>
      <c r="W1487" s="235"/>
      <c r="Y1487" s="228" t="str">
        <f t="shared" si="43"/>
        <v>TantalumMolycorp Silmet A.S.</v>
      </c>
    </row>
    <row r="1488" spans="1:25" s="228" customFormat="1" ht="20.25">
      <c r="A1488" s="161" t="s">
        <v>1354</v>
      </c>
      <c r="B1488" s="408" t="s">
        <v>2325</v>
      </c>
      <c r="C1488" s="297" t="str">
        <f>IF(LEN(A1488)=0,"",INDEX('[2]Smelter Reference List'!$C$1:$C$65536,MATCH($A1488,'[2]Smelter Reference List'!$E$1:$E$65536,0)))</f>
        <v>Ningxia Orient Tantalum Industry Co., Ltd.</v>
      </c>
      <c r="D1488" s="161" t="s">
        <v>1950</v>
      </c>
      <c r="E1488" s="161" t="s">
        <v>2181</v>
      </c>
      <c r="F1488" s="161" t="s">
        <v>1354</v>
      </c>
      <c r="G1488" s="161" t="s">
        <v>3125</v>
      </c>
      <c r="H1488" s="247">
        <v>0</v>
      </c>
      <c r="I1488" s="248" t="s">
        <v>3391</v>
      </c>
      <c r="J1488" s="248" t="s">
        <v>3392</v>
      </c>
      <c r="K1488" s="245"/>
      <c r="L1488" s="245"/>
      <c r="M1488" s="245"/>
      <c r="N1488" s="245"/>
      <c r="O1488" s="245"/>
      <c r="P1488" s="245"/>
      <c r="Q1488" s="246"/>
      <c r="R1488" s="233"/>
      <c r="S1488" s="234">
        <f>IF(C1488="",NA(),MATCH($B1488&amp;$C1488,'Smelter Reference List'!$J:$J,0))</f>
        <v>278</v>
      </c>
      <c r="T1488" s="235"/>
      <c r="U1488" s="235">
        <f t="shared" si="42"/>
        <v>0</v>
      </c>
      <c r="V1488" s="235"/>
      <c r="W1488" s="235"/>
      <c r="Y1488" s="228" t="str">
        <f t="shared" si="43"/>
        <v>TantalumNingxia Orient Tantalum Industry Co., Ltd.</v>
      </c>
    </row>
    <row r="1489" spans="1:25" s="228" customFormat="1" ht="20.25">
      <c r="A1489" s="161" t="s">
        <v>1357</v>
      </c>
      <c r="B1489" s="408" t="s">
        <v>2325</v>
      </c>
      <c r="C1489" s="297" t="str">
        <f>IF(LEN(A1489)=0,"",INDEX('[2]Smelter Reference List'!$C$1:$C$65536,MATCH($A1489,'[2]Smelter Reference List'!$E$1:$E$65536,0)))</f>
        <v>Solikamsk Magnesium Works OAO</v>
      </c>
      <c r="D1489" s="161" t="s">
        <v>2658</v>
      </c>
      <c r="E1489" s="161" t="s">
        <v>1717</v>
      </c>
      <c r="F1489" s="161" t="s">
        <v>1357</v>
      </c>
      <c r="G1489" s="161" t="s">
        <v>3125</v>
      </c>
      <c r="H1489" s="247">
        <v>0</v>
      </c>
      <c r="I1489" s="248" t="s">
        <v>3396</v>
      </c>
      <c r="J1489" s="248" t="s">
        <v>3397</v>
      </c>
      <c r="K1489" s="245"/>
      <c r="L1489" s="245"/>
      <c r="M1489" s="245"/>
      <c r="N1489" s="245"/>
      <c r="O1489" s="245"/>
      <c r="P1489" s="245"/>
      <c r="Q1489" s="246"/>
      <c r="R1489" s="233"/>
      <c r="S1489" s="234">
        <f>IF(C1489="",NA(),MATCH($B1489&amp;$C1489,'Smelter Reference List'!$J:$J,0))</f>
        <v>288</v>
      </c>
      <c r="T1489" s="235"/>
      <c r="U1489" s="235">
        <f t="shared" si="42"/>
        <v>0</v>
      </c>
      <c r="V1489" s="235"/>
      <c r="W1489" s="235"/>
      <c r="Y1489" s="228" t="str">
        <f t="shared" si="43"/>
        <v>TantalumSolikamsk Magnesium Works OAO</v>
      </c>
    </row>
    <row r="1490" spans="1:25" s="228" customFormat="1" ht="20.25">
      <c r="A1490" s="161" t="s">
        <v>1358</v>
      </c>
      <c r="B1490" s="408" t="s">
        <v>2325</v>
      </c>
      <c r="C1490" s="297" t="str">
        <f>IF(LEN(A1490)=0,"",INDEX('[2]Smelter Reference List'!$C$1:$C$65536,MATCH($A1490,'[2]Smelter Reference List'!$E$1:$E$65536,0)))</f>
        <v>Taki Chemicals</v>
      </c>
      <c r="D1490" s="161" t="s">
        <v>1468</v>
      </c>
      <c r="E1490" s="161" t="s">
        <v>2249</v>
      </c>
      <c r="F1490" s="161" t="s">
        <v>1358</v>
      </c>
      <c r="G1490" s="161" t="s">
        <v>3125</v>
      </c>
      <c r="H1490" s="247">
        <v>0</v>
      </c>
      <c r="I1490" s="248" t="s">
        <v>3398</v>
      </c>
      <c r="J1490" s="248" t="s">
        <v>3140</v>
      </c>
      <c r="K1490" s="245"/>
      <c r="L1490" s="245"/>
      <c r="M1490" s="245"/>
      <c r="N1490" s="245"/>
      <c r="O1490" s="245"/>
      <c r="P1490" s="245"/>
      <c r="Q1490" s="246"/>
      <c r="R1490" s="233"/>
      <c r="S1490" s="234">
        <f>IF(C1490="",NA(),MATCH($B1490&amp;$C1490,'Smelter Reference List'!$J:$J,0))</f>
        <v>290</v>
      </c>
      <c r="T1490" s="235"/>
      <c r="U1490" s="235">
        <f t="shared" si="42"/>
        <v>0</v>
      </c>
      <c r="V1490" s="235"/>
      <c r="W1490" s="235"/>
      <c r="Y1490" s="228" t="str">
        <f t="shared" si="43"/>
        <v>TantalumTaki Chemicals</v>
      </c>
    </row>
    <row r="1491" spans="1:25" s="228" customFormat="1" ht="20.25">
      <c r="A1491" s="161" t="s">
        <v>1360</v>
      </c>
      <c r="B1491" s="408" t="s">
        <v>2325</v>
      </c>
      <c r="C1491" s="297" t="str">
        <f>IF(LEN(A1491)=0,"",INDEX('[2]Smelter Reference List'!$C$1:$C$65536,MATCH($A1491,'[2]Smelter Reference List'!$E$1:$E$65536,0)))</f>
        <v>Ulba Metallurgical Plant JSC</v>
      </c>
      <c r="D1491" s="161" t="s">
        <v>3402</v>
      </c>
      <c r="E1491" s="161" t="s">
        <v>2250</v>
      </c>
      <c r="F1491" s="161" t="s">
        <v>1360</v>
      </c>
      <c r="G1491" s="161" t="s">
        <v>3125</v>
      </c>
      <c r="H1491" s="247">
        <v>0</v>
      </c>
      <c r="I1491" s="248" t="s">
        <v>3214</v>
      </c>
      <c r="J1491" s="248" t="s">
        <v>3403</v>
      </c>
      <c r="K1491" s="245"/>
      <c r="L1491" s="245"/>
      <c r="M1491" s="245"/>
      <c r="N1491" s="245"/>
      <c r="O1491" s="245"/>
      <c r="P1491" s="245"/>
      <c r="Q1491" s="246"/>
      <c r="R1491" s="233"/>
      <c r="S1491" s="234">
        <f>IF(C1491="",NA(),MATCH($B1491&amp;$C1491,'Smelter Reference List'!$J:$J,0))</f>
        <v>294</v>
      </c>
      <c r="T1491" s="235"/>
      <c r="U1491" s="235">
        <f t="shared" si="42"/>
        <v>0</v>
      </c>
      <c r="V1491" s="235"/>
      <c r="W1491" s="235"/>
      <c r="Y1491" s="228" t="str">
        <f t="shared" si="43"/>
        <v>TantalumUlba Metallurgical Plant JSC</v>
      </c>
    </row>
    <row r="1492" spans="1:25" s="228" customFormat="1" ht="20.25">
      <c r="A1492" s="161" t="s">
        <v>1361</v>
      </c>
      <c r="B1492" s="408" t="s">
        <v>2325</v>
      </c>
      <c r="C1492" s="297" t="s">
        <v>3404</v>
      </c>
      <c r="D1492" s="161" t="s">
        <v>4184</v>
      </c>
      <c r="E1492" s="161" t="s">
        <v>2181</v>
      </c>
      <c r="F1492" s="161" t="s">
        <v>1361</v>
      </c>
      <c r="G1492" s="161" t="s">
        <v>3125</v>
      </c>
      <c r="H1492" s="247">
        <v>0</v>
      </c>
      <c r="I1492" s="248" t="s">
        <v>3395</v>
      </c>
      <c r="J1492" s="248" t="s">
        <v>3186</v>
      </c>
      <c r="K1492" s="245"/>
      <c r="L1492" s="245"/>
      <c r="M1492" s="245"/>
      <c r="N1492" s="245"/>
      <c r="O1492" s="245"/>
      <c r="P1492" s="245"/>
      <c r="Q1492" s="246"/>
      <c r="R1492" s="233"/>
      <c r="S1492" s="234">
        <f>IF(C1492="",NA(),MATCH($B1492&amp;$C1492,'Smelter Reference List'!$J:$J,0))</f>
        <v>299</v>
      </c>
      <c r="T1492" s="235"/>
      <c r="U1492" s="235">
        <f t="shared" si="42"/>
        <v>0</v>
      </c>
      <c r="V1492" s="235"/>
      <c r="W1492" s="235"/>
      <c r="Y1492" s="228" t="str">
        <f t="shared" si="43"/>
        <v>TantalumZhuzhou Cemented Carbide Group</v>
      </c>
    </row>
    <row r="1493" spans="1:25" s="228" customFormat="1" ht="20.25">
      <c r="A1493" s="161" t="s">
        <v>1364</v>
      </c>
      <c r="B1493" s="408" t="s">
        <v>2324</v>
      </c>
      <c r="C1493" s="297" t="str">
        <f>IF(LEN(A1493)=0,"",INDEX('[2]Smelter Reference List'!$C$1:$C$65536,MATCH($A1493,'[2]Smelter Reference List'!$E$1:$E$65536,0)))</f>
        <v>Alpha</v>
      </c>
      <c r="D1493" s="161" t="s">
        <v>67</v>
      </c>
      <c r="E1493" s="161" t="s">
        <v>1759</v>
      </c>
      <c r="F1493" s="161" t="s">
        <v>1364</v>
      </c>
      <c r="G1493" s="161" t="s">
        <v>3125</v>
      </c>
      <c r="H1493" s="247">
        <v>0</v>
      </c>
      <c r="I1493" s="248" t="s">
        <v>3444</v>
      </c>
      <c r="J1493" s="248" t="s">
        <v>3401</v>
      </c>
      <c r="K1493" s="245"/>
      <c r="L1493" s="245"/>
      <c r="M1493" s="245"/>
      <c r="N1493" s="245"/>
      <c r="O1493" s="245"/>
      <c r="P1493" s="245"/>
      <c r="Q1493" s="246"/>
      <c r="R1493" s="233"/>
      <c r="S1493" s="234">
        <f>IF(C1493="",NA(),MATCH($B1493&amp;$C1493,'Smelter Reference List'!$J:$J,0))</f>
        <v>304</v>
      </c>
      <c r="T1493" s="235"/>
      <c r="U1493" s="235">
        <f t="shared" si="42"/>
        <v>0</v>
      </c>
      <c r="V1493" s="235"/>
      <c r="W1493" s="235"/>
      <c r="Y1493" s="228" t="str">
        <f t="shared" si="43"/>
        <v>TinAlpha</v>
      </c>
    </row>
    <row r="1494" spans="1:25" s="228" customFormat="1" ht="20.25">
      <c r="A1494" s="161" t="s">
        <v>1365</v>
      </c>
      <c r="B1494" s="408" t="s">
        <v>2324</v>
      </c>
      <c r="C1494" s="297" t="str">
        <f>IF(LEN(A1494)=0,"",INDEX('[2]Smelter Reference List'!$C$1:$C$65536,MATCH($A1494,'[2]Smelter Reference List'!$E$1:$E$65536,0)))</f>
        <v>Cooperativa Metalurgica de Rondônia Ltda.</v>
      </c>
      <c r="D1494" s="161" t="s">
        <v>3450</v>
      </c>
      <c r="E1494" s="161" t="s">
        <v>2170</v>
      </c>
      <c r="F1494" s="161" t="s">
        <v>1365</v>
      </c>
      <c r="G1494" s="161" t="s">
        <v>3125</v>
      </c>
      <c r="H1494" s="247">
        <v>0</v>
      </c>
      <c r="I1494" s="248" t="s">
        <v>3451</v>
      </c>
      <c r="J1494" s="248" t="s">
        <v>3452</v>
      </c>
      <c r="K1494" s="245"/>
      <c r="L1494" s="245"/>
      <c r="M1494" s="245"/>
      <c r="N1494" s="245"/>
      <c r="O1494" s="245"/>
      <c r="P1494" s="245"/>
      <c r="Q1494" s="246"/>
      <c r="R1494" s="233"/>
      <c r="S1494" s="234">
        <f>IF(C1494="",NA(),MATCH($B1494&amp;$C1494,'Smelter Reference List'!$J:$J,0))</f>
        <v>326</v>
      </c>
      <c r="T1494" s="235"/>
      <c r="U1494" s="235">
        <f t="shared" si="42"/>
        <v>0</v>
      </c>
      <c r="V1494" s="235"/>
      <c r="W1494" s="235"/>
      <c r="Y1494" s="228" t="str">
        <f t="shared" si="43"/>
        <v>TinCooperativa Metalurgica de Rondônia Ltda.</v>
      </c>
    </row>
    <row r="1495" spans="1:25" s="228" customFormat="1" ht="20.25">
      <c r="A1495" s="161" t="s">
        <v>1366</v>
      </c>
      <c r="B1495" s="408" t="s">
        <v>2324</v>
      </c>
      <c r="C1495" s="297" t="str">
        <f>IF(LEN(A1495)=0,"",INDEX('[2]Smelter Reference List'!$C$1:$C$65536,MATCH($A1495,'[2]Smelter Reference List'!$E$1:$E$65536,0)))</f>
        <v>CV Serumpun Sebalai</v>
      </c>
      <c r="D1495" s="161" t="s">
        <v>1504</v>
      </c>
      <c r="E1495" s="161" t="s">
        <v>2238</v>
      </c>
      <c r="F1495" s="161" t="s">
        <v>1366</v>
      </c>
      <c r="G1495" s="161" t="s">
        <v>3125</v>
      </c>
      <c r="H1495" s="247">
        <v>0</v>
      </c>
      <c r="I1495" s="248" t="s">
        <v>3456</v>
      </c>
      <c r="J1495" s="248" t="s">
        <v>3454</v>
      </c>
      <c r="K1495" s="245"/>
      <c r="L1495" s="245"/>
      <c r="M1495" s="245"/>
      <c r="N1495" s="245"/>
      <c r="O1495" s="245"/>
      <c r="P1495" s="245"/>
      <c r="Q1495" s="246"/>
      <c r="R1495" s="233"/>
      <c r="S1495" s="234">
        <f>IF(C1495="",NA(),MATCH($B1495&amp;$C1495,'Smelter Reference List'!$J:$J,0))</f>
        <v>333</v>
      </c>
      <c r="T1495" s="235"/>
      <c r="U1495" s="235">
        <f t="shared" si="42"/>
        <v>0</v>
      </c>
      <c r="V1495" s="235"/>
      <c r="W1495" s="235"/>
      <c r="Y1495" s="228" t="str">
        <f t="shared" si="43"/>
        <v>TinCV Serumpun Sebalai</v>
      </c>
    </row>
    <row r="1496" spans="1:25" s="228" customFormat="1" ht="20.25">
      <c r="A1496" s="161" t="s">
        <v>1367</v>
      </c>
      <c r="B1496" s="408" t="s">
        <v>2324</v>
      </c>
      <c r="C1496" s="297" t="str">
        <f>IF(LEN(A1496)=0,"",INDEX('[2]Smelter Reference List'!$C$1:$C$65536,MATCH($A1496,'[2]Smelter Reference List'!$E$1:$E$65536,0)))</f>
        <v>CV United Smelting</v>
      </c>
      <c r="D1496" s="161" t="s">
        <v>1505</v>
      </c>
      <c r="E1496" s="161" t="s">
        <v>2238</v>
      </c>
      <c r="F1496" s="161" t="s">
        <v>1367</v>
      </c>
      <c r="G1496" s="161" t="s">
        <v>3125</v>
      </c>
      <c r="H1496" s="247">
        <v>0</v>
      </c>
      <c r="I1496" s="248" t="s">
        <v>3457</v>
      </c>
      <c r="J1496" s="248" t="s">
        <v>3454</v>
      </c>
      <c r="K1496" s="245"/>
      <c r="L1496" s="245"/>
      <c r="M1496" s="245"/>
      <c r="N1496" s="245"/>
      <c r="O1496" s="245"/>
      <c r="P1496" s="245"/>
      <c r="Q1496" s="246"/>
      <c r="R1496" s="233"/>
      <c r="S1496" s="234">
        <f>IF(C1496="",NA(),MATCH($B1496&amp;$C1496,'Smelter Reference List'!$J:$J,0))</f>
        <v>335</v>
      </c>
      <c r="T1496" s="235"/>
      <c r="U1496" s="235">
        <f t="shared" si="42"/>
        <v>0</v>
      </c>
      <c r="V1496" s="235"/>
      <c r="W1496" s="235"/>
      <c r="Y1496" s="228" t="str">
        <f t="shared" si="43"/>
        <v>TinCV United Smelting</v>
      </c>
    </row>
    <row r="1497" spans="1:25" s="228" customFormat="1" ht="20.25">
      <c r="A1497" s="161" t="s">
        <v>1368</v>
      </c>
      <c r="B1497" s="408" t="s">
        <v>2324</v>
      </c>
      <c r="C1497" s="297" t="str">
        <f>IF(LEN(A1497)=0,"",INDEX('[2]Smelter Reference List'!$C$1:$C$65536,MATCH($A1497,'[2]Smelter Reference List'!$E$1:$E$65536,0)))</f>
        <v>EM Vinto</v>
      </c>
      <c r="D1497" s="161" t="s">
        <v>1506</v>
      </c>
      <c r="E1497" s="161" t="s">
        <v>2169</v>
      </c>
      <c r="F1497" s="161" t="s">
        <v>1368</v>
      </c>
      <c r="G1497" s="161" t="s">
        <v>3125</v>
      </c>
      <c r="H1497" s="247">
        <v>0</v>
      </c>
      <c r="I1497" s="248" t="s">
        <v>3459</v>
      </c>
      <c r="J1497" s="248" t="s">
        <v>3460</v>
      </c>
      <c r="K1497" s="245"/>
      <c r="L1497" s="245"/>
      <c r="M1497" s="245"/>
      <c r="N1497" s="245"/>
      <c r="O1497" s="245"/>
      <c r="P1497" s="245"/>
      <c r="Q1497" s="246"/>
      <c r="R1497" s="233"/>
      <c r="S1497" s="234">
        <f>IF(C1497="",NA(),MATCH($B1497&amp;$C1497,'Smelter Reference List'!$J:$J,0))</f>
        <v>341</v>
      </c>
      <c r="T1497" s="235"/>
      <c r="U1497" s="235">
        <f t="shared" si="42"/>
        <v>0</v>
      </c>
      <c r="V1497" s="235"/>
      <c r="W1497" s="235"/>
      <c r="Y1497" s="228" t="str">
        <f t="shared" si="43"/>
        <v>TinEM Vinto</v>
      </c>
    </row>
    <row r="1498" spans="1:25" s="228" customFormat="1" ht="20.25">
      <c r="A1498" s="161" t="s">
        <v>1371</v>
      </c>
      <c r="B1498" s="408" t="s">
        <v>2324</v>
      </c>
      <c r="C1498" s="297" t="str">
        <f>IF(LEN(A1498)=0,"",INDEX('[2]Smelter Reference List'!$C$1:$C$65536,MATCH($A1498,'[2]Smelter Reference List'!$E$1:$E$65536,0)))</f>
        <v>Fenix Metals</v>
      </c>
      <c r="D1498" s="161" t="s">
        <v>1462</v>
      </c>
      <c r="E1498" s="161" t="s">
        <v>1708</v>
      </c>
      <c r="F1498" s="161" t="s">
        <v>1371</v>
      </c>
      <c r="G1498" s="161" t="s">
        <v>3125</v>
      </c>
      <c r="H1498" s="247">
        <v>0</v>
      </c>
      <c r="I1498" s="248" t="s">
        <v>3466</v>
      </c>
      <c r="J1498" s="248" t="s">
        <v>3467</v>
      </c>
      <c r="K1498" s="245"/>
      <c r="L1498" s="245"/>
      <c r="M1498" s="245"/>
      <c r="N1498" s="245"/>
      <c r="O1498" s="245"/>
      <c r="P1498" s="245"/>
      <c r="Q1498" s="246"/>
      <c r="R1498" s="233"/>
      <c r="S1498" s="234">
        <f>IF(C1498="",NA(),MATCH($B1498&amp;$C1498,'Smelter Reference List'!$J:$J,0))</f>
        <v>347</v>
      </c>
      <c r="T1498" s="235"/>
      <c r="U1498" s="235">
        <f t="shared" si="42"/>
        <v>0</v>
      </c>
      <c r="V1498" s="235"/>
      <c r="W1498" s="235"/>
      <c r="Y1498" s="228" t="str">
        <f t="shared" si="43"/>
        <v>TinFenix Metals</v>
      </c>
    </row>
    <row r="1499" spans="1:25" s="228" customFormat="1" ht="20.25">
      <c r="A1499" s="161" t="s">
        <v>1372</v>
      </c>
      <c r="B1499" s="408" t="s">
        <v>2324</v>
      </c>
      <c r="C1499" s="297" t="str">
        <f>IF(LEN(A1499)=0,"",INDEX('[2]Smelter Reference List'!$C$1:$C$65536,MATCH($A1499,'[2]Smelter Reference List'!$E$1:$E$65536,0)))</f>
        <v>Gejiu Non-Ferrous Metal Processing Co., Ltd.</v>
      </c>
      <c r="D1499" s="161" t="s">
        <v>4152</v>
      </c>
      <c r="E1499" s="161" t="s">
        <v>2181</v>
      </c>
      <c r="F1499" s="161" t="s">
        <v>1372</v>
      </c>
      <c r="G1499" s="161" t="s">
        <v>3125</v>
      </c>
      <c r="H1499" s="247">
        <v>0</v>
      </c>
      <c r="I1499" s="248" t="s">
        <v>3468</v>
      </c>
      <c r="J1499" s="248" t="s">
        <v>3161</v>
      </c>
      <c r="K1499" s="245"/>
      <c r="L1499" s="245"/>
      <c r="M1499" s="245"/>
      <c r="N1499" s="245"/>
      <c r="O1499" s="245"/>
      <c r="P1499" s="245"/>
      <c r="Q1499" s="246"/>
      <c r="R1499" s="233"/>
      <c r="S1499" s="234">
        <f>IF(C1499="",NA(),MATCH($B1499&amp;$C1499,'Smelter Reference List'!$J:$J,0))</f>
        <v>353</v>
      </c>
      <c r="T1499" s="235"/>
      <c r="U1499" s="235">
        <f t="shared" si="42"/>
        <v>0</v>
      </c>
      <c r="V1499" s="235"/>
      <c r="W1499" s="235"/>
      <c r="Y1499" s="228" t="str">
        <f t="shared" si="43"/>
        <v>TinGejiu Non-Ferrous Metal Processing Co., Ltd.</v>
      </c>
    </row>
    <row r="1500" spans="1:25" s="228" customFormat="1" ht="20.25">
      <c r="A1500" s="161" t="s">
        <v>1377</v>
      </c>
      <c r="B1500" s="408" t="s">
        <v>2324</v>
      </c>
      <c r="C1500" s="297" t="str">
        <f>IF(LEN(A1500)=0,"",INDEX('[2]Smelter Reference List'!$C$1:$C$65536,MATCH($A1500,'[2]Smelter Reference List'!$E$1:$E$65536,0)))</f>
        <v>China Tin Group Co., Ltd.</v>
      </c>
      <c r="D1500" s="161" t="s">
        <v>2578</v>
      </c>
      <c r="E1500" s="161" t="s">
        <v>2181</v>
      </c>
      <c r="F1500" s="161" t="s">
        <v>1377</v>
      </c>
      <c r="G1500" s="161" t="s">
        <v>3125</v>
      </c>
      <c r="H1500" s="247">
        <v>0</v>
      </c>
      <c r="I1500" s="248" t="s">
        <v>3476</v>
      </c>
      <c r="J1500" s="248" t="s">
        <v>3442</v>
      </c>
      <c r="K1500" s="245"/>
      <c r="L1500" s="245"/>
      <c r="M1500" s="245"/>
      <c r="N1500" s="245"/>
      <c r="O1500" s="245"/>
      <c r="P1500" s="245"/>
      <c r="Q1500" s="246"/>
      <c r="R1500" s="233"/>
      <c r="S1500" s="234">
        <f>IF(C1500="",NA(),MATCH($B1500&amp;$C1500,'Smelter Reference List'!$J:$J,0))</f>
        <v>318</v>
      </c>
      <c r="T1500" s="235"/>
      <c r="U1500" s="235">
        <f t="shared" si="42"/>
        <v>0</v>
      </c>
      <c r="V1500" s="235"/>
      <c r="W1500" s="235"/>
      <c r="Y1500" s="228" t="str">
        <f t="shared" si="43"/>
        <v>TinChina Tin Group Co., Ltd.</v>
      </c>
    </row>
    <row r="1501" spans="1:25" s="228" customFormat="1" ht="20.25">
      <c r="A1501" s="161" t="s">
        <v>1378</v>
      </c>
      <c r="B1501" s="408" t="s">
        <v>2324</v>
      </c>
      <c r="C1501" s="297" t="str">
        <f>IF(LEN(A1501)=0,"",INDEX('[2]Smelter Reference List'!$C$1:$C$65536,MATCH($A1501,'[2]Smelter Reference List'!$E$1:$E$65536,0)))</f>
        <v>Malaysia Smelting Corporation (MSC)</v>
      </c>
      <c r="D1501" s="161" t="s">
        <v>1471</v>
      </c>
      <c r="E1501" s="161" t="s">
        <v>2289</v>
      </c>
      <c r="F1501" s="161" t="s">
        <v>1378</v>
      </c>
      <c r="G1501" s="161" t="s">
        <v>3125</v>
      </c>
      <c r="H1501" s="247">
        <v>0</v>
      </c>
      <c r="I1501" s="248" t="s">
        <v>3481</v>
      </c>
      <c r="J1501" s="248" t="s">
        <v>3482</v>
      </c>
      <c r="K1501" s="245"/>
      <c r="L1501" s="245"/>
      <c r="M1501" s="245"/>
      <c r="N1501" s="245"/>
      <c r="O1501" s="245"/>
      <c r="P1501" s="245"/>
      <c r="Q1501" s="246"/>
      <c r="R1501" s="233"/>
      <c r="S1501" s="234">
        <f>IF(C1501="",NA(),MATCH($B1501&amp;$C1501,'Smelter Reference List'!$J:$J,0))</f>
        <v>377</v>
      </c>
      <c r="T1501" s="235"/>
      <c r="U1501" s="235">
        <f t="shared" si="42"/>
        <v>0</v>
      </c>
      <c r="V1501" s="235"/>
      <c r="W1501" s="235"/>
      <c r="Y1501" s="228" t="str">
        <f t="shared" si="43"/>
        <v>TinMalaysia Smelting Corporation (MSC)</v>
      </c>
    </row>
    <row r="1502" spans="1:25" s="228" customFormat="1" ht="20.25">
      <c r="A1502" s="161"/>
      <c r="B1502" s="408" t="s">
        <v>2324</v>
      </c>
      <c r="C1502" s="297" t="s">
        <v>3604</v>
      </c>
      <c r="D1502" s="228" t="s">
        <v>5676</v>
      </c>
      <c r="E1502" s="228" t="s">
        <v>2158</v>
      </c>
      <c r="F1502" s="161">
        <v>0</v>
      </c>
      <c r="G1502" s="228" t="s">
        <v>5584</v>
      </c>
      <c r="H1502" s="247">
        <v>0</v>
      </c>
      <c r="I1502" s="248">
        <v>0</v>
      </c>
      <c r="J1502" s="248">
        <v>0</v>
      </c>
      <c r="K1502" s="245"/>
      <c r="L1502" s="245"/>
      <c r="M1502" s="245"/>
      <c r="N1502" s="245"/>
      <c r="O1502" s="245"/>
      <c r="P1502" s="245"/>
      <c r="Q1502" s="246"/>
      <c r="R1502" s="233"/>
      <c r="S1502" s="234">
        <f>IF(C1502="",NA(),MATCH($B1502&amp;$C1502,'Smelter Reference List'!$J:$J,0))</f>
        <v>467</v>
      </c>
      <c r="T1502" s="235"/>
      <c r="U1502" s="235">
        <f t="shared" si="42"/>
        <v>0</v>
      </c>
      <c r="V1502" s="235"/>
      <c r="W1502" s="235"/>
      <c r="Y1502" s="228" t="str">
        <f t="shared" si="43"/>
        <v>TinSmelter not listed</v>
      </c>
    </row>
    <row r="1503" spans="1:25" s="228" customFormat="1" ht="20.25">
      <c r="A1503" s="161" t="s">
        <v>1380</v>
      </c>
      <c r="B1503" s="408" t="s">
        <v>2324</v>
      </c>
      <c r="C1503" s="297" t="str">
        <f>IF(LEN(A1503)=0,"",INDEX('[2]Smelter Reference List'!$C$1:$C$65536,MATCH($A1503,'[2]Smelter Reference List'!$E$1:$E$65536,0)))</f>
        <v>Minsur</v>
      </c>
      <c r="D1503" s="161" t="s">
        <v>1954</v>
      </c>
      <c r="E1503" s="161" t="s">
        <v>1704</v>
      </c>
      <c r="F1503" s="161" t="s">
        <v>1380</v>
      </c>
      <c r="G1503" s="161" t="s">
        <v>3125</v>
      </c>
      <c r="H1503" s="247">
        <v>0</v>
      </c>
      <c r="I1503" s="248" t="s">
        <v>3487</v>
      </c>
      <c r="J1503" s="248" t="s">
        <v>3488</v>
      </c>
      <c r="K1503" s="245"/>
      <c r="L1503" s="245"/>
      <c r="M1503" s="245"/>
      <c r="N1503" s="245"/>
      <c r="O1503" s="245"/>
      <c r="P1503" s="245"/>
      <c r="Q1503" s="246"/>
      <c r="R1503" s="233"/>
      <c r="S1503" s="234">
        <f>IF(C1503="",NA(),MATCH($B1503&amp;$C1503,'Smelter Reference List'!$J:$J,0))</f>
        <v>384</v>
      </c>
      <c r="T1503" s="235"/>
      <c r="U1503" s="235">
        <f t="shared" si="42"/>
        <v>0</v>
      </c>
      <c r="V1503" s="235"/>
      <c r="W1503" s="235"/>
      <c r="Y1503" s="228" t="str">
        <f t="shared" si="43"/>
        <v>TinMinsur</v>
      </c>
    </row>
    <row r="1504" spans="1:25" s="228" customFormat="1" ht="20.25">
      <c r="A1504" s="161" t="s">
        <v>1381</v>
      </c>
      <c r="B1504" s="408" t="s">
        <v>2324</v>
      </c>
      <c r="C1504" s="297" t="str">
        <f>IF(LEN(A1504)=0,"",INDEX('[2]Smelter Reference List'!$C$1:$C$65536,MATCH($A1504,'[2]Smelter Reference List'!$E$1:$E$65536,0)))</f>
        <v>Mitsubishi Materials Corporation</v>
      </c>
      <c r="D1504" s="161" t="s">
        <v>2371</v>
      </c>
      <c r="E1504" s="161" t="s">
        <v>2249</v>
      </c>
      <c r="F1504" s="161" t="s">
        <v>1381</v>
      </c>
      <c r="G1504" s="161" t="s">
        <v>3125</v>
      </c>
      <c r="H1504" s="247">
        <v>0</v>
      </c>
      <c r="I1504" s="248" t="s">
        <v>3490</v>
      </c>
      <c r="J1504" s="248" t="s">
        <v>3140</v>
      </c>
      <c r="K1504" s="245"/>
      <c r="L1504" s="245"/>
      <c r="M1504" s="245"/>
      <c r="N1504" s="245"/>
      <c r="O1504" s="245"/>
      <c r="P1504" s="245"/>
      <c r="Q1504" s="246"/>
      <c r="R1504" s="233"/>
      <c r="S1504" s="234">
        <f>IF(C1504="",NA(),MATCH($B1504&amp;$C1504,'Smelter Reference List'!$J:$J,0))</f>
        <v>385</v>
      </c>
      <c r="T1504" s="235"/>
      <c r="U1504" s="235">
        <f t="shared" si="42"/>
        <v>0</v>
      </c>
      <c r="V1504" s="235"/>
      <c r="W1504" s="235"/>
      <c r="Y1504" s="228" t="str">
        <f t="shared" si="43"/>
        <v>TinMitsubishi Materials Corporation</v>
      </c>
    </row>
    <row r="1505" spans="1:25" s="228" customFormat="1" ht="20.25">
      <c r="A1505" s="161" t="s">
        <v>1384</v>
      </c>
      <c r="B1505" s="408" t="s">
        <v>2324</v>
      </c>
      <c r="C1505" s="297" t="str">
        <f>IF(LEN(A1505)=0,"",INDEX('[2]Smelter Reference List'!$C$1:$C$65536,MATCH($A1505,'[2]Smelter Reference List'!$E$1:$E$65536,0)))</f>
        <v>Operaciones Metalurgical S.A.</v>
      </c>
      <c r="D1505" s="161" t="s">
        <v>3494</v>
      </c>
      <c r="E1505" s="161" t="s">
        <v>2169</v>
      </c>
      <c r="F1505" s="161" t="s">
        <v>1384</v>
      </c>
      <c r="G1505" s="161" t="s">
        <v>3125</v>
      </c>
      <c r="H1505" s="247">
        <v>0</v>
      </c>
      <c r="I1505" s="248" t="s">
        <v>3459</v>
      </c>
      <c r="J1505" s="248" t="s">
        <v>3460</v>
      </c>
      <c r="K1505" s="245"/>
      <c r="L1505" s="245"/>
      <c r="M1505" s="245"/>
      <c r="N1505" s="245"/>
      <c r="O1505" s="245"/>
      <c r="P1505" s="245"/>
      <c r="Q1505" s="246"/>
      <c r="R1505" s="233"/>
      <c r="S1505" s="234">
        <f>IF(C1505="",NA(),MATCH($B1505&amp;$C1505,'Smelter Reference List'!$J:$J,0))</f>
        <v>394</v>
      </c>
      <c r="T1505" s="235"/>
      <c r="U1505" s="235">
        <f t="shared" si="42"/>
        <v>0</v>
      </c>
      <c r="V1505" s="235"/>
      <c r="W1505" s="235"/>
      <c r="Y1505" s="228" t="str">
        <f t="shared" si="43"/>
        <v>TinOperaciones Metalurgical S.A.</v>
      </c>
    </row>
    <row r="1506" spans="1:25" s="228" customFormat="1" ht="20.25">
      <c r="A1506" s="161"/>
      <c r="B1506" s="408" t="s">
        <v>2324</v>
      </c>
      <c r="C1506" s="297" t="s">
        <v>3604</v>
      </c>
      <c r="D1506" s="228" t="s">
        <v>5698</v>
      </c>
      <c r="E1506" s="228" t="s">
        <v>2238</v>
      </c>
      <c r="F1506" s="161">
        <v>0</v>
      </c>
      <c r="G1506" s="228" t="s">
        <v>5584</v>
      </c>
      <c r="H1506" s="247">
        <v>0</v>
      </c>
      <c r="I1506" s="248">
        <v>0</v>
      </c>
      <c r="J1506" s="248">
        <v>0</v>
      </c>
      <c r="K1506" s="245"/>
      <c r="L1506" s="245"/>
      <c r="M1506" s="245"/>
      <c r="N1506" s="245"/>
      <c r="O1506" s="245"/>
      <c r="P1506" s="245"/>
      <c r="Q1506" s="246"/>
      <c r="R1506" s="233"/>
      <c r="S1506" s="234">
        <f>IF(C1506="",NA(),MATCH($B1506&amp;$C1506,'Smelter Reference List'!$J:$J,0))</f>
        <v>467</v>
      </c>
      <c r="T1506" s="235"/>
      <c r="U1506" s="235">
        <f t="shared" si="42"/>
        <v>0</v>
      </c>
      <c r="V1506" s="235"/>
      <c r="W1506" s="235"/>
      <c r="Y1506" s="228" t="str">
        <f t="shared" si="43"/>
        <v>TinSmelter not listed</v>
      </c>
    </row>
    <row r="1507" spans="1:25" s="228" customFormat="1" ht="20.25">
      <c r="A1507" s="161" t="s">
        <v>1387</v>
      </c>
      <c r="B1507" s="408" t="s">
        <v>2324</v>
      </c>
      <c r="C1507" s="297" t="str">
        <f>IF(LEN(A1507)=0,"",INDEX('[2]Smelter Reference List'!$C$1:$C$65536,MATCH($A1507,'[2]Smelter Reference List'!$E$1:$E$65536,0)))</f>
        <v>PT Bangka Tin Industry</v>
      </c>
      <c r="D1507" s="161" t="s">
        <v>1173</v>
      </c>
      <c r="E1507" s="161" t="s">
        <v>2238</v>
      </c>
      <c r="F1507" s="161" t="s">
        <v>1387</v>
      </c>
      <c r="G1507" s="161" t="s">
        <v>3125</v>
      </c>
      <c r="H1507" s="247">
        <v>0</v>
      </c>
      <c r="I1507" s="248" t="s">
        <v>3453</v>
      </c>
      <c r="J1507" s="248" t="s">
        <v>3454</v>
      </c>
      <c r="K1507" s="245"/>
      <c r="L1507" s="245"/>
      <c r="M1507" s="245"/>
      <c r="N1507" s="245"/>
      <c r="O1507" s="245"/>
      <c r="P1507" s="245"/>
      <c r="Q1507" s="246"/>
      <c r="R1507" s="233"/>
      <c r="S1507" s="234">
        <f>IF(C1507="",NA(),MATCH($B1507&amp;$C1507,'Smelter Reference List'!$J:$J,0))</f>
        <v>405</v>
      </c>
      <c r="T1507" s="235"/>
      <c r="U1507" s="235">
        <f t="shared" si="42"/>
        <v>0</v>
      </c>
      <c r="V1507" s="235"/>
      <c r="W1507" s="235"/>
      <c r="Y1507" s="228" t="str">
        <f t="shared" si="43"/>
        <v>TinPT Bangka Tin Industry</v>
      </c>
    </row>
    <row r="1508" spans="1:25" s="228" customFormat="1" ht="20.25">
      <c r="A1508" s="161" t="s">
        <v>1388</v>
      </c>
      <c r="B1508" s="408" t="s">
        <v>2324</v>
      </c>
      <c r="C1508" s="297" t="str">
        <f>IF(LEN(A1508)=0,"",INDEX('[2]Smelter Reference List'!$C$1:$C$65536,MATCH($A1508,'[2]Smelter Reference List'!$E$1:$E$65536,0)))</f>
        <v>PT Belitung Industri Sejahtera</v>
      </c>
      <c r="D1508" s="161" t="s">
        <v>1193</v>
      </c>
      <c r="E1508" s="161" t="s">
        <v>2238</v>
      </c>
      <c r="F1508" s="161" t="s">
        <v>1388</v>
      </c>
      <c r="G1508" s="161" t="s">
        <v>3125</v>
      </c>
      <c r="H1508" s="247">
        <v>0</v>
      </c>
      <c r="I1508" s="248" t="s">
        <v>3496</v>
      </c>
      <c r="J1508" s="248" t="s">
        <v>3454</v>
      </c>
      <c r="K1508" s="245"/>
      <c r="L1508" s="245"/>
      <c r="M1508" s="245"/>
      <c r="N1508" s="245"/>
      <c r="O1508" s="245"/>
      <c r="P1508" s="245"/>
      <c r="Q1508" s="246"/>
      <c r="R1508" s="233"/>
      <c r="S1508" s="234">
        <f>IF(C1508="",NA(),MATCH($B1508&amp;$C1508,'Smelter Reference List'!$J:$J,0))</f>
        <v>406</v>
      </c>
      <c r="T1508" s="235"/>
      <c r="U1508" s="235">
        <f t="shared" si="42"/>
        <v>0</v>
      </c>
      <c r="V1508" s="235"/>
      <c r="W1508" s="235"/>
      <c r="Y1508" s="228" t="str">
        <f t="shared" si="43"/>
        <v>TinPT Belitung Industri Sejahtera</v>
      </c>
    </row>
    <row r="1509" spans="1:25" s="228" customFormat="1" ht="20.25">
      <c r="A1509" s="161" t="s">
        <v>1389</v>
      </c>
      <c r="B1509" s="408" t="s">
        <v>2324</v>
      </c>
      <c r="C1509" s="297" t="str">
        <f>IF(LEN(A1509)=0,"",INDEX('[2]Smelter Reference List'!$C$1:$C$65536,MATCH($A1509,'[2]Smelter Reference List'!$E$1:$E$65536,0)))</f>
        <v>PT Bukit Timah</v>
      </c>
      <c r="D1509" s="161" t="s">
        <v>1194</v>
      </c>
      <c r="E1509" s="161" t="s">
        <v>2238</v>
      </c>
      <c r="F1509" s="161" t="s">
        <v>1389</v>
      </c>
      <c r="G1509" s="161" t="s">
        <v>3125</v>
      </c>
      <c r="H1509" s="247">
        <v>0</v>
      </c>
      <c r="I1509" s="248" t="s">
        <v>3457</v>
      </c>
      <c r="J1509" s="248" t="s">
        <v>3454</v>
      </c>
      <c r="K1509" s="245"/>
      <c r="L1509" s="245"/>
      <c r="M1509" s="245"/>
      <c r="N1509" s="245"/>
      <c r="O1509" s="245"/>
      <c r="P1509" s="245"/>
      <c r="Q1509" s="246"/>
      <c r="R1509" s="233"/>
      <c r="S1509" s="234">
        <f>IF(C1509="",NA(),MATCH($B1509&amp;$C1509,'Smelter Reference List'!$J:$J,0))</f>
        <v>408</v>
      </c>
      <c r="T1509" s="235"/>
      <c r="U1509" s="235">
        <f t="shared" si="42"/>
        <v>0</v>
      </c>
      <c r="V1509" s="235"/>
      <c r="W1509" s="235"/>
      <c r="Y1509" s="228" t="str">
        <f t="shared" si="43"/>
        <v>TinPT Bukit Timah</v>
      </c>
    </row>
    <row r="1510" spans="1:25" s="228" customFormat="1" ht="20.25">
      <c r="A1510" s="161" t="s">
        <v>1390</v>
      </c>
      <c r="B1510" s="408" t="s">
        <v>2324</v>
      </c>
      <c r="C1510" s="297" t="str">
        <f>IF(LEN(A1510)=0,"",INDEX('[2]Smelter Reference List'!$C$1:$C$65536,MATCH($A1510,'[2]Smelter Reference List'!$E$1:$E$65536,0)))</f>
        <v>PT DS Jaya Abadi</v>
      </c>
      <c r="D1510" s="161" t="s">
        <v>1174</v>
      </c>
      <c r="E1510" s="161" t="s">
        <v>2238</v>
      </c>
      <c r="F1510" s="161" t="s">
        <v>1390</v>
      </c>
      <c r="G1510" s="161" t="s">
        <v>3125</v>
      </c>
      <c r="H1510" s="247">
        <v>0</v>
      </c>
      <c r="I1510" s="248" t="s">
        <v>3457</v>
      </c>
      <c r="J1510" s="248" t="s">
        <v>3454</v>
      </c>
      <c r="K1510" s="245"/>
      <c r="L1510" s="245"/>
      <c r="M1510" s="245"/>
      <c r="N1510" s="245"/>
      <c r="O1510" s="245"/>
      <c r="P1510" s="245"/>
      <c r="Q1510" s="246"/>
      <c r="R1510" s="233"/>
      <c r="S1510" s="234">
        <f>IF(C1510="",NA(),MATCH($B1510&amp;$C1510,'Smelter Reference List'!$J:$J,0))</f>
        <v>410</v>
      </c>
      <c r="T1510" s="235"/>
      <c r="U1510" s="235">
        <f t="shared" si="42"/>
        <v>0</v>
      </c>
      <c r="V1510" s="235"/>
      <c r="W1510" s="235"/>
      <c r="Y1510" s="228" t="str">
        <f t="shared" si="43"/>
        <v>TinPT DS Jaya Abadi</v>
      </c>
    </row>
    <row r="1511" spans="1:25" s="228" customFormat="1" ht="20.25">
      <c r="A1511" s="161" t="s">
        <v>1391</v>
      </c>
      <c r="B1511" s="408" t="s">
        <v>2324</v>
      </c>
      <c r="C1511" s="297" t="str">
        <f>IF(LEN(A1511)=0,"",INDEX('[2]Smelter Reference List'!$C$1:$C$65536,MATCH($A1511,'[2]Smelter Reference List'!$E$1:$E$65536,0)))</f>
        <v>PT Eunindo Usaha Mandiri</v>
      </c>
      <c r="D1511" s="161" t="s">
        <v>1195</v>
      </c>
      <c r="E1511" s="161" t="s">
        <v>2238</v>
      </c>
      <c r="F1511" s="161" t="s">
        <v>1391</v>
      </c>
      <c r="G1511" s="161" t="s">
        <v>3125</v>
      </c>
      <c r="H1511" s="247">
        <v>0</v>
      </c>
      <c r="I1511" s="248" t="s">
        <v>3500</v>
      </c>
      <c r="J1511" s="248" t="s">
        <v>3499</v>
      </c>
      <c r="K1511" s="245"/>
      <c r="L1511" s="245"/>
      <c r="M1511" s="245"/>
      <c r="N1511" s="245"/>
      <c r="O1511" s="245"/>
      <c r="P1511" s="245"/>
      <c r="Q1511" s="246"/>
      <c r="R1511" s="233"/>
      <c r="S1511" s="234">
        <f>IF(C1511="",NA(),MATCH($B1511&amp;$C1511,'Smelter Reference List'!$J:$J,0))</f>
        <v>411</v>
      </c>
      <c r="T1511" s="235"/>
      <c r="U1511" s="235">
        <f t="shared" si="42"/>
        <v>0</v>
      </c>
      <c r="V1511" s="235"/>
      <c r="W1511" s="235"/>
      <c r="Y1511" s="228" t="str">
        <f t="shared" si="43"/>
        <v>TinPT Eunindo Usaha Mandiri</v>
      </c>
    </row>
    <row r="1512" spans="1:25" s="228" customFormat="1" ht="20.25">
      <c r="A1512" s="161"/>
      <c r="B1512" s="408" t="s">
        <v>2324</v>
      </c>
      <c r="C1512" s="297" t="s">
        <v>3604</v>
      </c>
      <c r="D1512" s="228" t="s">
        <v>5903</v>
      </c>
      <c r="E1512" s="228" t="s">
        <v>2238</v>
      </c>
      <c r="F1512" s="161">
        <v>0</v>
      </c>
      <c r="G1512" s="228" t="s">
        <v>5584</v>
      </c>
      <c r="H1512" s="247">
        <v>0</v>
      </c>
      <c r="I1512" s="248">
        <v>0</v>
      </c>
      <c r="J1512" s="248">
        <v>0</v>
      </c>
      <c r="K1512" s="245"/>
      <c r="L1512" s="245"/>
      <c r="M1512" s="245"/>
      <c r="N1512" s="245"/>
      <c r="O1512" s="245"/>
      <c r="P1512" s="245"/>
      <c r="Q1512" s="246"/>
      <c r="R1512" s="233"/>
      <c r="S1512" s="234">
        <f>IF(C1512="",NA(),MATCH($B1512&amp;$C1512,'Smelter Reference List'!$J:$J,0))</f>
        <v>467</v>
      </c>
      <c r="T1512" s="235"/>
      <c r="U1512" s="235">
        <f t="shared" si="42"/>
        <v>0</v>
      </c>
      <c r="V1512" s="235"/>
      <c r="W1512" s="235"/>
      <c r="Y1512" s="228" t="str">
        <f t="shared" si="43"/>
        <v>TinSmelter not listed</v>
      </c>
    </row>
    <row r="1513" spans="1:25" s="228" customFormat="1" ht="20.25">
      <c r="A1513" s="161" t="s">
        <v>1393</v>
      </c>
      <c r="B1513" s="408" t="s">
        <v>2324</v>
      </c>
      <c r="C1513" s="297" t="str">
        <f>IF(LEN(A1513)=0,"",INDEX('[2]Smelter Reference List'!$C$1:$C$65536,MATCH($A1513,'[2]Smelter Reference List'!$E$1:$E$65536,0)))</f>
        <v>PT Mitra Stania Prima</v>
      </c>
      <c r="D1513" s="161" t="s">
        <v>1196</v>
      </c>
      <c r="E1513" s="161" t="s">
        <v>2238</v>
      </c>
      <c r="F1513" s="161" t="s">
        <v>1393</v>
      </c>
      <c r="G1513" s="161" t="s">
        <v>3125</v>
      </c>
      <c r="H1513" s="247">
        <v>0</v>
      </c>
      <c r="I1513" s="248" t="s">
        <v>3453</v>
      </c>
      <c r="J1513" s="248" t="s">
        <v>3454</v>
      </c>
      <c r="K1513" s="245"/>
      <c r="L1513" s="245"/>
      <c r="M1513" s="245"/>
      <c r="N1513" s="245"/>
      <c r="O1513" s="245"/>
      <c r="P1513" s="245"/>
      <c r="Q1513" s="246"/>
      <c r="R1513" s="233"/>
      <c r="S1513" s="234">
        <f>IF(C1513="",NA(),MATCH($B1513&amp;$C1513,'Smelter Reference List'!$J:$J,0))</f>
        <v>419</v>
      </c>
      <c r="T1513" s="235"/>
      <c r="U1513" s="235">
        <f t="shared" si="42"/>
        <v>0</v>
      </c>
      <c r="V1513" s="235"/>
      <c r="W1513" s="235"/>
      <c r="Y1513" s="228" t="str">
        <f t="shared" si="43"/>
        <v>TinPT Mitra Stania Prima</v>
      </c>
    </row>
    <row r="1514" spans="1:25" s="228" customFormat="1" ht="20.25">
      <c r="A1514" s="161" t="s">
        <v>1396</v>
      </c>
      <c r="B1514" s="408" t="s">
        <v>2324</v>
      </c>
      <c r="C1514" s="297" t="str">
        <f>IF(LEN(A1514)=0,"",INDEX('[2]Smelter Reference List'!$C$1:$C$65536,MATCH($A1514,'[2]Smelter Reference List'!$E$1:$E$65536,0)))</f>
        <v>PT Refined Bangka Tin</v>
      </c>
      <c r="D1514" s="161" t="s">
        <v>4169</v>
      </c>
      <c r="E1514" s="161" t="s">
        <v>2238</v>
      </c>
      <c r="F1514" s="161" t="s">
        <v>1396</v>
      </c>
      <c r="G1514" s="161" t="s">
        <v>3125</v>
      </c>
      <c r="H1514" s="247">
        <v>0</v>
      </c>
      <c r="I1514" s="248" t="s">
        <v>3453</v>
      </c>
      <c r="J1514" s="248" t="s">
        <v>3454</v>
      </c>
      <c r="K1514" s="245"/>
      <c r="L1514" s="245"/>
      <c r="M1514" s="245"/>
      <c r="N1514" s="245"/>
      <c r="O1514" s="245"/>
      <c r="P1514" s="245"/>
      <c r="Q1514" s="246"/>
      <c r="R1514" s="233"/>
      <c r="S1514" s="234">
        <f>IF(C1514="",NA(),MATCH($B1514&amp;$C1514,'Smelter Reference List'!$J:$J,0))</f>
        <v>424</v>
      </c>
      <c r="T1514" s="235"/>
      <c r="U1514" s="235">
        <f t="shared" si="42"/>
        <v>0</v>
      </c>
      <c r="V1514" s="235"/>
      <c r="W1514" s="235"/>
      <c r="Y1514" s="228" t="str">
        <f t="shared" si="43"/>
        <v>TinPT Refined Bangka Tin</v>
      </c>
    </row>
    <row r="1515" spans="1:25" s="228" customFormat="1" ht="20.25">
      <c r="A1515" s="161" t="s">
        <v>1398</v>
      </c>
      <c r="B1515" s="408" t="s">
        <v>2324</v>
      </c>
      <c r="C1515" s="297" t="str">
        <f>IF(LEN(A1515)=0,"",INDEX('[2]Smelter Reference List'!$C$1:$C$65536,MATCH($A1515,'[2]Smelter Reference List'!$E$1:$E$65536,0)))</f>
        <v>PT Stanindo Inti Perkasa</v>
      </c>
      <c r="D1515" s="161" t="s">
        <v>2369</v>
      </c>
      <c r="E1515" s="161" t="s">
        <v>2238</v>
      </c>
      <c r="F1515" s="161" t="s">
        <v>1398</v>
      </c>
      <c r="G1515" s="161" t="s">
        <v>3125</v>
      </c>
      <c r="H1515" s="247">
        <v>0</v>
      </c>
      <c r="I1515" s="248" t="s">
        <v>3457</v>
      </c>
      <c r="J1515" s="248" t="s">
        <v>3454</v>
      </c>
      <c r="K1515" s="245"/>
      <c r="L1515" s="245"/>
      <c r="M1515" s="245"/>
      <c r="N1515" s="245"/>
      <c r="O1515" s="245"/>
      <c r="P1515" s="245"/>
      <c r="Q1515" s="246"/>
      <c r="R1515" s="233"/>
      <c r="S1515" s="234">
        <f>IF(C1515="",NA(),MATCH($B1515&amp;$C1515,'Smelter Reference List'!$J:$J,0))</f>
        <v>427</v>
      </c>
      <c r="T1515" s="235"/>
      <c r="U1515" s="235">
        <f t="shared" si="42"/>
        <v>0</v>
      </c>
      <c r="V1515" s="235"/>
      <c r="W1515" s="235"/>
      <c r="Y1515" s="228" t="str">
        <f t="shared" si="43"/>
        <v>TinPT Stanindo Inti Perkasa</v>
      </c>
    </row>
    <row r="1516" spans="1:25" s="228" customFormat="1" ht="20.25">
      <c r="A1516" s="161" t="s">
        <v>1424</v>
      </c>
      <c r="B1516" s="408" t="s">
        <v>2324</v>
      </c>
      <c r="C1516" s="297" t="str">
        <f>IF(LEN(A1516)=0,"",INDEX('[2]Smelter Reference List'!$C$1:$C$65536,MATCH($A1516,'[2]Smelter Reference List'!$E$1:$E$65536,0)))</f>
        <v>PT Timah (Persero) Tbk Kundur</v>
      </c>
      <c r="D1516" s="161" t="s">
        <v>3503</v>
      </c>
      <c r="E1516" s="161" t="s">
        <v>2238</v>
      </c>
      <c r="F1516" s="161" t="s">
        <v>1424</v>
      </c>
      <c r="G1516" s="161" t="s">
        <v>3125</v>
      </c>
      <c r="H1516" s="247">
        <v>0</v>
      </c>
      <c r="I1516" s="248" t="s">
        <v>3504</v>
      </c>
      <c r="J1516" s="248" t="s">
        <v>3505</v>
      </c>
      <c r="K1516" s="245"/>
      <c r="L1516" s="245"/>
      <c r="M1516" s="245"/>
      <c r="N1516" s="245"/>
      <c r="O1516" s="245"/>
      <c r="P1516" s="245"/>
      <c r="Q1516" s="246"/>
      <c r="R1516" s="233"/>
      <c r="S1516" s="234">
        <f>IF(C1516="",NA(),MATCH($B1516&amp;$C1516,'Smelter Reference List'!$J:$J,0))</f>
        <v>431</v>
      </c>
      <c r="T1516" s="235"/>
      <c r="U1516" s="235">
        <f t="shared" si="42"/>
        <v>0</v>
      </c>
      <c r="V1516" s="235"/>
      <c r="W1516" s="235"/>
      <c r="Y1516" s="228" t="str">
        <f t="shared" si="43"/>
        <v>TinPT Timah (Persero) Tbk Kundur</v>
      </c>
    </row>
    <row r="1517" spans="1:25" s="228" customFormat="1" ht="20.25">
      <c r="A1517" s="161" t="s">
        <v>1399</v>
      </c>
      <c r="B1517" s="408" t="s">
        <v>2324</v>
      </c>
      <c r="C1517" s="297" t="str">
        <f>IF(LEN(A1517)=0,"",INDEX('[2]Smelter Reference List'!$C$1:$C$65536,MATCH($A1517,'[2]Smelter Reference List'!$E$1:$E$65536,0)))</f>
        <v>PT Timah (Persero) Tbk Mentok</v>
      </c>
      <c r="D1517" s="161" t="s">
        <v>4266</v>
      </c>
      <c r="E1517" s="161" t="s">
        <v>2238</v>
      </c>
      <c r="F1517" s="161" t="s">
        <v>1399</v>
      </c>
      <c r="G1517" s="161" t="s">
        <v>3125</v>
      </c>
      <c r="H1517" s="247">
        <v>0</v>
      </c>
      <c r="I1517" s="248" t="s">
        <v>3507</v>
      </c>
      <c r="J1517" s="248" t="s">
        <v>3454</v>
      </c>
      <c r="K1517" s="245"/>
      <c r="L1517" s="245"/>
      <c r="M1517" s="245"/>
      <c r="N1517" s="245"/>
      <c r="O1517" s="245"/>
      <c r="P1517" s="245"/>
      <c r="Q1517" s="246"/>
      <c r="R1517" s="233"/>
      <c r="S1517" s="234">
        <f>IF(C1517="",NA(),MATCH($B1517&amp;$C1517,'Smelter Reference List'!$J:$J,0))</f>
        <v>432</v>
      </c>
      <c r="T1517" s="235"/>
      <c r="U1517" s="235">
        <f t="shared" si="42"/>
        <v>0</v>
      </c>
      <c r="V1517" s="235"/>
      <c r="W1517" s="235"/>
      <c r="Y1517" s="228" t="str">
        <f t="shared" si="43"/>
        <v>TinPT Timah (Persero) Tbk Mentok</v>
      </c>
    </row>
    <row r="1518" spans="1:25" s="228" customFormat="1" ht="20.25">
      <c r="A1518" s="161" t="s">
        <v>1400</v>
      </c>
      <c r="B1518" s="408" t="s">
        <v>2324</v>
      </c>
      <c r="C1518" s="297" t="str">
        <f>IF(LEN(A1518)=0,"",INDEX('[2]Smelter Reference List'!$C$1:$C$65536,MATCH($A1518,'[2]Smelter Reference List'!$E$1:$E$65536,0)))</f>
        <v>PT Tinindo Inter Nusa</v>
      </c>
      <c r="D1518" s="161" t="s">
        <v>972</v>
      </c>
      <c r="E1518" s="161" t="s">
        <v>2238</v>
      </c>
      <c r="F1518" s="161" t="s">
        <v>1400</v>
      </c>
      <c r="G1518" s="161" t="s">
        <v>3125</v>
      </c>
      <c r="H1518" s="247">
        <v>0</v>
      </c>
      <c r="I1518" s="248" t="s">
        <v>3457</v>
      </c>
      <c r="J1518" s="248" t="s">
        <v>3454</v>
      </c>
      <c r="K1518" s="245"/>
      <c r="L1518" s="245"/>
      <c r="M1518" s="245"/>
      <c r="N1518" s="245"/>
      <c r="O1518" s="245"/>
      <c r="P1518" s="245"/>
      <c r="Q1518" s="246"/>
      <c r="R1518" s="233"/>
      <c r="S1518" s="234">
        <f>IF(C1518="",NA(),MATCH($B1518&amp;$C1518,'Smelter Reference List'!$J:$J,0))</f>
        <v>434</v>
      </c>
      <c r="T1518" s="235"/>
      <c r="U1518" s="235">
        <f t="shared" si="42"/>
        <v>0</v>
      </c>
      <c r="V1518" s="235"/>
      <c r="W1518" s="235"/>
      <c r="Y1518" s="228" t="str">
        <f t="shared" si="43"/>
        <v>TinPT Tinindo Inter Nusa</v>
      </c>
    </row>
    <row r="1519" spans="1:25" s="228" customFormat="1" ht="20.25">
      <c r="A1519" s="161" t="s">
        <v>1379</v>
      </c>
      <c r="B1519" s="408" t="s">
        <v>2324</v>
      </c>
      <c r="C1519" s="297" t="str">
        <f>IF(LEN(A1519)=0,"",INDEX('[2]Smelter Reference List'!$C$1:$C$65536,MATCH($A1519,'[2]Smelter Reference List'!$E$1:$E$65536,0)))</f>
        <v>Mineração Taboca S.A.</v>
      </c>
      <c r="D1519" s="161" t="s">
        <v>1953</v>
      </c>
      <c r="E1519" s="161" t="s">
        <v>2170</v>
      </c>
      <c r="F1519" s="161" t="s">
        <v>1379</v>
      </c>
      <c r="G1519" s="161" t="s">
        <v>3125</v>
      </c>
      <c r="H1519" s="247">
        <v>0</v>
      </c>
      <c r="I1519" s="248" t="s">
        <v>3485</v>
      </c>
      <c r="J1519" s="248" t="s">
        <v>3313</v>
      </c>
      <c r="K1519" s="245"/>
      <c r="L1519" s="245"/>
      <c r="M1519" s="245"/>
      <c r="N1519" s="245"/>
      <c r="O1519" s="245"/>
      <c r="P1519" s="245"/>
      <c r="Q1519" s="246"/>
      <c r="R1519" s="233"/>
      <c r="S1519" s="234">
        <f>IF(C1519="",NA(),MATCH($B1519&amp;$C1519,'Smelter Reference List'!$J:$J,0))</f>
        <v>383</v>
      </c>
      <c r="T1519" s="235"/>
      <c r="U1519" s="235">
        <f t="shared" si="42"/>
        <v>0</v>
      </c>
      <c r="V1519" s="235"/>
      <c r="W1519" s="235"/>
      <c r="Y1519" s="228" t="str">
        <f t="shared" si="43"/>
        <v>TinMineração Taboca S.A.</v>
      </c>
    </row>
    <row r="1520" spans="1:25" s="228" customFormat="1" ht="20.25">
      <c r="A1520" s="161" t="s">
        <v>1404</v>
      </c>
      <c r="B1520" s="408" t="s">
        <v>2324</v>
      </c>
      <c r="C1520" s="297" t="str">
        <f>IF(LEN(A1520)=0,"",INDEX('[2]Smelter Reference List'!$C$1:$C$65536,MATCH($A1520,'[2]Smelter Reference List'!$E$1:$E$65536,0)))</f>
        <v>Thaisarco</v>
      </c>
      <c r="D1520" s="161" t="s">
        <v>1951</v>
      </c>
      <c r="E1520" s="161" t="s">
        <v>1743</v>
      </c>
      <c r="F1520" s="161" t="s">
        <v>1404</v>
      </c>
      <c r="G1520" s="161" t="s">
        <v>3125</v>
      </c>
      <c r="H1520" s="247">
        <v>0</v>
      </c>
      <c r="I1520" s="248" t="s">
        <v>3510</v>
      </c>
      <c r="J1520" s="248" t="s">
        <v>3511</v>
      </c>
      <c r="K1520" s="245"/>
      <c r="L1520" s="245"/>
      <c r="M1520" s="245"/>
      <c r="N1520" s="245"/>
      <c r="O1520" s="245"/>
      <c r="P1520" s="245"/>
      <c r="Q1520" s="246"/>
      <c r="R1520" s="233"/>
      <c r="S1520" s="234">
        <f>IF(C1520="",NA(),MATCH($B1520&amp;$C1520,'Smelter Reference List'!$J:$J,0))</f>
        <v>445</v>
      </c>
      <c r="T1520" s="235"/>
      <c r="U1520" s="235">
        <f t="shared" si="42"/>
        <v>0</v>
      </c>
      <c r="V1520" s="235"/>
      <c r="W1520" s="235"/>
      <c r="Y1520" s="228" t="str">
        <f t="shared" si="43"/>
        <v>TinThaisarco</v>
      </c>
    </row>
    <row r="1521" spans="1:25" s="228" customFormat="1" ht="20.25">
      <c r="A1521" s="161" t="s">
        <v>1405</v>
      </c>
      <c r="B1521" s="408" t="s">
        <v>2324</v>
      </c>
      <c r="C1521" s="297" t="str">
        <f>IF(LEN(A1521)=0,"",INDEX('[2]Smelter Reference List'!$C$1:$C$65536,MATCH($A1521,'[2]Smelter Reference List'!$E$1:$E$65536,0)))</f>
        <v>White Solder Metalurgia e Mineração Ltda.</v>
      </c>
      <c r="D1521" s="161" t="s">
        <v>68</v>
      </c>
      <c r="E1521" s="161" t="s">
        <v>2170</v>
      </c>
      <c r="F1521" s="161" t="s">
        <v>1405</v>
      </c>
      <c r="G1521" s="161" t="s">
        <v>3125</v>
      </c>
      <c r="H1521" s="247">
        <v>0</v>
      </c>
      <c r="I1521" s="248" t="s">
        <v>3451</v>
      </c>
      <c r="J1521" s="248" t="s">
        <v>3452</v>
      </c>
      <c r="K1521" s="245"/>
      <c r="L1521" s="245"/>
      <c r="M1521" s="245"/>
      <c r="N1521" s="245"/>
      <c r="O1521" s="245"/>
      <c r="P1521" s="245"/>
      <c r="Q1521" s="246"/>
      <c r="R1521" s="233"/>
      <c r="S1521" s="234">
        <f>IF(C1521="",NA(),MATCH($B1521&amp;$C1521,'Smelter Reference List'!$J:$J,0))</f>
        <v>452</v>
      </c>
      <c r="T1521" s="235"/>
      <c r="U1521" s="235">
        <f t="shared" si="42"/>
        <v>0</v>
      </c>
      <c r="V1521" s="235"/>
      <c r="W1521" s="235"/>
      <c r="Y1521" s="228" t="str">
        <f t="shared" si="43"/>
        <v>TinWhite Solder Metalurgia e Mineração Ltda.</v>
      </c>
    </row>
    <row r="1522" spans="1:25" s="228" customFormat="1" ht="20.25">
      <c r="A1522" s="161" t="s">
        <v>1406</v>
      </c>
      <c r="B1522" s="408" t="s">
        <v>2324</v>
      </c>
      <c r="C1522" s="297" t="str">
        <f>IF(LEN(A1522)=0,"",INDEX('[2]Smelter Reference List'!$C$1:$C$65536,MATCH($A1522,'[2]Smelter Reference List'!$E$1:$E$65536,0)))</f>
        <v>Yunnan Chengfeng Non-ferrous Metals Co., Ltd.</v>
      </c>
      <c r="D1522" s="161" t="s">
        <v>4183</v>
      </c>
      <c r="E1522" s="161" t="s">
        <v>2181</v>
      </c>
      <c r="F1522" s="161" t="s">
        <v>1406</v>
      </c>
      <c r="G1522" s="161" t="s">
        <v>3125</v>
      </c>
      <c r="H1522" s="247">
        <v>0</v>
      </c>
      <c r="I1522" s="248" t="s">
        <v>3468</v>
      </c>
      <c r="J1522" s="248" t="s">
        <v>3161</v>
      </c>
      <c r="K1522" s="245"/>
      <c r="L1522" s="245"/>
      <c r="M1522" s="245"/>
      <c r="N1522" s="245"/>
      <c r="O1522" s="245"/>
      <c r="P1522" s="245"/>
      <c r="Q1522" s="246"/>
      <c r="R1522" s="233"/>
      <c r="S1522" s="234">
        <f>IF(C1522="",NA(),MATCH($B1522&amp;$C1522,'Smelter Reference List'!$J:$J,0))</f>
        <v>459</v>
      </c>
      <c r="T1522" s="235"/>
      <c r="U1522" s="235">
        <f t="shared" si="42"/>
        <v>0</v>
      </c>
      <c r="V1522" s="235"/>
      <c r="W1522" s="235"/>
      <c r="Y1522" s="228" t="str">
        <f t="shared" si="43"/>
        <v>TinYunnan Chengfeng Non-ferrous Metals Co., Ltd.</v>
      </c>
    </row>
    <row r="1523" spans="1:25" s="228" customFormat="1" ht="20.25">
      <c r="A1523" s="161" t="s">
        <v>1407</v>
      </c>
      <c r="B1523" s="408" t="s">
        <v>2324</v>
      </c>
      <c r="C1523" s="297" t="str">
        <f>IF(LEN(A1523)=0,"",INDEX('[2]Smelter Reference List'!$C$1:$C$65536,MATCH($A1523,'[2]Smelter Reference List'!$E$1:$E$65536,0)))</f>
        <v>Yunnan Tin Company Limited</v>
      </c>
      <c r="D1523" s="161" t="s">
        <v>4749</v>
      </c>
      <c r="E1523" s="161" t="s">
        <v>2181</v>
      </c>
      <c r="F1523" s="161" t="s">
        <v>1407</v>
      </c>
      <c r="G1523" s="161" t="s">
        <v>3125</v>
      </c>
      <c r="H1523" s="247">
        <v>0</v>
      </c>
      <c r="I1523" s="248" t="s">
        <v>3468</v>
      </c>
      <c r="J1523" s="248" t="s">
        <v>3161</v>
      </c>
      <c r="K1523" s="245"/>
      <c r="L1523" s="245"/>
      <c r="M1523" s="245"/>
      <c r="N1523" s="245"/>
      <c r="O1523" s="245"/>
      <c r="P1523" s="245"/>
      <c r="Q1523" s="246"/>
      <c r="R1523" s="233"/>
      <c r="S1523" s="234">
        <f>IF(C1523="",NA(),MATCH($B1523&amp;$C1523,'Smelter Reference List'!$J:$J,0))</f>
        <v>462</v>
      </c>
      <c r="T1523" s="235"/>
      <c r="U1523" s="235">
        <f t="shared" si="42"/>
        <v>0</v>
      </c>
      <c r="V1523" s="235"/>
      <c r="W1523" s="235"/>
      <c r="Y1523" s="228" t="str">
        <f t="shared" si="43"/>
        <v>TinYunnan Tin Company Limited</v>
      </c>
    </row>
    <row r="1524" spans="1:25" s="228" customFormat="1" ht="20.25">
      <c r="A1524" s="161" t="s">
        <v>1408</v>
      </c>
      <c r="B1524" s="408" t="s">
        <v>2326</v>
      </c>
      <c r="C1524" s="297" t="str">
        <f>IF(LEN(A1524)=0,"",INDEX('[2]Smelter Reference List'!$C$1:$C$65536,MATCH($A1524,'[2]Smelter Reference List'!$E$1:$E$65536,0)))</f>
        <v>A.L.M.T. TUNGSTEN Corp.</v>
      </c>
      <c r="D1524" s="161" t="s">
        <v>3552</v>
      </c>
      <c r="E1524" s="161" t="s">
        <v>2249</v>
      </c>
      <c r="F1524" s="161" t="s">
        <v>1408</v>
      </c>
      <c r="G1524" s="161" t="s">
        <v>3125</v>
      </c>
      <c r="H1524" s="247">
        <v>0</v>
      </c>
      <c r="I1524" s="248" t="s">
        <v>4135</v>
      </c>
      <c r="J1524" s="248" t="s">
        <v>4136</v>
      </c>
      <c r="K1524" s="245"/>
      <c r="L1524" s="245"/>
      <c r="M1524" s="245"/>
      <c r="N1524" s="245"/>
      <c r="O1524" s="245"/>
      <c r="P1524" s="245"/>
      <c r="Q1524" s="246"/>
      <c r="R1524" s="233"/>
      <c r="S1524" s="234">
        <f>IF(C1524="",NA(),MATCH($B1524&amp;$C1524,'Smelter Reference List'!$J:$J,0))</f>
        <v>469</v>
      </c>
      <c r="T1524" s="235"/>
      <c r="U1524" s="235">
        <f t="shared" si="42"/>
        <v>0</v>
      </c>
      <c r="V1524" s="235"/>
      <c r="W1524" s="235"/>
      <c r="Y1524" s="228" t="str">
        <f t="shared" si="43"/>
        <v>TungstenA.L.M.T. TUNGSTEN Corp.</v>
      </c>
    </row>
    <row r="1525" spans="1:25" s="228" customFormat="1" ht="20.25">
      <c r="A1525" s="161" t="s">
        <v>1409</v>
      </c>
      <c r="B1525" s="408" t="s">
        <v>2326</v>
      </c>
      <c r="C1525" s="297" t="str">
        <f>IF(LEN(A1525)=0,"",INDEX('[2]Smelter Reference List'!$C$1:$C$65536,MATCH($A1525,'[2]Smelter Reference List'!$E$1:$E$65536,0)))</f>
        <v>Kennametal Huntsville</v>
      </c>
      <c r="D1525" s="161" t="s">
        <v>209</v>
      </c>
      <c r="E1525" s="161" t="s">
        <v>1759</v>
      </c>
      <c r="F1525" s="161" t="s">
        <v>1409</v>
      </c>
      <c r="G1525" s="161" t="s">
        <v>3125</v>
      </c>
      <c r="H1525" s="247">
        <v>0</v>
      </c>
      <c r="I1525" s="248" t="s">
        <v>3555</v>
      </c>
      <c r="J1525" s="248" t="s">
        <v>3556</v>
      </c>
      <c r="K1525" s="245"/>
      <c r="L1525" s="245"/>
      <c r="M1525" s="245"/>
      <c r="N1525" s="245"/>
      <c r="O1525" s="245"/>
      <c r="P1525" s="245"/>
      <c r="Q1525" s="246"/>
      <c r="R1525" s="233"/>
      <c r="S1525" s="234">
        <f>IF(C1525="",NA(),MATCH($B1525&amp;$C1525,'Smelter Reference List'!$J:$J,0))</f>
        <v>514</v>
      </c>
      <c r="T1525" s="235"/>
      <c r="U1525" s="235">
        <f t="shared" si="42"/>
        <v>0</v>
      </c>
      <c r="V1525" s="235"/>
      <c r="W1525" s="235"/>
      <c r="Y1525" s="228" t="str">
        <f t="shared" si="43"/>
        <v>TungstenKennametal Huntsville</v>
      </c>
    </row>
    <row r="1526" spans="1:25" s="228" customFormat="1" ht="20.25">
      <c r="A1526" s="161" t="s">
        <v>2718</v>
      </c>
      <c r="B1526" s="408" t="s">
        <v>2326</v>
      </c>
      <c r="C1526" s="297" t="str">
        <f>IF(LEN(A1526)=0,"",INDEX('[2]Smelter Reference List'!$C$1:$C$65536,MATCH($A1526,'[2]Smelter Reference List'!$E$1:$E$65536,0)))</f>
        <v>Chenzhou Diamond Tungsten Products Co., Ltd.</v>
      </c>
      <c r="D1526" s="161" t="s">
        <v>2717</v>
      </c>
      <c r="E1526" s="161" t="s">
        <v>2181</v>
      </c>
      <c r="F1526" s="161" t="s">
        <v>2718</v>
      </c>
      <c r="G1526" s="161" t="s">
        <v>3125</v>
      </c>
      <c r="H1526" s="247">
        <v>0</v>
      </c>
      <c r="I1526" s="248" t="s">
        <v>3475</v>
      </c>
      <c r="J1526" s="248" t="s">
        <v>3186</v>
      </c>
      <c r="K1526" s="245"/>
      <c r="L1526" s="245"/>
      <c r="M1526" s="245"/>
      <c r="N1526" s="245"/>
      <c r="O1526" s="245"/>
      <c r="P1526" s="245"/>
      <c r="Q1526" s="246"/>
      <c r="R1526" s="233"/>
      <c r="S1526" s="234">
        <f>IF(C1526="",NA(),MATCH($B1526&amp;$C1526,'Smelter Reference List'!$J:$J,0))</f>
        <v>478</v>
      </c>
      <c r="T1526" s="235"/>
      <c r="U1526" s="235">
        <f t="shared" si="42"/>
        <v>0</v>
      </c>
      <c r="V1526" s="235"/>
      <c r="W1526" s="235"/>
      <c r="Y1526" s="228" t="str">
        <f t="shared" si="43"/>
        <v>TungstenChenzhou Diamond Tungsten Products Co., Ltd.</v>
      </c>
    </row>
    <row r="1527" spans="1:25" s="228" customFormat="1" ht="20.25">
      <c r="A1527" s="161" t="s">
        <v>1411</v>
      </c>
      <c r="B1527" s="408" t="s">
        <v>2326</v>
      </c>
      <c r="C1527" s="297" t="str">
        <f>IF(LEN(A1527)=0,"",INDEX('[2]Smelter Reference List'!$C$1:$C$65536,MATCH($A1527,'[2]Smelter Reference List'!$E$1:$E$65536,0)))</f>
        <v>Chongyi Zhangyuan Tungsten Co., Ltd.</v>
      </c>
      <c r="D1527" s="161" t="s">
        <v>2659</v>
      </c>
      <c r="E1527" s="161" t="s">
        <v>2181</v>
      </c>
      <c r="F1527" s="161" t="s">
        <v>1411</v>
      </c>
      <c r="G1527" s="161" t="s">
        <v>3125</v>
      </c>
      <c r="H1527" s="247">
        <v>0</v>
      </c>
      <c r="I1527" s="248" t="s">
        <v>3471</v>
      </c>
      <c r="J1527" s="248" t="s">
        <v>3204</v>
      </c>
      <c r="K1527" s="245"/>
      <c r="L1527" s="245"/>
      <c r="M1527" s="245"/>
      <c r="N1527" s="245"/>
      <c r="O1527" s="245"/>
      <c r="P1527" s="245"/>
      <c r="Q1527" s="246"/>
      <c r="R1527" s="233"/>
      <c r="S1527" s="234">
        <f>IF(C1527="",NA(),MATCH($B1527&amp;$C1527,'Smelter Reference List'!$J:$J,0))</f>
        <v>480</v>
      </c>
      <c r="T1527" s="235"/>
      <c r="U1527" s="235">
        <f t="shared" si="42"/>
        <v>0</v>
      </c>
      <c r="V1527" s="235"/>
      <c r="W1527" s="235"/>
      <c r="Y1527" s="228" t="str">
        <f t="shared" si="43"/>
        <v>TungstenChongyi Zhangyuan Tungsten Co., Ltd.</v>
      </c>
    </row>
    <row r="1528" spans="1:25" s="228" customFormat="1" ht="20.25">
      <c r="A1528" s="161" t="s">
        <v>1419</v>
      </c>
      <c r="B1528" s="408" t="s">
        <v>2326</v>
      </c>
      <c r="C1528" s="297" t="str">
        <f>IF(LEN(A1528)=0,"",INDEX('[2]Smelter Reference List'!$C$1:$C$65536,MATCH($A1528,'[2]Smelter Reference List'!$E$1:$E$65536,0)))</f>
        <v>Ganzhou Huaxing Tungsten Products Co., Ltd.</v>
      </c>
      <c r="D1528" s="161" t="s">
        <v>211</v>
      </c>
      <c r="E1528" s="161" t="s">
        <v>2181</v>
      </c>
      <c r="F1528" s="161" t="s">
        <v>1419</v>
      </c>
      <c r="G1528" s="161" t="s">
        <v>3125</v>
      </c>
      <c r="H1528" s="247">
        <v>0</v>
      </c>
      <c r="I1528" s="248" t="s">
        <v>3471</v>
      </c>
      <c r="J1528" s="248" t="s">
        <v>3204</v>
      </c>
      <c r="K1528" s="245"/>
      <c r="L1528" s="245"/>
      <c r="M1528" s="245"/>
      <c r="N1528" s="245"/>
      <c r="O1528" s="245"/>
      <c r="P1528" s="245"/>
      <c r="Q1528" s="246"/>
      <c r="R1528" s="233"/>
      <c r="S1528" s="234">
        <f>IF(C1528="",NA(),MATCH($B1528&amp;$C1528,'Smelter Reference List'!$J:$J,0))</f>
        <v>485</v>
      </c>
      <c r="T1528" s="235"/>
      <c r="U1528" s="235">
        <f t="shared" si="42"/>
        <v>0</v>
      </c>
      <c r="V1528" s="235"/>
      <c r="W1528" s="235"/>
      <c r="Y1528" s="228" t="str">
        <f t="shared" si="43"/>
        <v>TungstenGanzhou Huaxing Tungsten Products Co., Ltd.</v>
      </c>
    </row>
    <row r="1529" spans="1:25" s="228" customFormat="1" ht="20.25">
      <c r="A1529" s="161" t="s">
        <v>722</v>
      </c>
      <c r="B1529" s="408" t="s">
        <v>2326</v>
      </c>
      <c r="C1529" s="297" t="str">
        <f>IF(LEN(A1529)=0,"",INDEX('[2]Smelter Reference List'!$C$1:$C$65536,MATCH($A1529,'[2]Smelter Reference List'!$E$1:$E$65536,0)))</f>
        <v>Ganzhou Seadragon W &amp; Mo Co., Ltd.</v>
      </c>
      <c r="D1529" s="161" t="s">
        <v>721</v>
      </c>
      <c r="E1529" s="161" t="s">
        <v>2181</v>
      </c>
      <c r="F1529" s="161" t="s">
        <v>722</v>
      </c>
      <c r="G1529" s="161" t="s">
        <v>3125</v>
      </c>
      <c r="H1529" s="247">
        <v>0</v>
      </c>
      <c r="I1529" s="248" t="s">
        <v>3471</v>
      </c>
      <c r="J1529" s="248" t="s">
        <v>3204</v>
      </c>
      <c r="K1529" s="245"/>
      <c r="L1529" s="245"/>
      <c r="M1529" s="245"/>
      <c r="N1529" s="245"/>
      <c r="O1529" s="245"/>
      <c r="P1529" s="245"/>
      <c r="Q1529" s="246"/>
      <c r="R1529" s="233"/>
      <c r="S1529" s="234">
        <f>IF(C1529="",NA(),MATCH($B1529&amp;$C1529,'Smelter Reference List'!$J:$J,0))</f>
        <v>488</v>
      </c>
      <c r="T1529" s="235"/>
      <c r="U1529" s="235">
        <f t="shared" si="42"/>
        <v>0</v>
      </c>
      <c r="V1529" s="235"/>
      <c r="W1529" s="235"/>
      <c r="Y1529" s="228" t="str">
        <f t="shared" si="43"/>
        <v>TungstenGanzhou Seadragon W &amp; Mo Co., Ltd.</v>
      </c>
    </row>
    <row r="1530" spans="1:25" s="228" customFormat="1" ht="20.25">
      <c r="A1530" s="161" t="s">
        <v>1414</v>
      </c>
      <c r="B1530" s="408" t="s">
        <v>2326</v>
      </c>
      <c r="C1530" s="297" t="str">
        <f>IF(LEN(A1530)=0,"",INDEX('[2]Smelter Reference List'!$C$1:$C$65536,MATCH($A1530,'[2]Smelter Reference List'!$E$1:$E$65536,0)))</f>
        <v>Global Tungsten &amp; Powders Corp.</v>
      </c>
      <c r="D1530" s="161" t="s">
        <v>1</v>
      </c>
      <c r="E1530" s="161" t="s">
        <v>1759</v>
      </c>
      <c r="F1530" s="161" t="s">
        <v>1414</v>
      </c>
      <c r="G1530" s="161" t="s">
        <v>3125</v>
      </c>
      <c r="H1530" s="247">
        <v>0</v>
      </c>
      <c r="I1530" s="248" t="s">
        <v>3560</v>
      </c>
      <c r="J1530" s="248" t="s">
        <v>3401</v>
      </c>
      <c r="K1530" s="245"/>
      <c r="L1530" s="245"/>
      <c r="M1530" s="245"/>
      <c r="N1530" s="245"/>
      <c r="O1530" s="245"/>
      <c r="P1530" s="245"/>
      <c r="Q1530" s="246"/>
      <c r="R1530" s="233"/>
      <c r="S1530" s="234">
        <f>IF(C1530="",NA(),MATCH($B1530&amp;$C1530,'Smelter Reference List'!$J:$J,0))</f>
        <v>490</v>
      </c>
      <c r="T1530" s="235"/>
      <c r="U1530" s="235">
        <f t="shared" si="42"/>
        <v>0</v>
      </c>
      <c r="V1530" s="235"/>
      <c r="W1530" s="235"/>
      <c r="Y1530" s="228" t="str">
        <f t="shared" si="43"/>
        <v>TungstenGlobal Tungsten &amp; Powders Corp.</v>
      </c>
    </row>
    <row r="1531" spans="1:25" s="228" customFormat="1" ht="20.25">
      <c r="A1531" s="161" t="s">
        <v>2760</v>
      </c>
      <c r="B1531" s="408" t="s">
        <v>2326</v>
      </c>
      <c r="C1531" s="297" t="str">
        <f>IF(LEN(A1531)=0,"",INDEX('[2]Smelter Reference List'!$C$1:$C$65536,MATCH($A1531,'[2]Smelter Reference List'!$E$1:$E$65536,0)))</f>
        <v>H.C. Starck GmbH</v>
      </c>
      <c r="D1531" s="161" t="s">
        <v>2759</v>
      </c>
      <c r="E1531" s="161" t="s">
        <v>2195</v>
      </c>
      <c r="F1531" s="161" t="s">
        <v>2760</v>
      </c>
      <c r="G1531" s="161" t="s">
        <v>3125</v>
      </c>
      <c r="H1531" s="247">
        <v>0</v>
      </c>
      <c r="I1531" s="248" t="s">
        <v>3418</v>
      </c>
      <c r="J1531" s="248" t="s">
        <v>3419</v>
      </c>
      <c r="K1531" s="245"/>
      <c r="L1531" s="245"/>
      <c r="M1531" s="245"/>
      <c r="N1531" s="245"/>
      <c r="O1531" s="245"/>
      <c r="P1531" s="245"/>
      <c r="Q1531" s="246"/>
      <c r="R1531" s="233"/>
      <c r="S1531" s="234">
        <f>IF(C1531="",NA(),MATCH($B1531&amp;$C1531,'Smelter Reference List'!$J:$J,0))</f>
        <v>493</v>
      </c>
      <c r="T1531" s="235"/>
      <c r="U1531" s="235">
        <f t="shared" si="42"/>
        <v>0</v>
      </c>
      <c r="V1531" s="235"/>
      <c r="W1531" s="235"/>
      <c r="Y1531" s="228" t="str">
        <f t="shared" si="43"/>
        <v>TungstenH.C. Starck GmbH</v>
      </c>
    </row>
    <row r="1532" spans="1:25" s="228" customFormat="1" ht="20.25">
      <c r="A1532" s="161" t="s">
        <v>1416</v>
      </c>
      <c r="B1532" s="408" t="s">
        <v>2326</v>
      </c>
      <c r="C1532" s="297" t="str">
        <f>IF(LEN(A1532)=0,"",INDEX('[2]Smelter Reference List'!$C$1:$C$65536,MATCH($A1532,'[2]Smelter Reference List'!$E$1:$E$65536,0)))</f>
        <v>Hunan Chunchang Nonferrous Metals Co., Ltd.</v>
      </c>
      <c r="D1532" s="161" t="s">
        <v>2661</v>
      </c>
      <c r="E1532" s="161" t="s">
        <v>2181</v>
      </c>
      <c r="F1532" s="161" t="s">
        <v>1416</v>
      </c>
      <c r="G1532" s="161" t="s">
        <v>3125</v>
      </c>
      <c r="H1532" s="247">
        <v>0</v>
      </c>
      <c r="I1532" s="248" t="s">
        <v>3407</v>
      </c>
      <c r="J1532" s="248" t="s">
        <v>3186</v>
      </c>
      <c r="K1532" s="245"/>
      <c r="L1532" s="245"/>
      <c r="M1532" s="245"/>
      <c r="N1532" s="245"/>
      <c r="O1532" s="245"/>
      <c r="P1532" s="245"/>
      <c r="Q1532" s="246"/>
      <c r="R1532" s="233"/>
      <c r="S1532" s="234">
        <f>IF(C1532="",NA(),MATCH($B1532&amp;$C1532,'Smelter Reference List'!$J:$J,0))</f>
        <v>500</v>
      </c>
      <c r="T1532" s="235"/>
      <c r="U1532" s="235">
        <f t="shared" si="42"/>
        <v>0</v>
      </c>
      <c r="V1532" s="235"/>
      <c r="W1532" s="235"/>
      <c r="Y1532" s="228" t="str">
        <f t="shared" si="43"/>
        <v>TungstenHunan Chunchang Nonferrous Metals Co., Ltd.</v>
      </c>
    </row>
    <row r="1533" spans="1:25" s="228" customFormat="1" ht="20.25">
      <c r="A1533" s="161" t="s">
        <v>1422</v>
      </c>
      <c r="B1533" s="408" t="s">
        <v>2326</v>
      </c>
      <c r="C1533" s="297" t="str">
        <f>IF(LEN(A1533)=0,"",INDEX('[2]Smelter Reference List'!$C$1:$C$65536,MATCH($A1533,'[2]Smelter Reference List'!$E$1:$E$65536,0)))</f>
        <v>Wolfram Bergbau und Hütten AG</v>
      </c>
      <c r="D1533" s="161" t="s">
        <v>1785</v>
      </c>
      <c r="E1533" s="161" t="s">
        <v>2155</v>
      </c>
      <c r="F1533" s="161" t="s">
        <v>1422</v>
      </c>
      <c r="G1533" s="161" t="s">
        <v>3125</v>
      </c>
      <c r="H1533" s="247">
        <v>0</v>
      </c>
      <c r="I1533" s="248" t="s">
        <v>3566</v>
      </c>
      <c r="J1533" s="248" t="s">
        <v>3415</v>
      </c>
      <c r="K1533" s="245"/>
      <c r="L1533" s="245"/>
      <c r="M1533" s="245"/>
      <c r="N1533" s="245"/>
      <c r="O1533" s="245"/>
      <c r="P1533" s="245"/>
      <c r="Q1533" s="246"/>
      <c r="R1533" s="233"/>
      <c r="S1533" s="234">
        <f>IF(C1533="",NA(),MATCH($B1533&amp;$C1533,'Smelter Reference List'!$J:$J,0))</f>
        <v>528</v>
      </c>
      <c r="T1533" s="235"/>
      <c r="U1533" s="235">
        <f t="shared" si="42"/>
        <v>0</v>
      </c>
      <c r="V1533" s="235"/>
      <c r="W1533" s="235"/>
      <c r="Y1533" s="228" t="str">
        <f t="shared" si="43"/>
        <v>TungstenWolfram Bergbau und Hütten AG</v>
      </c>
    </row>
    <row r="1534" spans="1:25" s="228" customFormat="1" ht="20.25">
      <c r="A1534" s="161"/>
      <c r="B1534" s="408" t="s">
        <v>2326</v>
      </c>
      <c r="C1534" s="297" t="s">
        <v>3604</v>
      </c>
      <c r="D1534" s="228" t="s">
        <v>5814</v>
      </c>
      <c r="E1534" s="228" t="s">
        <v>1717</v>
      </c>
      <c r="F1534" s="161">
        <v>0</v>
      </c>
      <c r="G1534" s="228" t="s">
        <v>5584</v>
      </c>
      <c r="H1534" s="247">
        <v>0</v>
      </c>
      <c r="I1534" s="248">
        <v>0</v>
      </c>
      <c r="J1534" s="248">
        <v>0</v>
      </c>
      <c r="K1534" s="245"/>
      <c r="L1534" s="245"/>
      <c r="M1534" s="245"/>
      <c r="N1534" s="245"/>
      <c r="O1534" s="245"/>
      <c r="P1534" s="245"/>
      <c r="Q1534" s="246"/>
      <c r="R1534" s="233"/>
      <c r="S1534" s="234">
        <f>IF(C1534="",NA(),MATCH($B1534&amp;$C1534,'Smelter Reference List'!$J:$J,0))</f>
        <v>536</v>
      </c>
      <c r="T1534" s="235"/>
      <c r="U1534" s="235">
        <f t="shared" si="42"/>
        <v>0</v>
      </c>
      <c r="V1534" s="235"/>
      <c r="W1534" s="235"/>
      <c r="Y1534" s="228" t="str">
        <f t="shared" si="43"/>
        <v>TungstenSmelter not listed</v>
      </c>
    </row>
    <row r="1535" spans="1:25" s="228" customFormat="1" ht="20.25">
      <c r="A1535" s="161" t="s">
        <v>206</v>
      </c>
      <c r="B1535" s="408" t="s">
        <v>2326</v>
      </c>
      <c r="C1535" s="297" t="str">
        <f>IF(LEN(A1535)=0,"",INDEX('[2]Smelter Reference List'!$C$1:$C$65536,MATCH($A1535,'[2]Smelter Reference List'!$E$1:$E$65536,0)))</f>
        <v>Xiamen Tungsten (H.C.) Co., Ltd.</v>
      </c>
      <c r="D1535" s="161" t="s">
        <v>218</v>
      </c>
      <c r="E1535" s="161" t="s">
        <v>2181</v>
      </c>
      <c r="F1535" s="161" t="s">
        <v>206</v>
      </c>
      <c r="G1535" s="161" t="s">
        <v>3125</v>
      </c>
      <c r="H1535" s="247">
        <v>0</v>
      </c>
      <c r="I1535" s="248" t="s">
        <v>3569</v>
      </c>
      <c r="J1535" s="248" t="s">
        <v>3332</v>
      </c>
      <c r="K1535" s="245"/>
      <c r="L1535" s="245"/>
      <c r="M1535" s="245"/>
      <c r="N1535" s="245"/>
      <c r="O1535" s="245"/>
      <c r="P1535" s="245"/>
      <c r="Q1535" s="246"/>
      <c r="R1535" s="233"/>
      <c r="S1535" s="234">
        <f>IF(C1535="",NA(),MATCH($B1535&amp;$C1535,'Smelter Reference List'!$J:$J,0))</f>
        <v>531</v>
      </c>
      <c r="T1535" s="235"/>
      <c r="U1535" s="235">
        <f t="shared" si="42"/>
        <v>0</v>
      </c>
      <c r="V1535" s="235"/>
      <c r="W1535" s="235"/>
      <c r="Y1535" s="228" t="str">
        <f t="shared" si="43"/>
        <v>TungstenXiamen Tungsten (H.C.) Co., Ltd.</v>
      </c>
    </row>
    <row r="1536" spans="1:25" s="228" customFormat="1" ht="20.25">
      <c r="A1536" s="161" t="s">
        <v>1423</v>
      </c>
      <c r="B1536" s="408" t="s">
        <v>2326</v>
      </c>
      <c r="C1536" s="297" t="str">
        <f>IF(LEN(A1536)=0,"",INDEX('[2]Smelter Reference List'!$C$1:$C$65536,MATCH($A1536,'[2]Smelter Reference List'!$E$1:$E$65536,0)))</f>
        <v>Xiamen Tungsten Co., Ltd.</v>
      </c>
      <c r="D1536" s="161" t="s">
        <v>2663</v>
      </c>
      <c r="E1536" s="161" t="s">
        <v>2181</v>
      </c>
      <c r="F1536" s="161" t="s">
        <v>1423</v>
      </c>
      <c r="G1536" s="161" t="s">
        <v>3125</v>
      </c>
      <c r="H1536" s="247">
        <v>0</v>
      </c>
      <c r="I1536" s="248" t="s">
        <v>3569</v>
      </c>
      <c r="J1536" s="248" t="s">
        <v>3332</v>
      </c>
      <c r="K1536" s="245"/>
      <c r="L1536" s="245"/>
      <c r="M1536" s="245"/>
      <c r="N1536" s="245"/>
      <c r="O1536" s="245"/>
      <c r="P1536" s="245"/>
      <c r="Q1536" s="246"/>
      <c r="R1536" s="233"/>
      <c r="S1536" s="234">
        <f>IF(C1536="",NA(),MATCH($B1536&amp;$C1536,'Smelter Reference List'!$J:$J,0))</f>
        <v>532</v>
      </c>
      <c r="T1536" s="235"/>
      <c r="U1536" s="235">
        <f t="shared" si="42"/>
        <v>0</v>
      </c>
      <c r="V1536" s="235"/>
      <c r="W1536" s="235"/>
      <c r="Y1536" s="228" t="str">
        <f t="shared" si="43"/>
        <v>TungstenXiamen Tungsten Co., Ltd.</v>
      </c>
    </row>
    <row r="1537" spans="1:25" s="228" customFormat="1" ht="20.25">
      <c r="A1537" s="161" t="s">
        <v>1234</v>
      </c>
      <c r="B1537" s="408" t="s">
        <v>2323</v>
      </c>
      <c r="C1537" s="297" t="str">
        <f>IF(LEN(A1537)=0,"",INDEX('[2]Smelter Reference List'!$C$1:$C$65536,MATCH($A1537,'[2]Smelter Reference List'!$E$1:$E$65536,0)))</f>
        <v>Aida Chemical Industries Co., Ltd.</v>
      </c>
      <c r="D1537" s="161" t="s">
        <v>4146</v>
      </c>
      <c r="E1537" s="161" t="s">
        <v>2249</v>
      </c>
      <c r="F1537" s="161" t="s">
        <v>1234</v>
      </c>
      <c r="G1537" s="161" t="s">
        <v>3125</v>
      </c>
      <c r="H1537" s="247">
        <v>0</v>
      </c>
      <c r="I1537" s="248" t="s">
        <v>3128</v>
      </c>
      <c r="J1537" s="248" t="s">
        <v>3129</v>
      </c>
      <c r="K1537" s="245"/>
      <c r="L1537" s="245"/>
      <c r="M1537" s="245"/>
      <c r="N1537" s="245"/>
      <c r="O1537" s="245"/>
      <c r="P1537" s="245"/>
      <c r="Q1537" s="246"/>
      <c r="R1537" s="233"/>
      <c r="S1537" s="234">
        <f>IF(C1537="",NA(),MATCH($B1537&amp;$C1537,'Smelter Reference List'!$J:$J,0))</f>
        <v>9</v>
      </c>
      <c r="T1537" s="235"/>
      <c r="U1537" s="235">
        <f t="shared" si="42"/>
        <v>0</v>
      </c>
      <c r="V1537" s="235"/>
      <c r="W1537" s="235"/>
      <c r="Y1537" s="228" t="str">
        <f t="shared" si="43"/>
        <v>GoldAida Chemical Industries Co., Ltd.</v>
      </c>
    </row>
    <row r="1538" spans="1:25" s="228" customFormat="1" ht="20.25">
      <c r="A1538" s="161" t="s">
        <v>1235</v>
      </c>
      <c r="B1538" s="408" t="s">
        <v>2323</v>
      </c>
      <c r="C1538" s="297" t="str">
        <f>IF(LEN(A1538)=0,"",INDEX('[2]Smelter Reference List'!$C$1:$C$65536,MATCH($A1538,'[2]Smelter Reference List'!$E$1:$E$65536,0)))</f>
        <v>Allgemeine Gold-und Silberscheideanstalt A.G.</v>
      </c>
      <c r="D1538" s="161" t="s">
        <v>70</v>
      </c>
      <c r="E1538" s="161" t="s">
        <v>2195</v>
      </c>
      <c r="F1538" s="161" t="s">
        <v>1235</v>
      </c>
      <c r="G1538" s="161" t="s">
        <v>3125</v>
      </c>
      <c r="H1538" s="247">
        <v>0</v>
      </c>
      <c r="I1538" s="248" t="s">
        <v>3130</v>
      </c>
      <c r="J1538" s="248" t="s">
        <v>3131</v>
      </c>
      <c r="K1538" s="245"/>
      <c r="L1538" s="245"/>
      <c r="M1538" s="245"/>
      <c r="N1538" s="245"/>
      <c r="O1538" s="245"/>
      <c r="P1538" s="245"/>
      <c r="Q1538" s="246"/>
      <c r="R1538" s="233"/>
      <c r="S1538" s="234">
        <f>IF(C1538="",NA(),MATCH($B1538&amp;$C1538,'Smelter Reference List'!$J:$J,0))</f>
        <v>11</v>
      </c>
      <c r="T1538" s="235"/>
      <c r="U1538" s="235">
        <f t="shared" si="42"/>
        <v>0</v>
      </c>
      <c r="V1538" s="235"/>
      <c r="W1538" s="235"/>
      <c r="Y1538" s="228" t="str">
        <f t="shared" si="43"/>
        <v>GoldAllgemeine Gold-und Silberscheideanstalt A.G.</v>
      </c>
    </row>
    <row r="1539" spans="1:25" s="228" customFormat="1" ht="20.25">
      <c r="A1539" s="161" t="s">
        <v>1237</v>
      </c>
      <c r="B1539" s="408" t="s">
        <v>2323</v>
      </c>
      <c r="C1539" s="297" t="str">
        <f>IF(LEN(A1539)=0,"",INDEX('[2]Smelter Reference List'!$C$1:$C$65536,MATCH($A1539,'[2]Smelter Reference List'!$E$1:$E$65536,0)))</f>
        <v>AngloGold Ashanti Córrego do Sítio Mineração</v>
      </c>
      <c r="D1539" s="161" t="s">
        <v>3134</v>
      </c>
      <c r="E1539" s="161" t="s">
        <v>2170</v>
      </c>
      <c r="F1539" s="161" t="s">
        <v>1237</v>
      </c>
      <c r="G1539" s="161" t="s">
        <v>3125</v>
      </c>
      <c r="H1539" s="247">
        <v>0</v>
      </c>
      <c r="I1539" s="248" t="s">
        <v>3135</v>
      </c>
      <c r="J1539" s="248" t="s">
        <v>3136</v>
      </c>
      <c r="K1539" s="245"/>
      <c r="L1539" s="245"/>
      <c r="M1539" s="245"/>
      <c r="N1539" s="245"/>
      <c r="O1539" s="245"/>
      <c r="P1539" s="245"/>
      <c r="Q1539" s="246"/>
      <c r="R1539" s="233"/>
      <c r="S1539" s="234">
        <f>IF(C1539="",NA(),MATCH($B1539&amp;$C1539,'Smelter Reference List'!$J:$J,0))</f>
        <v>14</v>
      </c>
      <c r="T1539" s="235"/>
      <c r="U1539" s="235">
        <f t="shared" si="42"/>
        <v>0</v>
      </c>
      <c r="V1539" s="235"/>
      <c r="W1539" s="235"/>
      <c r="Y1539" s="228" t="str">
        <f t="shared" si="43"/>
        <v>GoldAngloGold Ashanti Córrego do Sítio Mineração</v>
      </c>
    </row>
    <row r="1540" spans="1:25" s="228" customFormat="1" ht="20.25">
      <c r="A1540" s="161" t="s">
        <v>1238</v>
      </c>
      <c r="B1540" s="408" t="s">
        <v>2323</v>
      </c>
      <c r="C1540" s="297" t="str">
        <f>IF(LEN(A1540)=0,"",INDEX('[2]Smelter Reference List'!$C$1:$C$65536,MATCH($A1540,'[2]Smelter Reference List'!$E$1:$E$65536,0)))</f>
        <v>Argor-Heraeus S.A.</v>
      </c>
      <c r="D1540" s="161" t="s">
        <v>4669</v>
      </c>
      <c r="E1540" s="161" t="s">
        <v>2179</v>
      </c>
      <c r="F1540" s="161" t="s">
        <v>1238</v>
      </c>
      <c r="G1540" s="161" t="s">
        <v>3125</v>
      </c>
      <c r="H1540" s="247">
        <v>0</v>
      </c>
      <c r="I1540" s="248" t="s">
        <v>3137</v>
      </c>
      <c r="J1540" s="248" t="s">
        <v>3138</v>
      </c>
      <c r="K1540" s="245"/>
      <c r="L1540" s="245"/>
      <c r="M1540" s="245"/>
      <c r="N1540" s="245"/>
      <c r="O1540" s="245"/>
      <c r="P1540" s="245"/>
      <c r="Q1540" s="246"/>
      <c r="R1540" s="233"/>
      <c r="S1540" s="234">
        <f>IF(C1540="",NA(),MATCH($B1540&amp;$C1540,'Smelter Reference List'!$J:$J,0))</f>
        <v>17</v>
      </c>
      <c r="T1540" s="235"/>
      <c r="U1540" s="235">
        <f t="shared" si="42"/>
        <v>0</v>
      </c>
      <c r="V1540" s="235"/>
      <c r="W1540" s="235"/>
      <c r="Y1540" s="228" t="str">
        <f t="shared" si="43"/>
        <v>GoldArgor-Heraeus S.A.</v>
      </c>
    </row>
    <row r="1541" spans="1:25" s="228" customFormat="1" ht="20.25">
      <c r="A1541" s="161" t="s">
        <v>1239</v>
      </c>
      <c r="B1541" s="408" t="s">
        <v>2323</v>
      </c>
      <c r="C1541" s="297" t="str">
        <f>IF(LEN(A1541)=0,"",INDEX('[2]Smelter Reference List'!$C$1:$C$65536,MATCH($A1541,'[2]Smelter Reference List'!$E$1:$E$65536,0)))</f>
        <v>Asahi Pretec Corp.</v>
      </c>
      <c r="D1541" s="161" t="s">
        <v>4670</v>
      </c>
      <c r="E1541" s="161" t="s">
        <v>2249</v>
      </c>
      <c r="F1541" s="161" t="s">
        <v>1239</v>
      </c>
      <c r="G1541" s="161" t="s">
        <v>3125</v>
      </c>
      <c r="H1541" s="247">
        <v>0</v>
      </c>
      <c r="I1541" s="248" t="s">
        <v>3139</v>
      </c>
      <c r="J1541" s="248" t="s">
        <v>3140</v>
      </c>
      <c r="K1541" s="245"/>
      <c r="L1541" s="245"/>
      <c r="M1541" s="245"/>
      <c r="N1541" s="245"/>
      <c r="O1541" s="245"/>
      <c r="P1541" s="245"/>
      <c r="Q1541" s="246"/>
      <c r="R1541" s="233"/>
      <c r="S1541" s="234">
        <f>IF(C1541="",NA(),MATCH($B1541&amp;$C1541,'Smelter Reference List'!$J:$J,0))</f>
        <v>18</v>
      </c>
      <c r="T1541" s="235"/>
      <c r="U1541" s="235">
        <f t="shared" si="42"/>
        <v>0</v>
      </c>
      <c r="V1541" s="235"/>
      <c r="W1541" s="235"/>
      <c r="Y1541" s="228" t="str">
        <f t="shared" si="43"/>
        <v>GoldAsahi Pretec Corp.</v>
      </c>
    </row>
    <row r="1542" spans="1:25" s="228" customFormat="1" ht="20.25">
      <c r="A1542" s="161" t="s">
        <v>1240</v>
      </c>
      <c r="B1542" s="408" t="s">
        <v>2323</v>
      </c>
      <c r="C1542" s="297" t="str">
        <f>IF(LEN(A1542)=0,"",INDEX('[2]Smelter Reference List'!$C$1:$C$65536,MATCH($A1542,'[2]Smelter Reference List'!$E$1:$E$65536,0)))</f>
        <v>Asaka Riken Co., Ltd.</v>
      </c>
      <c r="D1542" s="161" t="s">
        <v>4147</v>
      </c>
      <c r="E1542" s="161" t="s">
        <v>2249</v>
      </c>
      <c r="F1542" s="161" t="s">
        <v>1240</v>
      </c>
      <c r="G1542" s="161" t="s">
        <v>3125</v>
      </c>
      <c r="H1542" s="247">
        <v>0</v>
      </c>
      <c r="I1542" s="248" t="s">
        <v>3142</v>
      </c>
      <c r="J1542" s="248" t="s">
        <v>3143</v>
      </c>
      <c r="K1542" s="245"/>
      <c r="L1542" s="245"/>
      <c r="M1542" s="245"/>
      <c r="N1542" s="245"/>
      <c r="O1542" s="245"/>
      <c r="P1542" s="245"/>
      <c r="Q1542" s="246"/>
      <c r="R1542" s="233"/>
      <c r="S1542" s="234">
        <f>IF(C1542="",NA(),MATCH($B1542&amp;$C1542,'Smelter Reference List'!$J:$J,0))</f>
        <v>21</v>
      </c>
      <c r="T1542" s="235"/>
      <c r="U1542" s="235">
        <f t="shared" ref="U1542:U1605" si="44">IF(AND(C1542="Smelter not listed",OR(LEN(D1542)=0,LEN(E1542)=0)),1,0)</f>
        <v>0</v>
      </c>
      <c r="V1542" s="235"/>
      <c r="W1542" s="235"/>
      <c r="Y1542" s="228" t="str">
        <f t="shared" ref="Y1542:Y1605" si="45">B1542&amp;C1542</f>
        <v>GoldAsaka Riken Co., Ltd.</v>
      </c>
    </row>
    <row r="1543" spans="1:25" s="228" customFormat="1" ht="20.25">
      <c r="A1543" s="161" t="s">
        <v>1242</v>
      </c>
      <c r="B1543" s="408" t="s">
        <v>2323</v>
      </c>
      <c r="C1543" s="297" t="str">
        <f>IF(LEN(A1543)=0,"",INDEX('[2]Smelter Reference List'!$C$1:$C$65536,MATCH($A1543,'[2]Smelter Reference List'!$E$1:$E$65536,0)))</f>
        <v>Aurubis AG</v>
      </c>
      <c r="D1543" s="161" t="s">
        <v>2448</v>
      </c>
      <c r="E1543" s="161" t="s">
        <v>2195</v>
      </c>
      <c r="F1543" s="161" t="s">
        <v>1242</v>
      </c>
      <c r="G1543" s="161" t="s">
        <v>3125</v>
      </c>
      <c r="H1543" s="247">
        <v>0</v>
      </c>
      <c r="I1543" s="248" t="s">
        <v>3146</v>
      </c>
      <c r="J1543" s="248" t="s">
        <v>3147</v>
      </c>
      <c r="K1543" s="245"/>
      <c r="L1543" s="245"/>
      <c r="M1543" s="245"/>
      <c r="N1543" s="245"/>
      <c r="O1543" s="245"/>
      <c r="P1543" s="245"/>
      <c r="Q1543" s="246"/>
      <c r="R1543" s="233"/>
      <c r="S1543" s="234">
        <f>IF(C1543="",NA(),MATCH($B1543&amp;$C1543,'Smelter Reference List'!$J:$J,0))</f>
        <v>26</v>
      </c>
      <c r="T1543" s="235"/>
      <c r="U1543" s="235">
        <f t="shared" si="44"/>
        <v>0</v>
      </c>
      <c r="V1543" s="235"/>
      <c r="W1543" s="235"/>
      <c r="Y1543" s="228" t="str">
        <f t="shared" si="45"/>
        <v>GoldAurubis AG</v>
      </c>
    </row>
    <row r="1544" spans="1:25" s="228" customFormat="1" ht="20.25">
      <c r="A1544" s="161" t="s">
        <v>1248</v>
      </c>
      <c r="B1544" s="408" t="s">
        <v>2323</v>
      </c>
      <c r="C1544" s="297" t="str">
        <f>IF(LEN(A1544)=0,"",INDEX('[2]Smelter Reference List'!$C$1:$C$65536,MATCH($A1544,'[2]Smelter Reference List'!$E$1:$E$65536,0)))</f>
        <v>CCR Refinery - Glencore Canada Corporation</v>
      </c>
      <c r="D1544" s="161" t="s">
        <v>4323</v>
      </c>
      <c r="E1544" s="161" t="s">
        <v>2177</v>
      </c>
      <c r="F1544" s="161" t="s">
        <v>1248</v>
      </c>
      <c r="G1544" s="161" t="s">
        <v>3125</v>
      </c>
      <c r="H1544" s="247">
        <v>0</v>
      </c>
      <c r="I1544" s="248" t="s">
        <v>3154</v>
      </c>
      <c r="J1544" s="248" t="s">
        <v>3155</v>
      </c>
      <c r="K1544" s="245"/>
      <c r="L1544" s="245"/>
      <c r="M1544" s="245"/>
      <c r="N1544" s="245"/>
      <c r="O1544" s="245"/>
      <c r="P1544" s="245"/>
      <c r="Q1544" s="246"/>
      <c r="R1544" s="233"/>
      <c r="S1544" s="234">
        <f>IF(C1544="",NA(),MATCH($B1544&amp;$C1544,'Smelter Reference List'!$J:$J,0))</f>
        <v>33</v>
      </c>
      <c r="T1544" s="235"/>
      <c r="U1544" s="235">
        <f t="shared" si="44"/>
        <v>0</v>
      </c>
      <c r="V1544" s="235"/>
      <c r="W1544" s="235"/>
      <c r="Y1544" s="228" t="str">
        <f t="shared" si="45"/>
        <v>GoldCCR Refinery - Glencore Canada Corporation</v>
      </c>
    </row>
    <row r="1545" spans="1:25" s="228" customFormat="1" ht="20.25">
      <c r="A1545" s="161" t="s">
        <v>1250</v>
      </c>
      <c r="B1545" s="408" t="s">
        <v>2323</v>
      </c>
      <c r="C1545" s="297" t="str">
        <f>IF(LEN(A1545)=0,"",INDEX('[2]Smelter Reference List'!$C$1:$C$65536,MATCH($A1545,'[2]Smelter Reference List'!$E$1:$E$65536,0)))</f>
        <v>Chimet S.p.A.</v>
      </c>
      <c r="D1545" s="161" t="s">
        <v>71</v>
      </c>
      <c r="E1545" s="161" t="s">
        <v>2246</v>
      </c>
      <c r="F1545" s="161" t="s">
        <v>1250</v>
      </c>
      <c r="G1545" s="161" t="s">
        <v>3125</v>
      </c>
      <c r="H1545" s="247">
        <v>0</v>
      </c>
      <c r="I1545" s="248" t="s">
        <v>3163</v>
      </c>
      <c r="J1545" s="248" t="s">
        <v>3164</v>
      </c>
      <c r="K1545" s="245"/>
      <c r="L1545" s="245"/>
      <c r="M1545" s="245"/>
      <c r="N1545" s="245"/>
      <c r="O1545" s="245"/>
      <c r="P1545" s="245"/>
      <c r="Q1545" s="246"/>
      <c r="R1545" s="233"/>
      <c r="S1545" s="234">
        <f>IF(C1545="",NA(),MATCH($B1545&amp;$C1545,'Smelter Reference List'!$J:$J,0))</f>
        <v>38</v>
      </c>
      <c r="T1545" s="235"/>
      <c r="U1545" s="235">
        <f t="shared" si="44"/>
        <v>0</v>
      </c>
      <c r="V1545" s="235"/>
      <c r="W1545" s="235"/>
      <c r="Y1545" s="228" t="str">
        <f t="shared" si="45"/>
        <v>GoldChimet S.p.A.</v>
      </c>
    </row>
    <row r="1546" spans="1:25" s="228" customFormat="1" ht="20.25">
      <c r="A1546" s="161" t="s">
        <v>1251</v>
      </c>
      <c r="B1546" s="408" t="s">
        <v>2323</v>
      </c>
      <c r="C1546" s="297" t="str">
        <f>IF(LEN(A1546)=0,"",INDEX('[2]Smelter Reference List'!$C$1:$C$65536,MATCH($A1546,'[2]Smelter Reference List'!$E$1:$E$65536,0)))</f>
        <v>Chugai Mining</v>
      </c>
      <c r="D1546" s="161" t="s">
        <v>984</v>
      </c>
      <c r="E1546" s="161" t="s">
        <v>2249</v>
      </c>
      <c r="F1546" s="161" t="s">
        <v>1251</v>
      </c>
      <c r="G1546" s="161" t="s">
        <v>3125</v>
      </c>
      <c r="H1546" s="247">
        <v>0</v>
      </c>
      <c r="I1546" s="248" t="s">
        <v>3165</v>
      </c>
      <c r="J1546" s="248" t="s">
        <v>3129</v>
      </c>
      <c r="K1546" s="245"/>
      <c r="L1546" s="245"/>
      <c r="M1546" s="245"/>
      <c r="N1546" s="245"/>
      <c r="O1546" s="245"/>
      <c r="P1546" s="245"/>
      <c r="Q1546" s="246"/>
      <c r="R1546" s="233"/>
      <c r="S1546" s="234">
        <f>IF(C1546="",NA(),MATCH($B1546&amp;$C1546,'Smelter Reference List'!$J:$J,0))</f>
        <v>41</v>
      </c>
      <c r="T1546" s="235"/>
      <c r="U1546" s="235">
        <f t="shared" si="44"/>
        <v>0</v>
      </c>
      <c r="V1546" s="235"/>
      <c r="W1546" s="235"/>
      <c r="Y1546" s="228" t="str">
        <f t="shared" si="45"/>
        <v>GoldChugai Mining</v>
      </c>
    </row>
    <row r="1547" spans="1:25" s="228" customFormat="1" ht="20.25">
      <c r="A1547" s="161" t="s">
        <v>1258</v>
      </c>
      <c r="B1547" s="408" t="s">
        <v>2323</v>
      </c>
      <c r="C1547" s="297" t="str">
        <f>IF(LEN(A1547)=0,"",INDEX('[2]Smelter Reference List'!$C$1:$C$65536,MATCH($A1547,'[2]Smelter Reference List'!$E$1:$E$65536,0)))</f>
        <v>Dowa</v>
      </c>
      <c r="D1547" s="161" t="s">
        <v>1788</v>
      </c>
      <c r="E1547" s="161" t="s">
        <v>2249</v>
      </c>
      <c r="F1547" s="161" t="s">
        <v>1258</v>
      </c>
      <c r="G1547" s="161" t="s">
        <v>3125</v>
      </c>
      <c r="H1547" s="247">
        <v>0</v>
      </c>
      <c r="I1547" s="248" t="s">
        <v>3173</v>
      </c>
      <c r="J1547" s="248" t="s">
        <v>3174</v>
      </c>
      <c r="K1547" s="245"/>
      <c r="L1547" s="245"/>
      <c r="M1547" s="245"/>
      <c r="N1547" s="245"/>
      <c r="O1547" s="245"/>
      <c r="P1547" s="245"/>
      <c r="Q1547" s="246"/>
      <c r="R1547" s="233"/>
      <c r="S1547" s="234">
        <f>IF(C1547="",NA(),MATCH($B1547&amp;$C1547,'Smelter Reference List'!$J:$J,0))</f>
        <v>49</v>
      </c>
      <c r="T1547" s="235"/>
      <c r="U1547" s="235">
        <f t="shared" si="44"/>
        <v>0</v>
      </c>
      <c r="V1547" s="235"/>
      <c r="W1547" s="235"/>
      <c r="Y1547" s="228" t="str">
        <f t="shared" si="45"/>
        <v>GoldDowa</v>
      </c>
    </row>
    <row r="1548" spans="1:25" s="228" customFormat="1" ht="20.25">
      <c r="A1548" s="161" t="s">
        <v>727</v>
      </c>
      <c r="B1548" s="408" t="s">
        <v>2323</v>
      </c>
      <c r="C1548" s="297" t="str">
        <f>IF(LEN(A1548)=0,"",INDEX('[2]Smelter Reference List'!$C$1:$C$65536,MATCH($A1548,'[2]Smelter Reference List'!$E$1:$E$65536,0)))</f>
        <v>Eco-System Recycling Co., Ltd.</v>
      </c>
      <c r="D1548" s="161" t="s">
        <v>726</v>
      </c>
      <c r="E1548" s="161" t="s">
        <v>2249</v>
      </c>
      <c r="F1548" s="161" t="s">
        <v>727</v>
      </c>
      <c r="G1548" s="161" t="s">
        <v>3125</v>
      </c>
      <c r="H1548" s="247">
        <v>0</v>
      </c>
      <c r="I1548" s="248" t="s">
        <v>3178</v>
      </c>
      <c r="J1548" s="248" t="s">
        <v>3179</v>
      </c>
      <c r="K1548" s="245"/>
      <c r="L1548" s="245"/>
      <c r="M1548" s="245"/>
      <c r="N1548" s="245"/>
      <c r="O1548" s="245"/>
      <c r="P1548" s="245"/>
      <c r="Q1548" s="246"/>
      <c r="R1548" s="233"/>
      <c r="S1548" s="234">
        <f>IF(C1548="",NA(),MATCH($B1548&amp;$C1548,'Smelter Reference List'!$J:$J,0))</f>
        <v>54</v>
      </c>
      <c r="T1548" s="235"/>
      <c r="U1548" s="235">
        <f t="shared" si="44"/>
        <v>0</v>
      </c>
      <c r="V1548" s="235"/>
      <c r="W1548" s="235"/>
      <c r="Y1548" s="228" t="str">
        <f t="shared" si="45"/>
        <v>GoldEco-System Recycling Co., Ltd.</v>
      </c>
    </row>
    <row r="1549" spans="1:25" s="228" customFormat="1" ht="20.25">
      <c r="A1549" s="161" t="s">
        <v>1263</v>
      </c>
      <c r="B1549" s="408" t="s">
        <v>2323</v>
      </c>
      <c r="C1549" s="297" t="str">
        <f>IF(LEN(A1549)=0,"",INDEX('[2]Smelter Reference List'!$C$1:$C$65536,MATCH($A1549,'[2]Smelter Reference List'!$E$1:$E$65536,0)))</f>
        <v>Heimerle + Meule GmbH</v>
      </c>
      <c r="D1549" s="161" t="s">
        <v>1959</v>
      </c>
      <c r="E1549" s="161" t="s">
        <v>2195</v>
      </c>
      <c r="F1549" s="161" t="s">
        <v>1263</v>
      </c>
      <c r="G1549" s="161" t="s">
        <v>3125</v>
      </c>
      <c r="H1549" s="247">
        <v>0</v>
      </c>
      <c r="I1549" s="248" t="s">
        <v>3130</v>
      </c>
      <c r="J1549" s="248" t="s">
        <v>3131</v>
      </c>
      <c r="K1549" s="245"/>
      <c r="L1549" s="245"/>
      <c r="M1549" s="245"/>
      <c r="N1549" s="245"/>
      <c r="O1549" s="245"/>
      <c r="P1549" s="245"/>
      <c r="Q1549" s="246"/>
      <c r="R1549" s="233"/>
      <c r="S1549" s="234">
        <f>IF(C1549="",NA(),MATCH($B1549&amp;$C1549,'Smelter Reference List'!$J:$J,0))</f>
        <v>71</v>
      </c>
      <c r="T1549" s="235"/>
      <c r="U1549" s="235">
        <f t="shared" si="44"/>
        <v>0</v>
      </c>
      <c r="V1549" s="235"/>
      <c r="W1549" s="235"/>
      <c r="Y1549" s="228" t="str">
        <f t="shared" si="45"/>
        <v>GoldHeimerle + Meule GmbH</v>
      </c>
    </row>
    <row r="1550" spans="1:25" s="228" customFormat="1" ht="20.25">
      <c r="A1550" s="161" t="s">
        <v>1264</v>
      </c>
      <c r="B1550" s="408" t="s">
        <v>2323</v>
      </c>
      <c r="C1550" s="297" t="str">
        <f>IF(LEN(A1550)=0,"",INDEX('[2]Smelter Reference List'!$C$1:$C$65536,MATCH($A1550,'[2]Smelter Reference List'!$E$1:$E$65536,0)))</f>
        <v>Heraeus Ltd. Hong Kong</v>
      </c>
      <c r="D1550" s="161" t="s">
        <v>72</v>
      </c>
      <c r="E1550" s="161" t="s">
        <v>2181</v>
      </c>
      <c r="F1550" s="161" t="s">
        <v>1264</v>
      </c>
      <c r="G1550" s="161" t="s">
        <v>3125</v>
      </c>
      <c r="H1550" s="247">
        <v>0</v>
      </c>
      <c r="I1550" s="248" t="s">
        <v>3190</v>
      </c>
      <c r="J1550" s="248" t="s">
        <v>3191</v>
      </c>
      <c r="K1550" s="245"/>
      <c r="L1550" s="245"/>
      <c r="M1550" s="245"/>
      <c r="N1550" s="245"/>
      <c r="O1550" s="245"/>
      <c r="P1550" s="245"/>
      <c r="Q1550" s="246"/>
      <c r="R1550" s="233"/>
      <c r="S1550" s="234">
        <f>IF(C1550="",NA(),MATCH($B1550&amp;$C1550,'Smelter Reference List'!$J:$J,0))</f>
        <v>75</v>
      </c>
      <c r="T1550" s="235"/>
      <c r="U1550" s="235">
        <f t="shared" si="44"/>
        <v>0</v>
      </c>
      <c r="V1550" s="235"/>
      <c r="W1550" s="235"/>
      <c r="Y1550" s="228" t="str">
        <f t="shared" si="45"/>
        <v>GoldHeraeus Ltd. Hong Kong</v>
      </c>
    </row>
    <row r="1551" spans="1:25" s="228" customFormat="1" ht="20.25">
      <c r="A1551" s="161" t="s">
        <v>1265</v>
      </c>
      <c r="B1551" s="408" t="s">
        <v>2323</v>
      </c>
      <c r="C1551" s="297" t="str">
        <f>IF(LEN(A1551)=0,"",INDEX('[2]Smelter Reference List'!$C$1:$C$65536,MATCH($A1551,'[2]Smelter Reference List'!$E$1:$E$65536,0)))</f>
        <v>Heraeus Precious Metals GmbH &amp; Co. KG</v>
      </c>
      <c r="D1551" s="161" t="s">
        <v>2451</v>
      </c>
      <c r="E1551" s="161" t="s">
        <v>2195</v>
      </c>
      <c r="F1551" s="161" t="s">
        <v>1265</v>
      </c>
      <c r="G1551" s="161" t="s">
        <v>3125</v>
      </c>
      <c r="H1551" s="247">
        <v>0</v>
      </c>
      <c r="I1551" s="248" t="s">
        <v>3192</v>
      </c>
      <c r="J1551" s="248" t="s">
        <v>3193</v>
      </c>
      <c r="K1551" s="245"/>
      <c r="L1551" s="245"/>
      <c r="M1551" s="245"/>
      <c r="N1551" s="245"/>
      <c r="O1551" s="245"/>
      <c r="P1551" s="245"/>
      <c r="Q1551" s="246"/>
      <c r="R1551" s="233"/>
      <c r="S1551" s="234">
        <f>IF(C1551="",NA(),MATCH($B1551&amp;$C1551,'Smelter Reference List'!$J:$J,0))</f>
        <v>76</v>
      </c>
      <c r="T1551" s="235"/>
      <c r="U1551" s="235">
        <f t="shared" si="44"/>
        <v>0</v>
      </c>
      <c r="V1551" s="235"/>
      <c r="W1551" s="235"/>
      <c r="Y1551" s="228" t="str">
        <f t="shared" si="45"/>
        <v>GoldHeraeus Precious Metals GmbH &amp; Co. KG</v>
      </c>
    </row>
    <row r="1552" spans="1:25" s="228" customFormat="1" ht="20.25">
      <c r="A1552" s="161" t="s">
        <v>1269</v>
      </c>
      <c r="B1552" s="408" t="s">
        <v>2323</v>
      </c>
      <c r="C1552" s="297" t="str">
        <f>IF(LEN(A1552)=0,"",INDEX('[2]Smelter Reference List'!$C$1:$C$65536,MATCH($A1552,'[2]Smelter Reference List'!$E$1:$E$65536,0)))</f>
        <v>Ishifuku Metal Industry Co., Ltd.</v>
      </c>
      <c r="D1552" s="161" t="s">
        <v>2452</v>
      </c>
      <c r="E1552" s="161" t="s">
        <v>2249</v>
      </c>
      <c r="F1552" s="161" t="s">
        <v>1269</v>
      </c>
      <c r="G1552" s="161" t="s">
        <v>3125</v>
      </c>
      <c r="H1552" s="247">
        <v>0</v>
      </c>
      <c r="I1552" s="248" t="s">
        <v>3199</v>
      </c>
      <c r="J1552" s="248" t="s">
        <v>3179</v>
      </c>
      <c r="K1552" s="245"/>
      <c r="L1552" s="245"/>
      <c r="M1552" s="245"/>
      <c r="N1552" s="245"/>
      <c r="O1552" s="245"/>
      <c r="P1552" s="245"/>
      <c r="Q1552" s="246"/>
      <c r="R1552" s="233"/>
      <c r="S1552" s="234">
        <f>IF(C1552="",NA(),MATCH($B1552&amp;$C1552,'Smelter Reference List'!$J:$J,0))</f>
        <v>82</v>
      </c>
      <c r="T1552" s="235"/>
      <c r="U1552" s="235">
        <f t="shared" si="44"/>
        <v>0</v>
      </c>
      <c r="V1552" s="235"/>
      <c r="W1552" s="235"/>
      <c r="Y1552" s="228" t="str">
        <f t="shared" si="45"/>
        <v>GoldIshifuku Metal Industry Co., Ltd.</v>
      </c>
    </row>
    <row r="1553" spans="1:25" s="228" customFormat="1" ht="20.25">
      <c r="A1553" s="161" t="s">
        <v>1273</v>
      </c>
      <c r="B1553" s="408" t="s">
        <v>2323</v>
      </c>
      <c r="C1553" s="297" t="str">
        <f>IF(LEN(A1553)=0,"",INDEX('[2]Smelter Reference List'!$C$1:$C$65536,MATCH($A1553,'[2]Smelter Reference List'!$E$1:$E$65536,0)))</f>
        <v>Asahi Refining USA Inc.</v>
      </c>
      <c r="D1553" s="161" t="s">
        <v>4267</v>
      </c>
      <c r="E1553" s="161" t="s">
        <v>1759</v>
      </c>
      <c r="F1553" s="161" t="s">
        <v>1273</v>
      </c>
      <c r="G1553" s="161" t="s">
        <v>3125</v>
      </c>
      <c r="H1553" s="247">
        <v>0</v>
      </c>
      <c r="I1553" s="248" t="s">
        <v>3206</v>
      </c>
      <c r="J1553" s="248" t="s">
        <v>3207</v>
      </c>
      <c r="K1553" s="245"/>
      <c r="L1553" s="245"/>
      <c r="M1553" s="245"/>
      <c r="N1553" s="245"/>
      <c r="O1553" s="245"/>
      <c r="P1553" s="245"/>
      <c r="Q1553" s="246"/>
      <c r="R1553" s="233"/>
      <c r="S1553" s="234">
        <f>IF(C1553="",NA(),MATCH($B1553&amp;$C1553,'Smelter Reference List'!$J:$J,0))</f>
        <v>20</v>
      </c>
      <c r="T1553" s="235"/>
      <c r="U1553" s="235">
        <f t="shared" si="44"/>
        <v>0</v>
      </c>
      <c r="V1553" s="235"/>
      <c r="W1553" s="235"/>
      <c r="Y1553" s="228" t="str">
        <f t="shared" si="45"/>
        <v>GoldAsahi Refining USA Inc.</v>
      </c>
    </row>
    <row r="1554" spans="1:25" s="228" customFormat="1" ht="20.25">
      <c r="A1554" s="161" t="s">
        <v>1274</v>
      </c>
      <c r="B1554" s="408" t="s">
        <v>2323</v>
      </c>
      <c r="C1554" s="297" t="str">
        <f>IF(LEN(A1554)=0,"",INDEX('[2]Smelter Reference List'!$C$1:$C$65536,MATCH($A1554,'[2]Smelter Reference List'!$E$1:$E$65536,0)))</f>
        <v>Asahi Refining Canada Ltd.</v>
      </c>
      <c r="D1554" s="161" t="s">
        <v>4671</v>
      </c>
      <c r="E1554" s="161" t="s">
        <v>2177</v>
      </c>
      <c r="F1554" s="161" t="s">
        <v>1274</v>
      </c>
      <c r="G1554" s="161" t="s">
        <v>3125</v>
      </c>
      <c r="H1554" s="247">
        <v>0</v>
      </c>
      <c r="I1554" s="248" t="s">
        <v>3209</v>
      </c>
      <c r="J1554" s="248" t="s">
        <v>3210</v>
      </c>
      <c r="K1554" s="245"/>
      <c r="L1554" s="245"/>
      <c r="M1554" s="245"/>
      <c r="N1554" s="245"/>
      <c r="O1554" s="245"/>
      <c r="P1554" s="245"/>
      <c r="Q1554" s="246"/>
      <c r="R1554" s="233"/>
      <c r="S1554" s="234">
        <f>IF(C1554="",NA(),MATCH($B1554&amp;$C1554,'Smelter Reference List'!$J:$J,0))</f>
        <v>19</v>
      </c>
      <c r="T1554" s="235"/>
      <c r="U1554" s="235">
        <f t="shared" si="44"/>
        <v>0</v>
      </c>
      <c r="V1554" s="235"/>
      <c r="W1554" s="235"/>
      <c r="Y1554" s="228" t="str">
        <f t="shared" si="45"/>
        <v>GoldAsahi Refining Canada Ltd.</v>
      </c>
    </row>
    <row r="1555" spans="1:25" s="228" customFormat="1" ht="20.25">
      <c r="A1555" s="161" t="s">
        <v>1277</v>
      </c>
      <c r="B1555" s="408" t="s">
        <v>2323</v>
      </c>
      <c r="C1555" s="297" t="str">
        <f>IF(LEN(A1555)=0,"",INDEX('[2]Smelter Reference List'!$C$1:$C$65536,MATCH($A1555,'[2]Smelter Reference List'!$E$1:$E$65536,0)))</f>
        <v>JX Nippon Mining &amp; Metals Co., Ltd.</v>
      </c>
      <c r="D1555" s="161" t="s">
        <v>73</v>
      </c>
      <c r="E1555" s="161" t="s">
        <v>2249</v>
      </c>
      <c r="F1555" s="161" t="s">
        <v>1277</v>
      </c>
      <c r="G1555" s="161" t="s">
        <v>3125</v>
      </c>
      <c r="H1555" s="247">
        <v>0</v>
      </c>
      <c r="I1555" s="248" t="s">
        <v>4844</v>
      </c>
      <c r="J1555" s="248" t="s">
        <v>4844</v>
      </c>
      <c r="K1555" s="245"/>
      <c r="L1555" s="245"/>
      <c r="M1555" s="245"/>
      <c r="N1555" s="245"/>
      <c r="O1555" s="245"/>
      <c r="P1555" s="245"/>
      <c r="Q1555" s="246"/>
      <c r="R1555" s="233"/>
      <c r="S1555" s="234">
        <f>IF(C1555="",NA(),MATCH($B1555&amp;$C1555,'Smelter Reference List'!$J:$J,0))</f>
        <v>93</v>
      </c>
      <c r="T1555" s="235"/>
      <c r="U1555" s="235">
        <f t="shared" si="44"/>
        <v>0</v>
      </c>
      <c r="V1555" s="235"/>
      <c r="W1555" s="235"/>
      <c r="Y1555" s="228" t="str">
        <f t="shared" si="45"/>
        <v>GoldJX Nippon Mining &amp; Metals Co., Ltd.</v>
      </c>
    </row>
    <row r="1556" spans="1:25" s="228" customFormat="1" ht="20.25">
      <c r="A1556" s="161" t="s">
        <v>1280</v>
      </c>
      <c r="B1556" s="408" t="s">
        <v>2323</v>
      </c>
      <c r="C1556" s="297" t="str">
        <f>IF(LEN(A1556)=0,"",INDEX('[2]Smelter Reference List'!$C$1:$C$65536,MATCH($A1556,'[2]Smelter Reference List'!$E$1:$E$65536,0)))</f>
        <v>Kennecott Utah Copper LLC</v>
      </c>
      <c r="D1556" s="161" t="s">
        <v>1279</v>
      </c>
      <c r="E1556" s="161" t="s">
        <v>1759</v>
      </c>
      <c r="F1556" s="161" t="s">
        <v>1280</v>
      </c>
      <c r="G1556" s="161" t="s">
        <v>3125</v>
      </c>
      <c r="H1556" s="247">
        <v>0</v>
      </c>
      <c r="I1556" s="248" t="s">
        <v>3215</v>
      </c>
      <c r="J1556" s="248" t="s">
        <v>3207</v>
      </c>
      <c r="K1556" s="245"/>
      <c r="L1556" s="245"/>
      <c r="M1556" s="245"/>
      <c r="N1556" s="245"/>
      <c r="O1556" s="245"/>
      <c r="P1556" s="245"/>
      <c r="Q1556" s="246"/>
      <c r="R1556" s="233"/>
      <c r="S1556" s="234">
        <f>IF(C1556="",NA(),MATCH($B1556&amp;$C1556,'Smelter Reference List'!$J:$J,0))</f>
        <v>97</v>
      </c>
      <c r="T1556" s="235"/>
      <c r="U1556" s="235">
        <f t="shared" si="44"/>
        <v>0</v>
      </c>
      <c r="V1556" s="235"/>
      <c r="W1556" s="235"/>
      <c r="Y1556" s="228" t="str">
        <f t="shared" si="45"/>
        <v>GoldKennecott Utah Copper LLC</v>
      </c>
    </row>
    <row r="1557" spans="1:25" s="228" customFormat="1" ht="20.25">
      <c r="A1557" s="161" t="s">
        <v>1281</v>
      </c>
      <c r="B1557" s="408" t="s">
        <v>2323</v>
      </c>
      <c r="C1557" s="297" t="str">
        <f>IF(LEN(A1557)=0,"",INDEX('[2]Smelter Reference List'!$C$1:$C$65536,MATCH($A1557,'[2]Smelter Reference List'!$E$1:$E$65536,0)))</f>
        <v>Kojima Chemicals Co., Ltd.</v>
      </c>
      <c r="D1557" s="161" t="s">
        <v>4158</v>
      </c>
      <c r="E1557" s="161" t="s">
        <v>2249</v>
      </c>
      <c r="F1557" s="161" t="s">
        <v>1281</v>
      </c>
      <c r="G1557" s="161" t="s">
        <v>3125</v>
      </c>
      <c r="H1557" s="247">
        <v>0</v>
      </c>
      <c r="I1557" s="248" t="s">
        <v>3216</v>
      </c>
      <c r="J1557" s="248" t="s">
        <v>3179</v>
      </c>
      <c r="K1557" s="245"/>
      <c r="L1557" s="245"/>
      <c r="M1557" s="245"/>
      <c r="N1557" s="245"/>
      <c r="O1557" s="245"/>
      <c r="P1557" s="245"/>
      <c r="Q1557" s="246"/>
      <c r="R1557" s="233"/>
      <c r="S1557" s="234">
        <f>IF(C1557="",NA(),MATCH($B1557&amp;$C1557,'Smelter Reference List'!$J:$J,0))</f>
        <v>99</v>
      </c>
      <c r="T1557" s="235"/>
      <c r="U1557" s="235">
        <f t="shared" si="44"/>
        <v>0</v>
      </c>
      <c r="V1557" s="235"/>
      <c r="W1557" s="235"/>
      <c r="Y1557" s="228" t="str">
        <f t="shared" si="45"/>
        <v>GoldKojima Chemicals Co., Ltd.</v>
      </c>
    </row>
    <row r="1558" spans="1:25" s="228" customFormat="1" ht="20.25">
      <c r="A1558" s="161" t="s">
        <v>1286</v>
      </c>
      <c r="B1558" s="408" t="s">
        <v>2323</v>
      </c>
      <c r="C1558" s="297" t="str">
        <f>IF(LEN(A1558)=0,"",INDEX('[2]Smelter Reference List'!$C$1:$C$65536,MATCH($A1558,'[2]Smelter Reference List'!$E$1:$E$65536,0)))</f>
        <v>LS-NIKKO Copper Inc.</v>
      </c>
      <c r="D1558" s="161" t="s">
        <v>74</v>
      </c>
      <c r="E1558" s="161" t="s">
        <v>2256</v>
      </c>
      <c r="F1558" s="161" t="s">
        <v>1286</v>
      </c>
      <c r="G1558" s="161" t="s">
        <v>3125</v>
      </c>
      <c r="H1558" s="247">
        <v>0</v>
      </c>
      <c r="I1558" s="248" t="s">
        <v>3225</v>
      </c>
      <c r="J1558" s="248" t="s">
        <v>3226</v>
      </c>
      <c r="K1558" s="245"/>
      <c r="L1558" s="245"/>
      <c r="M1558" s="245"/>
      <c r="N1558" s="245"/>
      <c r="O1558" s="245"/>
      <c r="P1558" s="245"/>
      <c r="Q1558" s="246"/>
      <c r="R1558" s="233"/>
      <c r="S1558" s="234">
        <f>IF(C1558="",NA(),MATCH($B1558&amp;$C1558,'Smelter Reference List'!$J:$J,0))</f>
        <v>111</v>
      </c>
      <c r="T1558" s="235"/>
      <c r="U1558" s="235">
        <f t="shared" si="44"/>
        <v>0</v>
      </c>
      <c r="V1558" s="235"/>
      <c r="W1558" s="235"/>
      <c r="Y1558" s="228" t="str">
        <f t="shared" si="45"/>
        <v>GoldLS-NIKKO Copper Inc.</v>
      </c>
    </row>
    <row r="1559" spans="1:25" s="228" customFormat="1" ht="20.25">
      <c r="A1559" s="161" t="s">
        <v>1289</v>
      </c>
      <c r="B1559" s="408" t="s">
        <v>2323</v>
      </c>
      <c r="C1559" s="297" t="str">
        <f>IF(LEN(A1559)=0,"",INDEX('[2]Smelter Reference List'!$C$1:$C$65536,MATCH($A1559,'[2]Smelter Reference List'!$E$1:$E$65536,0)))</f>
        <v>Materion</v>
      </c>
      <c r="D1559" s="161" t="s">
        <v>1792</v>
      </c>
      <c r="E1559" s="161" t="s">
        <v>1759</v>
      </c>
      <c r="F1559" s="161" t="s">
        <v>1289</v>
      </c>
      <c r="G1559" s="161" t="s">
        <v>3125</v>
      </c>
      <c r="H1559" s="247">
        <v>0</v>
      </c>
      <c r="I1559" s="248" t="s">
        <v>3229</v>
      </c>
      <c r="J1559" s="248" t="s">
        <v>3230</v>
      </c>
      <c r="K1559" s="245"/>
      <c r="L1559" s="245"/>
      <c r="M1559" s="245"/>
      <c r="N1559" s="245"/>
      <c r="O1559" s="245"/>
      <c r="P1559" s="245"/>
      <c r="Q1559" s="246"/>
      <c r="R1559" s="233"/>
      <c r="S1559" s="234">
        <f>IF(C1559="",NA(),MATCH($B1559&amp;$C1559,'Smelter Reference List'!$J:$J,0))</f>
        <v>115</v>
      </c>
      <c r="T1559" s="235"/>
      <c r="U1559" s="235">
        <f t="shared" si="44"/>
        <v>0</v>
      </c>
      <c r="V1559" s="235"/>
      <c r="W1559" s="235"/>
      <c r="Y1559" s="228" t="str">
        <f t="shared" si="45"/>
        <v>GoldMaterion</v>
      </c>
    </row>
    <row r="1560" spans="1:25" s="228" customFormat="1" ht="20.25">
      <c r="A1560" s="161" t="s">
        <v>1290</v>
      </c>
      <c r="B1560" s="408" t="s">
        <v>2323</v>
      </c>
      <c r="C1560" s="297" t="str">
        <f>IF(LEN(A1560)=0,"",INDEX('[2]Smelter Reference List'!$C$1:$C$65536,MATCH($A1560,'[2]Smelter Reference List'!$E$1:$E$65536,0)))</f>
        <v>Matsuda Sangyo Co., Ltd.</v>
      </c>
      <c r="D1560" s="161" t="s">
        <v>75</v>
      </c>
      <c r="E1560" s="161" t="s">
        <v>2249</v>
      </c>
      <c r="F1560" s="161" t="s">
        <v>1290</v>
      </c>
      <c r="G1560" s="161" t="s">
        <v>3125</v>
      </c>
      <c r="H1560" s="247">
        <v>0</v>
      </c>
      <c r="I1560" s="248" t="s">
        <v>3231</v>
      </c>
      <c r="J1560" s="248" t="s">
        <v>3179</v>
      </c>
      <c r="K1560" s="245"/>
      <c r="L1560" s="245"/>
      <c r="M1560" s="245"/>
      <c r="N1560" s="245"/>
      <c r="O1560" s="245"/>
      <c r="P1560" s="245"/>
      <c r="Q1560" s="246"/>
      <c r="R1560" s="233"/>
      <c r="S1560" s="234">
        <f>IF(C1560="",NA(),MATCH($B1560&amp;$C1560,'Smelter Reference List'!$J:$J,0))</f>
        <v>116</v>
      </c>
      <c r="T1560" s="235"/>
      <c r="U1560" s="235">
        <f t="shared" si="44"/>
        <v>0</v>
      </c>
      <c r="V1560" s="235"/>
      <c r="W1560" s="235"/>
      <c r="Y1560" s="228" t="str">
        <f t="shared" si="45"/>
        <v>GoldMatsuda Sangyo Co., Ltd.</v>
      </c>
    </row>
    <row r="1561" spans="1:25" s="228" customFormat="1" ht="20.25">
      <c r="A1561" s="161" t="s">
        <v>1291</v>
      </c>
      <c r="B1561" s="408" t="s">
        <v>2323</v>
      </c>
      <c r="C1561" s="297" t="str">
        <f>IF(LEN(A1561)=0,"",INDEX('[2]Smelter Reference List'!$C$1:$C$65536,MATCH($A1561,'[2]Smelter Reference List'!$E$1:$E$65536,0)))</f>
        <v>Metalor Technologies (Hong Kong) Ltd.</v>
      </c>
      <c r="D1561" s="161" t="s">
        <v>4162</v>
      </c>
      <c r="E1561" s="161" t="s">
        <v>2181</v>
      </c>
      <c r="F1561" s="161" t="s">
        <v>1291</v>
      </c>
      <c r="G1561" s="161" t="s">
        <v>3125</v>
      </c>
      <c r="H1561" s="247">
        <v>0</v>
      </c>
      <c r="I1561" s="248" t="s">
        <v>3236</v>
      </c>
      <c r="J1561" s="248" t="s">
        <v>3191</v>
      </c>
      <c r="K1561" s="245"/>
      <c r="L1561" s="245"/>
      <c r="M1561" s="245"/>
      <c r="N1561" s="245"/>
      <c r="O1561" s="245"/>
      <c r="P1561" s="245"/>
      <c r="Q1561" s="246"/>
      <c r="R1561" s="233"/>
      <c r="S1561" s="234">
        <f>IF(C1561="",NA(),MATCH($B1561&amp;$C1561,'Smelter Reference List'!$J:$J,0))</f>
        <v>120</v>
      </c>
      <c r="T1561" s="235"/>
      <c r="U1561" s="235">
        <f t="shared" si="44"/>
        <v>0</v>
      </c>
      <c r="V1561" s="235"/>
      <c r="W1561" s="235"/>
      <c r="Y1561" s="228" t="str">
        <f t="shared" si="45"/>
        <v>GoldMetalor Technologies (Hong Kong) Ltd.</v>
      </c>
    </row>
    <row r="1562" spans="1:25" s="228" customFormat="1" ht="20.25">
      <c r="A1562" s="161" t="s">
        <v>1292</v>
      </c>
      <c r="B1562" s="408" t="s">
        <v>2323</v>
      </c>
      <c r="C1562" s="297" t="str">
        <f>IF(LEN(A1562)=0,"",INDEX('[2]Smelter Reference List'!$C$1:$C$65536,MATCH($A1562,'[2]Smelter Reference List'!$E$1:$E$65536,0)))</f>
        <v>Metalor Technologies (Singapore) Pte., Ltd.</v>
      </c>
      <c r="D1562" s="161" t="s">
        <v>4163</v>
      </c>
      <c r="E1562" s="161" t="s">
        <v>1722</v>
      </c>
      <c r="F1562" s="161" t="s">
        <v>1292</v>
      </c>
      <c r="G1562" s="161" t="s">
        <v>3125</v>
      </c>
      <c r="H1562" s="247">
        <v>0</v>
      </c>
      <c r="I1562" s="248" t="s">
        <v>3237</v>
      </c>
      <c r="J1562" s="248" t="s">
        <v>3238</v>
      </c>
      <c r="K1562" s="245"/>
      <c r="L1562" s="245"/>
      <c r="M1562" s="245"/>
      <c r="N1562" s="245"/>
      <c r="O1562" s="245"/>
      <c r="P1562" s="245"/>
      <c r="Q1562" s="246"/>
      <c r="R1562" s="233"/>
      <c r="S1562" s="234">
        <f>IF(C1562="",NA(),MATCH($B1562&amp;$C1562,'Smelter Reference List'!$J:$J,0))</f>
        <v>121</v>
      </c>
      <c r="T1562" s="235"/>
      <c r="U1562" s="235">
        <f t="shared" si="44"/>
        <v>0</v>
      </c>
      <c r="V1562" s="235"/>
      <c r="W1562" s="235"/>
      <c r="Y1562" s="228" t="str">
        <f t="shared" si="45"/>
        <v>GoldMetalor Technologies (Singapore) Pte., Ltd.</v>
      </c>
    </row>
    <row r="1563" spans="1:25" s="228" customFormat="1" ht="20.25">
      <c r="A1563" s="161" t="s">
        <v>1293</v>
      </c>
      <c r="B1563" s="408" t="s">
        <v>2323</v>
      </c>
      <c r="C1563" s="297" t="str">
        <f>IF(LEN(A1563)=0,"",INDEX('[2]Smelter Reference List'!$C$1:$C$65536,MATCH($A1563,'[2]Smelter Reference List'!$E$1:$E$65536,0)))</f>
        <v>Metalor Technologies S.A.</v>
      </c>
      <c r="D1563" s="161" t="s">
        <v>4697</v>
      </c>
      <c r="E1563" s="161" t="s">
        <v>2179</v>
      </c>
      <c r="F1563" s="161" t="s">
        <v>1293</v>
      </c>
      <c r="G1563" s="161" t="s">
        <v>3125</v>
      </c>
      <c r="H1563" s="247">
        <v>0</v>
      </c>
      <c r="I1563" s="248" t="s">
        <v>3239</v>
      </c>
      <c r="J1563" s="248" t="s">
        <v>3240</v>
      </c>
      <c r="K1563" s="245"/>
      <c r="L1563" s="245"/>
      <c r="M1563" s="245"/>
      <c r="N1563" s="245"/>
      <c r="O1563" s="245"/>
      <c r="P1563" s="245"/>
      <c r="Q1563" s="246"/>
      <c r="R1563" s="233"/>
      <c r="S1563" s="234">
        <f>IF(C1563="",NA(),MATCH($B1563&amp;$C1563,'Smelter Reference List'!$J:$J,0))</f>
        <v>123</v>
      </c>
      <c r="T1563" s="235"/>
      <c r="U1563" s="235">
        <f t="shared" si="44"/>
        <v>0</v>
      </c>
      <c r="V1563" s="235"/>
      <c r="W1563" s="235"/>
      <c r="Y1563" s="228" t="str">
        <f t="shared" si="45"/>
        <v>GoldMetalor Technologies S.A.</v>
      </c>
    </row>
    <row r="1564" spans="1:25" s="228" customFormat="1" ht="20.25">
      <c r="A1564" s="161" t="s">
        <v>1294</v>
      </c>
      <c r="B1564" s="408" t="s">
        <v>2323</v>
      </c>
      <c r="C1564" s="297" t="str">
        <f>IF(LEN(A1564)=0,"",INDEX('[2]Smelter Reference List'!$C$1:$C$65536,MATCH($A1564,'[2]Smelter Reference List'!$E$1:$E$65536,0)))</f>
        <v>Metalor USA Refining Corporation</v>
      </c>
      <c r="D1564" s="161" t="s">
        <v>2453</v>
      </c>
      <c r="E1564" s="161" t="s">
        <v>1759</v>
      </c>
      <c r="F1564" s="161" t="s">
        <v>1294</v>
      </c>
      <c r="G1564" s="161" t="s">
        <v>3125</v>
      </c>
      <c r="H1564" s="247">
        <v>0</v>
      </c>
      <c r="I1564" s="248" t="s">
        <v>3241</v>
      </c>
      <c r="J1564" s="248" t="s">
        <v>3242</v>
      </c>
      <c r="K1564" s="245"/>
      <c r="L1564" s="245"/>
      <c r="M1564" s="245"/>
      <c r="N1564" s="245"/>
      <c r="O1564" s="245"/>
      <c r="P1564" s="245"/>
      <c r="Q1564" s="246"/>
      <c r="R1564" s="233"/>
      <c r="S1564" s="234">
        <f>IF(C1564="",NA(),MATCH($B1564&amp;$C1564,'Smelter Reference List'!$J:$J,0))</f>
        <v>124</v>
      </c>
      <c r="T1564" s="235"/>
      <c r="U1564" s="235">
        <f t="shared" si="44"/>
        <v>0</v>
      </c>
      <c r="V1564" s="235"/>
      <c r="W1564" s="235"/>
      <c r="Y1564" s="228" t="str">
        <f t="shared" si="45"/>
        <v>GoldMetalor USA Refining Corporation</v>
      </c>
    </row>
    <row r="1565" spans="1:25" s="228" customFormat="1" ht="20.25">
      <c r="A1565" s="161" t="s">
        <v>1296</v>
      </c>
      <c r="B1565" s="408" t="s">
        <v>2323</v>
      </c>
      <c r="C1565" s="297" t="str">
        <f>IF(LEN(A1565)=0,"",INDEX('[2]Smelter Reference List'!$C$1:$C$65536,MATCH($A1565,'[2]Smelter Reference List'!$E$1:$E$65536,0)))</f>
        <v>Mitsubishi Materials Corporation</v>
      </c>
      <c r="D1565" s="161" t="s">
        <v>2371</v>
      </c>
      <c r="E1565" s="161" t="s">
        <v>2249</v>
      </c>
      <c r="F1565" s="161" t="s">
        <v>1296</v>
      </c>
      <c r="G1565" s="161" t="s">
        <v>3125</v>
      </c>
      <c r="H1565" s="247">
        <v>0</v>
      </c>
      <c r="I1565" s="248" t="s">
        <v>3245</v>
      </c>
      <c r="J1565" s="248" t="s">
        <v>4283</v>
      </c>
      <c r="K1565" s="245"/>
      <c r="L1565" s="245"/>
      <c r="M1565" s="245"/>
      <c r="N1565" s="245"/>
      <c r="O1565" s="245"/>
      <c r="P1565" s="245"/>
      <c r="Q1565" s="246"/>
      <c r="R1565" s="233"/>
      <c r="S1565" s="234">
        <f>IF(C1565="",NA(),MATCH($B1565&amp;$C1565,'Smelter Reference List'!$J:$J,0))</f>
        <v>128</v>
      </c>
      <c r="T1565" s="235"/>
      <c r="U1565" s="235">
        <f t="shared" si="44"/>
        <v>0</v>
      </c>
      <c r="V1565" s="235"/>
      <c r="W1565" s="235"/>
      <c r="Y1565" s="228" t="str">
        <f t="shared" si="45"/>
        <v>GoldMitsubishi Materials Corporation</v>
      </c>
    </row>
    <row r="1566" spans="1:25" s="228" customFormat="1" ht="20.25">
      <c r="A1566" s="161" t="s">
        <v>1297</v>
      </c>
      <c r="B1566" s="408" t="s">
        <v>2323</v>
      </c>
      <c r="C1566" s="297" t="str">
        <f>IF(LEN(A1566)=0,"",INDEX('[2]Smelter Reference List'!$C$1:$C$65536,MATCH($A1566,'[2]Smelter Reference List'!$E$1:$E$65536,0)))</f>
        <v>Mitsui Mining and Smelting Co., Ltd.</v>
      </c>
      <c r="D1566" s="161" t="s">
        <v>2454</v>
      </c>
      <c r="E1566" s="161" t="s">
        <v>2249</v>
      </c>
      <c r="F1566" s="161" t="s">
        <v>1297</v>
      </c>
      <c r="G1566" s="161" t="s">
        <v>3125</v>
      </c>
      <c r="H1566" s="247">
        <v>0</v>
      </c>
      <c r="I1566" s="248" t="s">
        <v>3247</v>
      </c>
      <c r="J1566" s="248" t="s">
        <v>3246</v>
      </c>
      <c r="K1566" s="245"/>
      <c r="L1566" s="245"/>
      <c r="M1566" s="245"/>
      <c r="N1566" s="245"/>
      <c r="O1566" s="245"/>
      <c r="P1566" s="245"/>
      <c r="Q1566" s="246"/>
      <c r="R1566" s="233"/>
      <c r="S1566" s="234">
        <f>IF(C1566="",NA(),MATCH($B1566&amp;$C1566,'Smelter Reference List'!$J:$J,0))</f>
        <v>130</v>
      </c>
      <c r="T1566" s="235"/>
      <c r="U1566" s="235">
        <f t="shared" si="44"/>
        <v>0</v>
      </c>
      <c r="V1566" s="235"/>
      <c r="W1566" s="235"/>
      <c r="Y1566" s="228" t="str">
        <f t="shared" si="45"/>
        <v>GoldMitsui Mining and Smelting Co., Ltd.</v>
      </c>
    </row>
    <row r="1567" spans="1:25" s="228" customFormat="1" ht="20.25">
      <c r="A1567" s="161" t="s">
        <v>1300</v>
      </c>
      <c r="B1567" s="408" t="s">
        <v>2323</v>
      </c>
      <c r="C1567" s="297" t="str">
        <f>IF(LEN(A1567)=0,"",INDEX('[2]Smelter Reference List'!$C$1:$C$65536,MATCH($A1567,'[2]Smelter Reference List'!$E$1:$E$65536,0)))</f>
        <v>Navoi Mining and Metallurgical Combinat</v>
      </c>
      <c r="D1567" s="161" t="s">
        <v>2455</v>
      </c>
      <c r="E1567" s="161" t="s">
        <v>1760</v>
      </c>
      <c r="F1567" s="161" t="s">
        <v>1300</v>
      </c>
      <c r="G1567" s="161" t="s">
        <v>3125</v>
      </c>
      <c r="H1567" s="247">
        <v>0</v>
      </c>
      <c r="I1567" s="248" t="s">
        <v>3251</v>
      </c>
      <c r="J1567" s="248" t="s">
        <v>3252</v>
      </c>
      <c r="K1567" s="245"/>
      <c r="L1567" s="245"/>
      <c r="M1567" s="245"/>
      <c r="N1567" s="245"/>
      <c r="O1567" s="245"/>
      <c r="P1567" s="245"/>
      <c r="Q1567" s="246"/>
      <c r="R1567" s="233"/>
      <c r="S1567" s="234">
        <f>IF(C1567="",NA(),MATCH($B1567&amp;$C1567,'Smelter Reference List'!$J:$J,0))</f>
        <v>136</v>
      </c>
      <c r="T1567" s="235"/>
      <c r="U1567" s="235">
        <f t="shared" si="44"/>
        <v>0</v>
      </c>
      <c r="V1567" s="235"/>
      <c r="W1567" s="235"/>
      <c r="Y1567" s="228" t="str">
        <f t="shared" si="45"/>
        <v>GoldNavoi Mining and Metallurgical Combinat</v>
      </c>
    </row>
    <row r="1568" spans="1:25" s="228" customFormat="1" ht="20.25">
      <c r="A1568" s="161" t="s">
        <v>1301</v>
      </c>
      <c r="B1568" s="408" t="s">
        <v>2323</v>
      </c>
      <c r="C1568" s="297" t="str">
        <f>IF(LEN(A1568)=0,"",INDEX('[2]Smelter Reference List'!$C$1:$C$65536,MATCH($A1568,'[2]Smelter Reference List'!$E$1:$E$65536,0)))</f>
        <v>Nihon Material Co., Ltd.</v>
      </c>
      <c r="D1568" s="161" t="s">
        <v>4166</v>
      </c>
      <c r="E1568" s="161" t="s">
        <v>2249</v>
      </c>
      <c r="F1568" s="161" t="s">
        <v>1301</v>
      </c>
      <c r="G1568" s="161" t="s">
        <v>3125</v>
      </c>
      <c r="H1568" s="247">
        <v>0</v>
      </c>
      <c r="I1568" s="248" t="s">
        <v>3253</v>
      </c>
      <c r="J1568" s="248" t="s">
        <v>3254</v>
      </c>
      <c r="K1568" s="245"/>
      <c r="L1568" s="245"/>
      <c r="M1568" s="245"/>
      <c r="N1568" s="245"/>
      <c r="O1568" s="245"/>
      <c r="P1568" s="245"/>
      <c r="Q1568" s="246"/>
      <c r="R1568" s="233"/>
      <c r="S1568" s="234">
        <f>IF(C1568="",NA(),MATCH($B1568&amp;$C1568,'Smelter Reference List'!$J:$J,0))</f>
        <v>137</v>
      </c>
      <c r="T1568" s="235"/>
      <c r="U1568" s="235">
        <f t="shared" si="44"/>
        <v>0</v>
      </c>
      <c r="V1568" s="235"/>
      <c r="W1568" s="235"/>
      <c r="Y1568" s="228" t="str">
        <f t="shared" si="45"/>
        <v>GoldNihon Material Co., Ltd.</v>
      </c>
    </row>
    <row r="1569" spans="1:25" s="228" customFormat="1" ht="20.25">
      <c r="A1569" s="161" t="s">
        <v>1302</v>
      </c>
      <c r="B1569" s="408" t="s">
        <v>2323</v>
      </c>
      <c r="C1569" s="297" t="str">
        <f>IF(LEN(A1569)=0,"",INDEX('[2]Smelter Reference List'!$C$1:$C$65536,MATCH($A1569,'[2]Smelter Reference List'!$E$1:$E$65536,0)))</f>
        <v>Elemetal Refining, LLC</v>
      </c>
      <c r="D1569" s="161" t="s">
        <v>4268</v>
      </c>
      <c r="E1569" s="161" t="s">
        <v>1759</v>
      </c>
      <c r="F1569" s="161" t="s">
        <v>1302</v>
      </c>
      <c r="G1569" s="161" t="s">
        <v>3125</v>
      </c>
      <c r="H1569" s="247">
        <v>0</v>
      </c>
      <c r="I1569" s="248" t="s">
        <v>3255</v>
      </c>
      <c r="J1569" s="248" t="s">
        <v>3256</v>
      </c>
      <c r="K1569" s="245"/>
      <c r="L1569" s="245"/>
      <c r="M1569" s="245"/>
      <c r="N1569" s="245"/>
      <c r="O1569" s="245"/>
      <c r="P1569" s="245"/>
      <c r="Q1569" s="246"/>
      <c r="R1569" s="233"/>
      <c r="S1569" s="234">
        <f>IF(C1569="",NA(),MATCH($B1569&amp;$C1569,'Smelter Reference List'!$J:$J,0))</f>
        <v>55</v>
      </c>
      <c r="T1569" s="235"/>
      <c r="U1569" s="235">
        <f t="shared" si="44"/>
        <v>0</v>
      </c>
      <c r="V1569" s="235"/>
      <c r="W1569" s="235"/>
      <c r="Y1569" s="228" t="str">
        <f t="shared" si="45"/>
        <v>GoldElemetal Refining, LLC</v>
      </c>
    </row>
    <row r="1570" spans="1:25" s="228" customFormat="1" ht="20.25">
      <c r="A1570" s="161" t="s">
        <v>1303</v>
      </c>
      <c r="B1570" s="408" t="s">
        <v>2323</v>
      </c>
      <c r="C1570" s="297" t="str">
        <f>IF(LEN(A1570)=0,"",INDEX('[2]Smelter Reference List'!$C$1:$C$65536,MATCH($A1570,'[2]Smelter Reference List'!$E$1:$E$65536,0)))</f>
        <v>Ohura Precious Metal Industry Co., Ltd.</v>
      </c>
      <c r="D1570" s="161" t="s">
        <v>4167</v>
      </c>
      <c r="E1570" s="161" t="s">
        <v>2249</v>
      </c>
      <c r="F1570" s="161" t="s">
        <v>1303</v>
      </c>
      <c r="G1570" s="161" t="s">
        <v>3125</v>
      </c>
      <c r="H1570" s="247">
        <v>0</v>
      </c>
      <c r="I1570" s="248" t="s">
        <v>3257</v>
      </c>
      <c r="J1570" s="248" t="s">
        <v>3258</v>
      </c>
      <c r="K1570" s="245"/>
      <c r="L1570" s="245"/>
      <c r="M1570" s="245"/>
      <c r="N1570" s="245"/>
      <c r="O1570" s="245"/>
      <c r="P1570" s="245"/>
      <c r="Q1570" s="246"/>
      <c r="R1570" s="233"/>
      <c r="S1570" s="234">
        <f>IF(C1570="",NA(),MATCH($B1570&amp;$C1570,'Smelter Reference List'!$J:$J,0))</f>
        <v>141</v>
      </c>
      <c r="T1570" s="235"/>
      <c r="U1570" s="235">
        <f t="shared" si="44"/>
        <v>0</v>
      </c>
      <c r="V1570" s="235"/>
      <c r="W1570" s="235"/>
      <c r="Y1570" s="228" t="str">
        <f t="shared" si="45"/>
        <v>GoldOhura Precious Metal Industry Co., Ltd.</v>
      </c>
    </row>
    <row r="1571" spans="1:25" s="228" customFormat="1" ht="20.25">
      <c r="A1571" s="161" t="s">
        <v>1305</v>
      </c>
      <c r="B1571" s="408" t="s">
        <v>2323</v>
      </c>
      <c r="C1571" s="297" t="str">
        <f>IF(LEN(A1571)=0,"",INDEX('[2]Smelter Reference List'!$C$1:$C$65536,MATCH($A1571,'[2]Smelter Reference List'!$E$1:$E$65536,0)))</f>
        <v>PAMP S.A.</v>
      </c>
      <c r="D1571" s="161" t="s">
        <v>4705</v>
      </c>
      <c r="E1571" s="161" t="s">
        <v>2179</v>
      </c>
      <c r="F1571" s="161" t="s">
        <v>1305</v>
      </c>
      <c r="G1571" s="161" t="s">
        <v>3125</v>
      </c>
      <c r="H1571" s="247">
        <v>0</v>
      </c>
      <c r="I1571" s="248" t="s">
        <v>3262</v>
      </c>
      <c r="J1571" s="248" t="s">
        <v>3138</v>
      </c>
      <c r="K1571" s="245"/>
      <c r="L1571" s="245"/>
      <c r="M1571" s="245"/>
      <c r="N1571" s="245"/>
      <c r="O1571" s="245"/>
      <c r="P1571" s="245"/>
      <c r="Q1571" s="246"/>
      <c r="R1571" s="233"/>
      <c r="S1571" s="234">
        <f>IF(C1571="",NA(),MATCH($B1571&amp;$C1571,'Smelter Reference List'!$J:$J,0))</f>
        <v>146</v>
      </c>
      <c r="T1571" s="235"/>
      <c r="U1571" s="235">
        <f t="shared" si="44"/>
        <v>0</v>
      </c>
      <c r="V1571" s="235"/>
      <c r="W1571" s="235"/>
      <c r="Y1571" s="228" t="str">
        <f t="shared" si="45"/>
        <v>GoldPAMP S.A.</v>
      </c>
    </row>
    <row r="1572" spans="1:25" s="228" customFormat="1" ht="20.25">
      <c r="A1572" s="161" t="s">
        <v>1309</v>
      </c>
      <c r="B1572" s="408" t="s">
        <v>2323</v>
      </c>
      <c r="C1572" s="297" t="str">
        <f>IF(LEN(A1572)=0,"",INDEX('[2]Smelter Reference List'!$C$1:$C$65536,MATCH($A1572,'[2]Smelter Reference List'!$E$1:$E$65536,0)))</f>
        <v>PX Précinox S.A.</v>
      </c>
      <c r="D1572" s="161" t="s">
        <v>4706</v>
      </c>
      <c r="E1572" s="161" t="s">
        <v>2179</v>
      </c>
      <c r="F1572" s="161" t="s">
        <v>1309</v>
      </c>
      <c r="G1572" s="161" t="s">
        <v>3125</v>
      </c>
      <c r="H1572" s="247">
        <v>0</v>
      </c>
      <c r="I1572" s="248" t="s">
        <v>3269</v>
      </c>
      <c r="J1572" s="248" t="s">
        <v>3240</v>
      </c>
      <c r="K1572" s="245"/>
      <c r="L1572" s="245"/>
      <c r="M1572" s="245"/>
      <c r="N1572" s="245"/>
      <c r="O1572" s="245"/>
      <c r="P1572" s="245"/>
      <c r="Q1572" s="246"/>
      <c r="R1572" s="233"/>
      <c r="S1572" s="234">
        <f>IF(C1572="",NA(),MATCH($B1572&amp;$C1572,'Smelter Reference List'!$J:$J,0))</f>
        <v>154</v>
      </c>
      <c r="T1572" s="235"/>
      <c r="U1572" s="235">
        <f t="shared" si="44"/>
        <v>0</v>
      </c>
      <c r="V1572" s="235"/>
      <c r="W1572" s="235"/>
      <c r="Y1572" s="228" t="str">
        <f t="shared" si="45"/>
        <v>GoldPX Précinox S.A.</v>
      </c>
    </row>
    <row r="1573" spans="1:25" s="228" customFormat="1" ht="20.25">
      <c r="A1573" s="161" t="s">
        <v>1310</v>
      </c>
      <c r="B1573" s="408" t="s">
        <v>2323</v>
      </c>
      <c r="C1573" s="297" t="str">
        <f>IF(LEN(A1573)=0,"",INDEX('[2]Smelter Reference List'!$C$1:$C$65536,MATCH($A1573,'[2]Smelter Reference List'!$E$1:$E$65536,0)))</f>
        <v>Rand Refinery (Pty) Ltd.</v>
      </c>
      <c r="D1573" s="161" t="s">
        <v>4171</v>
      </c>
      <c r="E1573" s="161" t="s">
        <v>1772</v>
      </c>
      <c r="F1573" s="161" t="s">
        <v>1310</v>
      </c>
      <c r="G1573" s="161" t="s">
        <v>3125</v>
      </c>
      <c r="H1573" s="247">
        <v>0</v>
      </c>
      <c r="I1573" s="248" t="s">
        <v>3270</v>
      </c>
      <c r="J1573" s="248" t="s">
        <v>3271</v>
      </c>
      <c r="K1573" s="245"/>
      <c r="L1573" s="245"/>
      <c r="M1573" s="245"/>
      <c r="N1573" s="245"/>
      <c r="O1573" s="245"/>
      <c r="P1573" s="245"/>
      <c r="Q1573" s="246"/>
      <c r="R1573" s="233"/>
      <c r="S1573" s="234">
        <f>IF(C1573="",NA(),MATCH($B1573&amp;$C1573,'Smelter Reference List'!$J:$J,0))</f>
        <v>155</v>
      </c>
      <c r="T1573" s="235"/>
      <c r="U1573" s="235">
        <f t="shared" si="44"/>
        <v>0</v>
      </c>
      <c r="V1573" s="235"/>
      <c r="W1573" s="235"/>
      <c r="Y1573" s="228" t="str">
        <f t="shared" si="45"/>
        <v>GoldRand Refinery (Pty) Ltd.</v>
      </c>
    </row>
    <row r="1574" spans="1:25" s="228" customFormat="1" ht="20.25">
      <c r="A1574" s="161" t="s">
        <v>1311</v>
      </c>
      <c r="B1574" s="408" t="s">
        <v>2323</v>
      </c>
      <c r="C1574" s="297" t="str">
        <f>IF(LEN(A1574)=0,"",INDEX('[2]Smelter Reference List'!$C$1:$C$65536,MATCH($A1574,'[2]Smelter Reference List'!$E$1:$E$65536,0)))</f>
        <v>Royal Canadian Mint</v>
      </c>
      <c r="D1574" s="161" t="s">
        <v>1795</v>
      </c>
      <c r="E1574" s="161" t="s">
        <v>2177</v>
      </c>
      <c r="F1574" s="161" t="s">
        <v>1311</v>
      </c>
      <c r="G1574" s="161" t="s">
        <v>3125</v>
      </c>
      <c r="H1574" s="247">
        <v>0</v>
      </c>
      <c r="I1574" s="248" t="s">
        <v>3272</v>
      </c>
      <c r="J1574" s="248" t="s">
        <v>3210</v>
      </c>
      <c r="K1574" s="245"/>
      <c r="L1574" s="245"/>
      <c r="M1574" s="245"/>
      <c r="N1574" s="245"/>
      <c r="O1574" s="245"/>
      <c r="P1574" s="245"/>
      <c r="Q1574" s="246"/>
      <c r="R1574" s="233"/>
      <c r="S1574" s="234">
        <f>IF(C1574="",NA(),MATCH($B1574&amp;$C1574,'Smelter Reference List'!$J:$J,0))</f>
        <v>159</v>
      </c>
      <c r="T1574" s="235"/>
      <c r="U1574" s="235">
        <f t="shared" si="44"/>
        <v>0</v>
      </c>
      <c r="V1574" s="235"/>
      <c r="W1574" s="235"/>
      <c r="Y1574" s="228" t="str">
        <f t="shared" si="45"/>
        <v>GoldRoyal Canadian Mint</v>
      </c>
    </row>
    <row r="1575" spans="1:25" s="228" customFormat="1" ht="20.25">
      <c r="A1575" s="161" t="s">
        <v>1315</v>
      </c>
      <c r="B1575" s="408" t="s">
        <v>2323</v>
      </c>
      <c r="C1575" s="297" t="str">
        <f>IF(LEN(A1575)=0,"",INDEX('[2]Smelter Reference List'!$C$1:$C$65536,MATCH($A1575,'[2]Smelter Reference List'!$E$1:$E$65536,0)))</f>
        <v>SEMPSA Joyería Platería S.A.</v>
      </c>
      <c r="D1575" s="161" t="s">
        <v>4716</v>
      </c>
      <c r="E1575" s="161" t="s">
        <v>2205</v>
      </c>
      <c r="F1575" s="161" t="s">
        <v>1315</v>
      </c>
      <c r="G1575" s="161" t="s">
        <v>3125</v>
      </c>
      <c r="H1575" s="247">
        <v>0</v>
      </c>
      <c r="I1575" s="248" t="s">
        <v>3281</v>
      </c>
      <c r="J1575" s="248" t="s">
        <v>3282</v>
      </c>
      <c r="K1575" s="245"/>
      <c r="L1575" s="245"/>
      <c r="M1575" s="245"/>
      <c r="N1575" s="245"/>
      <c r="O1575" s="245"/>
      <c r="P1575" s="245"/>
      <c r="Q1575" s="246"/>
      <c r="R1575" s="233"/>
      <c r="S1575" s="234">
        <f>IF(C1575="",NA(),MATCH($B1575&amp;$C1575,'Smelter Reference List'!$J:$J,0))</f>
        <v>171</v>
      </c>
      <c r="T1575" s="235"/>
      <c r="U1575" s="235">
        <f t="shared" si="44"/>
        <v>0</v>
      </c>
      <c r="V1575" s="235"/>
      <c r="W1575" s="235"/>
      <c r="Y1575" s="228" t="str">
        <f t="shared" si="45"/>
        <v>GoldSEMPSA Joyería Platería S.A.</v>
      </c>
    </row>
    <row r="1576" spans="1:25" s="228" customFormat="1" ht="20.25">
      <c r="A1576" s="161" t="s">
        <v>1316</v>
      </c>
      <c r="B1576" s="408" t="s">
        <v>2323</v>
      </c>
      <c r="C1576" s="297" t="str">
        <f>IF(LEN(A1576)=0,"",INDEX('[2]Smelter Reference List'!$C$1:$C$65536,MATCH($A1576,'[2]Smelter Reference List'!$E$1:$E$65536,0)))</f>
        <v>Shandong Zhaojin Gold &amp; Silver Refinery Co., Ltd.</v>
      </c>
      <c r="D1576" s="161" t="s">
        <v>4174</v>
      </c>
      <c r="E1576" s="161" t="s">
        <v>2181</v>
      </c>
      <c r="F1576" s="161" t="s">
        <v>1316</v>
      </c>
      <c r="G1576" s="161" t="s">
        <v>3125</v>
      </c>
      <c r="H1576" s="247">
        <v>0</v>
      </c>
      <c r="I1576" s="248" t="s">
        <v>3185</v>
      </c>
      <c r="J1576" s="248" t="s">
        <v>3264</v>
      </c>
      <c r="K1576" s="245"/>
      <c r="L1576" s="245"/>
      <c r="M1576" s="245"/>
      <c r="N1576" s="245"/>
      <c r="O1576" s="245"/>
      <c r="P1576" s="245"/>
      <c r="Q1576" s="246"/>
      <c r="R1576" s="233"/>
      <c r="S1576" s="234">
        <f>IF(C1576="",NA(),MATCH($B1576&amp;$C1576,'Smelter Reference List'!$J:$J,0))</f>
        <v>176</v>
      </c>
      <c r="T1576" s="235"/>
      <c r="U1576" s="235">
        <f t="shared" si="44"/>
        <v>0</v>
      </c>
      <c r="V1576" s="235"/>
      <c r="W1576" s="235"/>
      <c r="Y1576" s="228" t="str">
        <f t="shared" si="45"/>
        <v>GoldShandong Zhaojin Gold &amp; Silver Refinery Co., Ltd.</v>
      </c>
    </row>
    <row r="1577" spans="1:25" s="228" customFormat="1" ht="20.25">
      <c r="A1577" s="161" t="s">
        <v>1320</v>
      </c>
      <c r="B1577" s="408" t="s">
        <v>2323</v>
      </c>
      <c r="C1577" s="297" t="str">
        <f>IF(LEN(A1577)=0,"",INDEX('[2]Smelter Reference List'!$C$1:$C$65536,MATCH($A1577,'[2]Smelter Reference List'!$E$1:$E$65536,0)))</f>
        <v>Solar Applied Materials Technology Corp.</v>
      </c>
      <c r="D1577" s="161" t="s">
        <v>1797</v>
      </c>
      <c r="E1577" s="161" t="s">
        <v>1753</v>
      </c>
      <c r="F1577" s="161" t="s">
        <v>1320</v>
      </c>
      <c r="G1577" s="161" t="s">
        <v>3125</v>
      </c>
      <c r="H1577" s="247">
        <v>0</v>
      </c>
      <c r="I1577" s="248" t="s">
        <v>3295</v>
      </c>
      <c r="J1577" s="248" t="s">
        <v>3296</v>
      </c>
      <c r="K1577" s="245"/>
      <c r="L1577" s="245"/>
      <c r="M1577" s="245"/>
      <c r="N1577" s="245"/>
      <c r="O1577" s="245"/>
      <c r="P1577" s="245"/>
      <c r="Q1577" s="246"/>
      <c r="R1577" s="233"/>
      <c r="S1577" s="234">
        <f>IF(C1577="",NA(),MATCH($B1577&amp;$C1577,'Smelter Reference List'!$J:$J,0))</f>
        <v>185</v>
      </c>
      <c r="T1577" s="235"/>
      <c r="U1577" s="235">
        <f t="shared" si="44"/>
        <v>0</v>
      </c>
      <c r="V1577" s="235"/>
      <c r="W1577" s="235"/>
      <c r="Y1577" s="228" t="str">
        <f t="shared" si="45"/>
        <v>GoldSolar Applied Materials Technology Corp.</v>
      </c>
    </row>
    <row r="1578" spans="1:25" s="228" customFormat="1" ht="20.25">
      <c r="A1578" s="161" t="s">
        <v>1321</v>
      </c>
      <c r="B1578" s="408" t="s">
        <v>2323</v>
      </c>
      <c r="C1578" s="297" t="str">
        <f>IF(LEN(A1578)=0,"",INDEX('[2]Smelter Reference List'!$C$1:$C$65536,MATCH($A1578,'[2]Smelter Reference List'!$E$1:$E$65536,0)))</f>
        <v>Sumitomo Metal Mining Co., Ltd.</v>
      </c>
      <c r="D1578" s="161" t="s">
        <v>77</v>
      </c>
      <c r="E1578" s="161" t="s">
        <v>2249</v>
      </c>
      <c r="F1578" s="161" t="s">
        <v>1321</v>
      </c>
      <c r="G1578" s="161" t="s">
        <v>3125</v>
      </c>
      <c r="H1578" s="247">
        <v>0</v>
      </c>
      <c r="I1578" s="248" t="s">
        <v>3297</v>
      </c>
      <c r="J1578" s="248" t="s">
        <v>4284</v>
      </c>
      <c r="K1578" s="245"/>
      <c r="L1578" s="245"/>
      <c r="M1578" s="245"/>
      <c r="N1578" s="245"/>
      <c r="O1578" s="245"/>
      <c r="P1578" s="245"/>
      <c r="Q1578" s="246"/>
      <c r="R1578" s="233"/>
      <c r="S1578" s="234">
        <f>IF(C1578="",NA(),MATCH($B1578&amp;$C1578,'Smelter Reference List'!$J:$J,0))</f>
        <v>190</v>
      </c>
      <c r="T1578" s="235"/>
      <c r="U1578" s="235">
        <f t="shared" si="44"/>
        <v>0</v>
      </c>
      <c r="V1578" s="235"/>
      <c r="W1578" s="235"/>
      <c r="Y1578" s="228" t="str">
        <f t="shared" si="45"/>
        <v>GoldSumitomo Metal Mining Co., Ltd.</v>
      </c>
    </row>
    <row r="1579" spans="1:25" s="228" customFormat="1" ht="20.25">
      <c r="A1579" s="161" t="s">
        <v>1322</v>
      </c>
      <c r="B1579" s="408" t="s">
        <v>2323</v>
      </c>
      <c r="C1579" s="297" t="str">
        <f>IF(LEN(A1579)=0,"",INDEX('[2]Smelter Reference List'!$C$1:$C$65536,MATCH($A1579,'[2]Smelter Reference List'!$E$1:$E$65536,0)))</f>
        <v>Tanaka Kikinzoku Kogyo K.K.</v>
      </c>
      <c r="D1579" s="161" t="s">
        <v>2457</v>
      </c>
      <c r="E1579" s="161" t="s">
        <v>2249</v>
      </c>
      <c r="F1579" s="161" t="s">
        <v>1322</v>
      </c>
      <c r="G1579" s="161" t="s">
        <v>3125</v>
      </c>
      <c r="H1579" s="247">
        <v>0</v>
      </c>
      <c r="I1579" s="248" t="s">
        <v>3299</v>
      </c>
      <c r="J1579" s="248" t="s">
        <v>3300</v>
      </c>
      <c r="K1579" s="245"/>
      <c r="L1579" s="245"/>
      <c r="M1579" s="245"/>
      <c r="N1579" s="245"/>
      <c r="O1579" s="245"/>
      <c r="P1579" s="245"/>
      <c r="Q1579" s="246"/>
      <c r="R1579" s="233"/>
      <c r="S1579" s="234">
        <f>IF(C1579="",NA(),MATCH($B1579&amp;$C1579,'Smelter Reference List'!$J:$J,0))</f>
        <v>200</v>
      </c>
      <c r="T1579" s="235"/>
      <c r="U1579" s="235">
        <f t="shared" si="44"/>
        <v>0</v>
      </c>
      <c r="V1579" s="235"/>
      <c r="W1579" s="235"/>
      <c r="Y1579" s="228" t="str">
        <f t="shared" si="45"/>
        <v>GoldTanaka Kikinzoku Kogyo K.K.</v>
      </c>
    </row>
    <row r="1580" spans="1:25" s="228" customFormat="1" ht="20.25">
      <c r="A1580" s="161" t="s">
        <v>1324</v>
      </c>
      <c r="B1580" s="408" t="s">
        <v>2323</v>
      </c>
      <c r="C1580" s="297" t="str">
        <f>IF(LEN(A1580)=0,"",INDEX('[2]Smelter Reference List'!$C$1:$C$65536,MATCH($A1580,'[2]Smelter Reference List'!$E$1:$E$65536,0)))</f>
        <v>The Refinery of Shandong Gold Mining Co., Ltd.</v>
      </c>
      <c r="D1580" s="161" t="s">
        <v>4177</v>
      </c>
      <c r="E1580" s="161" t="s">
        <v>2181</v>
      </c>
      <c r="F1580" s="161" t="s">
        <v>1324</v>
      </c>
      <c r="G1580" s="161" t="s">
        <v>3125</v>
      </c>
      <c r="H1580" s="247">
        <v>0</v>
      </c>
      <c r="I1580" s="248" t="s">
        <v>3286</v>
      </c>
      <c r="J1580" s="248" t="s">
        <v>3263</v>
      </c>
      <c r="K1580" s="245"/>
      <c r="L1580" s="245"/>
      <c r="M1580" s="245"/>
      <c r="N1580" s="245"/>
      <c r="O1580" s="245"/>
      <c r="P1580" s="245"/>
      <c r="Q1580" s="246"/>
      <c r="R1580" s="233"/>
      <c r="S1580" s="234">
        <f>IF(C1580="",NA(),MATCH($B1580&amp;$C1580,'Smelter Reference List'!$J:$J,0))</f>
        <v>204</v>
      </c>
      <c r="T1580" s="235"/>
      <c r="U1580" s="235">
        <f t="shared" si="44"/>
        <v>0</v>
      </c>
      <c r="V1580" s="235"/>
      <c r="W1580" s="235"/>
      <c r="Y1580" s="228" t="str">
        <f t="shared" si="45"/>
        <v>GoldThe Refinery of Shandong Gold Mining Co., Ltd.</v>
      </c>
    </row>
    <row r="1581" spans="1:25" s="228" customFormat="1" ht="20.25">
      <c r="A1581" s="161" t="s">
        <v>1325</v>
      </c>
      <c r="B1581" s="408" t="s">
        <v>2323</v>
      </c>
      <c r="C1581" s="297" t="str">
        <f>IF(LEN(A1581)=0,"",INDEX('[2]Smelter Reference List'!$C$1:$C$65536,MATCH($A1581,'[2]Smelter Reference List'!$E$1:$E$65536,0)))</f>
        <v>Tokuriki Honten Co., Ltd.</v>
      </c>
      <c r="D1581" s="161" t="s">
        <v>4178</v>
      </c>
      <c r="E1581" s="161" t="s">
        <v>2249</v>
      </c>
      <c r="F1581" s="161" t="s">
        <v>1325</v>
      </c>
      <c r="G1581" s="161" t="s">
        <v>3125</v>
      </c>
      <c r="H1581" s="247">
        <v>0</v>
      </c>
      <c r="I1581" s="248" t="s">
        <v>3305</v>
      </c>
      <c r="J1581" s="248" t="s">
        <v>3179</v>
      </c>
      <c r="K1581" s="245"/>
      <c r="L1581" s="245"/>
      <c r="M1581" s="245"/>
      <c r="N1581" s="245"/>
      <c r="O1581" s="245"/>
      <c r="P1581" s="245"/>
      <c r="Q1581" s="246"/>
      <c r="R1581" s="233"/>
      <c r="S1581" s="234">
        <f>IF(C1581="",NA(),MATCH($B1581&amp;$C1581,'Smelter Reference List'!$J:$J,0))</f>
        <v>205</v>
      </c>
      <c r="T1581" s="235"/>
      <c r="U1581" s="235">
        <f t="shared" si="44"/>
        <v>0</v>
      </c>
      <c r="V1581" s="235"/>
      <c r="W1581" s="235"/>
      <c r="Y1581" s="228" t="str">
        <f t="shared" si="45"/>
        <v>GoldTokuriki Honten Co., Ltd.</v>
      </c>
    </row>
    <row r="1582" spans="1:25" s="228" customFormat="1" ht="20.25">
      <c r="A1582" s="161" t="s">
        <v>1329</v>
      </c>
      <c r="B1582" s="408" t="s">
        <v>2323</v>
      </c>
      <c r="C1582" s="297" t="str">
        <f>IF(LEN(A1582)=0,"",INDEX('[2]Smelter Reference List'!$C$1:$C$65536,MATCH($A1582,'[2]Smelter Reference List'!$E$1:$E$65536,0)))</f>
        <v>Umicore S.A. Business Unit Precious Metals Refining</v>
      </c>
      <c r="D1582" s="161" t="s">
        <v>4724</v>
      </c>
      <c r="E1582" s="161" t="s">
        <v>2158</v>
      </c>
      <c r="F1582" s="161" t="s">
        <v>1329</v>
      </c>
      <c r="G1582" s="161" t="s">
        <v>3125</v>
      </c>
      <c r="H1582" s="247">
        <v>0</v>
      </c>
      <c r="I1582" s="248" t="s">
        <v>3314</v>
      </c>
      <c r="J1582" s="248" t="s">
        <v>3315</v>
      </c>
      <c r="K1582" s="245"/>
      <c r="L1582" s="245"/>
      <c r="M1582" s="245"/>
      <c r="N1582" s="245"/>
      <c r="O1582" s="245"/>
      <c r="P1582" s="245"/>
      <c r="Q1582" s="246"/>
      <c r="R1582" s="233"/>
      <c r="S1582" s="234">
        <f>IF(C1582="",NA(),MATCH($B1582&amp;$C1582,'Smelter Reference List'!$J:$J,0))</f>
        <v>214</v>
      </c>
      <c r="T1582" s="235"/>
      <c r="U1582" s="235">
        <f t="shared" si="44"/>
        <v>0</v>
      </c>
      <c r="V1582" s="235"/>
      <c r="W1582" s="235"/>
      <c r="Y1582" s="228" t="str">
        <f t="shared" si="45"/>
        <v>GoldUmicore S.A. Business Unit Precious Metals Refining</v>
      </c>
    </row>
    <row r="1583" spans="1:25" s="228" customFormat="1" ht="20.25">
      <c r="A1583" s="161" t="s">
        <v>1330</v>
      </c>
      <c r="B1583" s="408" t="s">
        <v>2323</v>
      </c>
      <c r="C1583" s="297" t="str">
        <f>IF(LEN(A1583)=0,"",INDEX('[2]Smelter Reference List'!$C$1:$C$65536,MATCH($A1583,'[2]Smelter Reference List'!$E$1:$E$65536,0)))</f>
        <v>United Precious Metal Refining, Inc.</v>
      </c>
      <c r="D1583" s="161" t="s">
        <v>1470</v>
      </c>
      <c r="E1583" s="161" t="s">
        <v>1759</v>
      </c>
      <c r="F1583" s="161" t="s">
        <v>1330</v>
      </c>
      <c r="G1583" s="161" t="s">
        <v>3125</v>
      </c>
      <c r="H1583" s="247">
        <v>0</v>
      </c>
      <c r="I1583" s="248" t="s">
        <v>3316</v>
      </c>
      <c r="J1583" s="248" t="s">
        <v>3230</v>
      </c>
      <c r="K1583" s="245"/>
      <c r="L1583" s="245"/>
      <c r="M1583" s="245"/>
      <c r="N1583" s="245"/>
      <c r="O1583" s="245"/>
      <c r="P1583" s="245"/>
      <c r="Q1583" s="246"/>
      <c r="R1583" s="233"/>
      <c r="S1583" s="234">
        <f>IF(C1583="",NA(),MATCH($B1583&amp;$C1583,'Smelter Reference List'!$J:$J,0))</f>
        <v>215</v>
      </c>
      <c r="T1583" s="235"/>
      <c r="U1583" s="235">
        <f t="shared" si="44"/>
        <v>0</v>
      </c>
      <c r="V1583" s="235"/>
      <c r="W1583" s="235"/>
      <c r="Y1583" s="228" t="str">
        <f t="shared" si="45"/>
        <v>GoldUnited Precious Metal Refining, Inc.</v>
      </c>
    </row>
    <row r="1584" spans="1:25" s="228" customFormat="1" ht="20.25">
      <c r="A1584" s="161" t="s">
        <v>1331</v>
      </c>
      <c r="B1584" s="408" t="s">
        <v>2323</v>
      </c>
      <c r="C1584" s="297" t="str">
        <f>IF(LEN(A1584)=0,"",INDEX('[2]Smelter Reference List'!$C$1:$C$65536,MATCH($A1584,'[2]Smelter Reference List'!$E$1:$E$65536,0)))</f>
        <v>Valcambi S.A.</v>
      </c>
      <c r="D1584" s="161" t="s">
        <v>4728</v>
      </c>
      <c r="E1584" s="161" t="s">
        <v>2179</v>
      </c>
      <c r="F1584" s="161" t="s">
        <v>1331</v>
      </c>
      <c r="G1584" s="161" t="s">
        <v>3125</v>
      </c>
      <c r="H1584" s="247">
        <v>0</v>
      </c>
      <c r="I1584" s="248" t="s">
        <v>3317</v>
      </c>
      <c r="J1584" s="248" t="s">
        <v>3138</v>
      </c>
      <c r="K1584" s="245"/>
      <c r="L1584" s="245"/>
      <c r="M1584" s="245"/>
      <c r="N1584" s="245"/>
      <c r="O1584" s="245"/>
      <c r="P1584" s="245"/>
      <c r="Q1584" s="246"/>
      <c r="R1584" s="233"/>
      <c r="S1584" s="234">
        <f>IF(C1584="",NA(),MATCH($B1584&amp;$C1584,'Smelter Reference List'!$J:$J,0))</f>
        <v>217</v>
      </c>
      <c r="T1584" s="235"/>
      <c r="U1584" s="235">
        <f t="shared" si="44"/>
        <v>0</v>
      </c>
      <c r="V1584" s="235"/>
      <c r="W1584" s="235"/>
      <c r="Y1584" s="228" t="str">
        <f t="shared" si="45"/>
        <v>GoldValcambi S.A.</v>
      </c>
    </row>
    <row r="1585" spans="1:25" s="228" customFormat="1" ht="20.25">
      <c r="A1585" s="161" t="s">
        <v>1332</v>
      </c>
      <c r="B1585" s="408" t="s">
        <v>2323</v>
      </c>
      <c r="C1585" s="297" t="str">
        <f>IF(LEN(A1585)=0,"",INDEX('[2]Smelter Reference List'!$C$1:$C$65536,MATCH($A1585,'[2]Smelter Reference List'!$E$1:$E$65536,0)))</f>
        <v>Western Australian Mint trading as The Perth Mint</v>
      </c>
      <c r="D1585" s="161" t="s">
        <v>2322</v>
      </c>
      <c r="E1585" s="161" t="s">
        <v>2154</v>
      </c>
      <c r="F1585" s="161" t="s">
        <v>1332</v>
      </c>
      <c r="G1585" s="161" t="s">
        <v>3125</v>
      </c>
      <c r="H1585" s="247">
        <v>0</v>
      </c>
      <c r="I1585" s="248" t="s">
        <v>3318</v>
      </c>
      <c r="J1585" s="248" t="s">
        <v>3319</v>
      </c>
      <c r="K1585" s="245"/>
      <c r="L1585" s="245"/>
      <c r="M1585" s="245"/>
      <c r="N1585" s="245"/>
      <c r="O1585" s="245"/>
      <c r="P1585" s="245"/>
      <c r="Q1585" s="246"/>
      <c r="R1585" s="233"/>
      <c r="S1585" s="234">
        <f>IF(C1585="",NA(),MATCH($B1585&amp;$C1585,'Smelter Reference List'!$J:$J,0))</f>
        <v>218</v>
      </c>
      <c r="T1585" s="235"/>
      <c r="U1585" s="235">
        <f t="shared" si="44"/>
        <v>0</v>
      </c>
      <c r="V1585" s="235"/>
      <c r="W1585" s="235"/>
      <c r="Y1585" s="228" t="str">
        <f t="shared" si="45"/>
        <v>GoldWestern Australian Mint trading as The Perth Mint</v>
      </c>
    </row>
    <row r="1586" spans="1:25" s="228" customFormat="1" ht="20.25">
      <c r="A1586" s="161" t="s">
        <v>1333</v>
      </c>
      <c r="B1586" s="408" t="s">
        <v>2323</v>
      </c>
      <c r="C1586" s="297" t="str">
        <f>IF(LEN(A1586)=0,"",INDEX('[2]Smelter Reference List'!$C$1:$C$65536,MATCH($A1586,'[2]Smelter Reference List'!$E$1:$E$65536,0)))</f>
        <v>Yamamoto Precious Metal Co., Ltd.</v>
      </c>
      <c r="D1586" s="161" t="s">
        <v>4181</v>
      </c>
      <c r="E1586" s="161" t="s">
        <v>2249</v>
      </c>
      <c r="F1586" s="161" t="s">
        <v>1333</v>
      </c>
      <c r="G1586" s="161" t="s">
        <v>3125</v>
      </c>
      <c r="H1586" s="247">
        <v>0</v>
      </c>
      <c r="I1586" s="248" t="s">
        <v>3201</v>
      </c>
      <c r="J1586" s="248" t="s">
        <v>3202</v>
      </c>
      <c r="K1586" s="245"/>
      <c r="L1586" s="245"/>
      <c r="M1586" s="245"/>
      <c r="N1586" s="245"/>
      <c r="O1586" s="245"/>
      <c r="P1586" s="245"/>
      <c r="Q1586" s="246"/>
      <c r="R1586" s="233"/>
      <c r="S1586" s="234">
        <f>IF(C1586="",NA(),MATCH($B1586&amp;$C1586,'Smelter Reference List'!$J:$J,0))</f>
        <v>222</v>
      </c>
      <c r="T1586" s="235"/>
      <c r="U1586" s="235">
        <f t="shared" si="44"/>
        <v>0</v>
      </c>
      <c r="V1586" s="235"/>
      <c r="W1586" s="235"/>
      <c r="Y1586" s="228" t="str">
        <f t="shared" si="45"/>
        <v>GoldYamamoto Precious Metal Co., Ltd.</v>
      </c>
    </row>
    <row r="1587" spans="1:25" s="228" customFormat="1" ht="20.25">
      <c r="A1587" s="161" t="s">
        <v>1334</v>
      </c>
      <c r="B1587" s="408" t="s">
        <v>2323</v>
      </c>
      <c r="C1587" s="297" t="str">
        <f>IF(LEN(A1587)=0,"",INDEX('[2]Smelter Reference List'!$C$1:$C$65536,MATCH($A1587,'[2]Smelter Reference List'!$E$1:$E$65536,0)))</f>
        <v>Yokohama Metal Co., Ltd.</v>
      </c>
      <c r="D1587" s="161" t="s">
        <v>4182</v>
      </c>
      <c r="E1587" s="161" t="s">
        <v>2249</v>
      </c>
      <c r="F1587" s="161" t="s">
        <v>1334</v>
      </c>
      <c r="G1587" s="161" t="s">
        <v>3125</v>
      </c>
      <c r="H1587" s="247">
        <v>0</v>
      </c>
      <c r="I1587" s="248" t="s">
        <v>3325</v>
      </c>
      <c r="J1587" s="248" t="s">
        <v>3300</v>
      </c>
      <c r="K1587" s="245"/>
      <c r="L1587" s="245"/>
      <c r="M1587" s="245"/>
      <c r="N1587" s="245"/>
      <c r="O1587" s="245"/>
      <c r="P1587" s="245"/>
      <c r="Q1587" s="246"/>
      <c r="R1587" s="233"/>
      <c r="S1587" s="234">
        <f>IF(C1587="",NA(),MATCH($B1587&amp;$C1587,'Smelter Reference List'!$J:$J,0))</f>
        <v>225</v>
      </c>
      <c r="T1587" s="235"/>
      <c r="U1587" s="235">
        <f t="shared" si="44"/>
        <v>0</v>
      </c>
      <c r="V1587" s="235"/>
      <c r="W1587" s="235"/>
      <c r="Y1587" s="228" t="str">
        <f t="shared" si="45"/>
        <v>GoldYokohama Metal Co., Ltd.</v>
      </c>
    </row>
    <row r="1588" spans="1:25" s="228" customFormat="1" ht="20.25">
      <c r="A1588" s="161" t="s">
        <v>1336</v>
      </c>
      <c r="B1588" s="408" t="s">
        <v>2323</v>
      </c>
      <c r="C1588" s="297" t="str">
        <f>IF(LEN(A1588)=0,"",INDEX('[2]Smelter Reference List'!$C$1:$C$65536,MATCH($A1588,'[2]Smelter Reference List'!$E$1:$E$65536,0)))</f>
        <v>Zhongyuan Gold Smelter of Zhongjin Gold Corporation</v>
      </c>
      <c r="D1588" s="161" t="s">
        <v>2575</v>
      </c>
      <c r="E1588" s="161" t="s">
        <v>2181</v>
      </c>
      <c r="F1588" s="161" t="s">
        <v>1336</v>
      </c>
      <c r="G1588" s="161" t="s">
        <v>3125</v>
      </c>
      <c r="H1588" s="247">
        <v>0</v>
      </c>
      <c r="I1588" s="248" t="s">
        <v>3326</v>
      </c>
      <c r="J1588" s="248" t="s">
        <v>3224</v>
      </c>
      <c r="K1588" s="245"/>
      <c r="L1588" s="245"/>
      <c r="M1588" s="245"/>
      <c r="N1588" s="245"/>
      <c r="O1588" s="245"/>
      <c r="P1588" s="245"/>
      <c r="Q1588" s="246"/>
      <c r="R1588" s="233"/>
      <c r="S1588" s="234">
        <f>IF(C1588="",NA(),MATCH($B1588&amp;$C1588,'Smelter Reference List'!$J:$J,0))</f>
        <v>234</v>
      </c>
      <c r="T1588" s="235"/>
      <c r="U1588" s="235">
        <f t="shared" si="44"/>
        <v>0</v>
      </c>
      <c r="V1588" s="235"/>
      <c r="W1588" s="235"/>
      <c r="Y1588" s="228" t="str">
        <f t="shared" si="45"/>
        <v>GoldZhongyuan Gold Smelter of Zhongjin Gold Corporation</v>
      </c>
    </row>
    <row r="1589" spans="1:25" s="228" customFormat="1" ht="20.25">
      <c r="A1589" s="161" t="s">
        <v>1339</v>
      </c>
      <c r="B1589" s="408" t="s">
        <v>2325</v>
      </c>
      <c r="C1589" s="297" t="str">
        <f>IF(LEN(A1589)=0,"",INDEX('[2]Smelter Reference List'!$C$1:$C$65536,MATCH($A1589,'[2]Smelter Reference List'!$E$1:$E$65536,0)))</f>
        <v>Conghua Tantalum and Niobium Smeltry</v>
      </c>
      <c r="D1589" s="161" t="s">
        <v>2374</v>
      </c>
      <c r="E1589" s="161" t="s">
        <v>2181</v>
      </c>
      <c r="F1589" s="161" t="s">
        <v>1339</v>
      </c>
      <c r="G1589" s="161" t="s">
        <v>3125</v>
      </c>
      <c r="H1589" s="247">
        <v>0</v>
      </c>
      <c r="I1589" s="248" t="s">
        <v>3371</v>
      </c>
      <c r="J1589" s="248" t="s">
        <v>3335</v>
      </c>
      <c r="K1589" s="245"/>
      <c r="L1589" s="245"/>
      <c r="M1589" s="245"/>
      <c r="N1589" s="245"/>
      <c r="O1589" s="245"/>
      <c r="P1589" s="245"/>
      <c r="Q1589" s="246"/>
      <c r="R1589" s="233"/>
      <c r="S1589" s="234">
        <f>IF(C1589="",NA(),MATCH($B1589&amp;$C1589,'Smelter Reference List'!$J:$J,0))</f>
        <v>242</v>
      </c>
      <c r="T1589" s="235"/>
      <c r="U1589" s="235">
        <f t="shared" si="44"/>
        <v>0</v>
      </c>
      <c r="V1589" s="235"/>
      <c r="W1589" s="235"/>
      <c r="Y1589" s="228" t="str">
        <f t="shared" si="45"/>
        <v>TantalumConghua Tantalum and Niobium Smeltry</v>
      </c>
    </row>
    <row r="1590" spans="1:25" s="228" customFormat="1" ht="20.25">
      <c r="A1590" s="161" t="s">
        <v>1340</v>
      </c>
      <c r="B1590" s="408" t="s">
        <v>2325</v>
      </c>
      <c r="C1590" s="297" t="str">
        <f>IF(LEN(A1590)=0,"",INDEX('[2]Smelter Reference List'!$C$1:$C$65536,MATCH($A1590,'[2]Smelter Reference List'!$E$1:$E$65536,0)))</f>
        <v>Duoluoshan</v>
      </c>
      <c r="D1590" s="161" t="s">
        <v>2370</v>
      </c>
      <c r="E1590" s="161" t="s">
        <v>2181</v>
      </c>
      <c r="F1590" s="161" t="s">
        <v>1340</v>
      </c>
      <c r="G1590" s="161" t="s">
        <v>3125</v>
      </c>
      <c r="H1590" s="247">
        <v>0</v>
      </c>
      <c r="I1590" s="248" t="s">
        <v>3372</v>
      </c>
      <c r="J1590" s="248" t="s">
        <v>3335</v>
      </c>
      <c r="K1590" s="245"/>
      <c r="L1590" s="245"/>
      <c r="M1590" s="245"/>
      <c r="N1590" s="245"/>
      <c r="O1590" s="245"/>
      <c r="P1590" s="245"/>
      <c r="Q1590" s="246"/>
      <c r="R1590" s="233"/>
      <c r="S1590" s="234">
        <f>IF(C1590="",NA(),MATCH($B1590&amp;$C1590,'Smelter Reference List'!$J:$J,0))</f>
        <v>245</v>
      </c>
      <c r="T1590" s="235"/>
      <c r="U1590" s="235">
        <f t="shared" si="44"/>
        <v>0</v>
      </c>
      <c r="V1590" s="235"/>
      <c r="W1590" s="235"/>
      <c r="Y1590" s="228" t="str">
        <f t="shared" si="45"/>
        <v>TantalumDuoluoshan</v>
      </c>
    </row>
    <row r="1591" spans="1:25" s="228" customFormat="1" ht="20.25">
      <c r="A1591" s="161" t="s">
        <v>1341</v>
      </c>
      <c r="B1591" s="408" t="s">
        <v>2325</v>
      </c>
      <c r="C1591" s="297" t="str">
        <f>IF(LEN(A1591)=0,"",INDEX('[2]Smelter Reference List'!$C$1:$C$65536,MATCH($A1591,'[2]Smelter Reference List'!$E$1:$E$65536,0)))</f>
        <v>Exotech Inc.</v>
      </c>
      <c r="D1591" s="161" t="s">
        <v>2307</v>
      </c>
      <c r="E1591" s="161" t="s">
        <v>1759</v>
      </c>
      <c r="F1591" s="161" t="s">
        <v>1341</v>
      </c>
      <c r="G1591" s="161" t="s">
        <v>3125</v>
      </c>
      <c r="H1591" s="247">
        <v>0</v>
      </c>
      <c r="I1591" s="248" t="s">
        <v>3373</v>
      </c>
      <c r="J1591" s="248" t="s">
        <v>3348</v>
      </c>
      <c r="K1591" s="245"/>
      <c r="L1591" s="245"/>
      <c r="M1591" s="245"/>
      <c r="N1591" s="245"/>
      <c r="O1591" s="245"/>
      <c r="P1591" s="245"/>
      <c r="Q1591" s="246"/>
      <c r="R1591" s="233"/>
      <c r="S1591" s="234">
        <f>IF(C1591="",NA(),MATCH($B1591&amp;$C1591,'Smelter Reference List'!$J:$J,0))</f>
        <v>247</v>
      </c>
      <c r="T1591" s="235"/>
      <c r="U1591" s="235">
        <f t="shared" si="44"/>
        <v>0</v>
      </c>
      <c r="V1591" s="235"/>
      <c r="W1591" s="235"/>
      <c r="Y1591" s="228" t="str">
        <f t="shared" si="45"/>
        <v>TantalumExotech Inc.</v>
      </c>
    </row>
    <row r="1592" spans="1:25" s="228" customFormat="1" ht="20.25">
      <c r="A1592" s="161" t="s">
        <v>1342</v>
      </c>
      <c r="B1592" s="408" t="s">
        <v>2325</v>
      </c>
      <c r="C1592" s="297" t="str">
        <f>IF(LEN(A1592)=0,"",INDEX('[2]Smelter Reference List'!$C$1:$C$65536,MATCH($A1592,'[2]Smelter Reference List'!$E$1:$E$65536,0)))</f>
        <v>F&amp;X Electro-Materials Ltd.</v>
      </c>
      <c r="D1592" s="161" t="s">
        <v>63</v>
      </c>
      <c r="E1592" s="161" t="s">
        <v>2181</v>
      </c>
      <c r="F1592" s="161" t="s">
        <v>1342</v>
      </c>
      <c r="G1592" s="161" t="s">
        <v>3125</v>
      </c>
      <c r="H1592" s="247">
        <v>0</v>
      </c>
      <c r="I1592" s="248" t="s">
        <v>3374</v>
      </c>
      <c r="J1592" s="248" t="s">
        <v>3335</v>
      </c>
      <c r="K1592" s="245"/>
      <c r="L1592" s="245"/>
      <c r="M1592" s="245"/>
      <c r="N1592" s="245"/>
      <c r="O1592" s="245"/>
      <c r="P1592" s="245"/>
      <c r="Q1592" s="246"/>
      <c r="R1592" s="233"/>
      <c r="S1592" s="234">
        <f>IF(C1592="",NA(),MATCH($B1592&amp;$C1592,'Smelter Reference List'!$J:$J,0))</f>
        <v>249</v>
      </c>
      <c r="T1592" s="235"/>
      <c r="U1592" s="235">
        <f t="shared" si="44"/>
        <v>0</v>
      </c>
      <c r="V1592" s="235"/>
      <c r="W1592" s="235"/>
      <c r="Y1592" s="228" t="str">
        <f t="shared" si="45"/>
        <v>TantalumF&amp;X Electro-Materials Ltd.</v>
      </c>
    </row>
    <row r="1593" spans="1:25" s="228" customFormat="1" ht="20.25">
      <c r="A1593" s="161" t="s">
        <v>2734</v>
      </c>
      <c r="B1593" s="408" t="s">
        <v>2325</v>
      </c>
      <c r="C1593" s="297" t="str">
        <f>IF(LEN(A1593)=0,"",INDEX('[2]Smelter Reference List'!$C$1:$C$65536,MATCH($A1593,'[2]Smelter Reference List'!$E$1:$E$65536,0)))</f>
        <v>Global Advanced Metals Aizu</v>
      </c>
      <c r="D1593" s="161" t="s">
        <v>2733</v>
      </c>
      <c r="E1593" s="161" t="s">
        <v>2249</v>
      </c>
      <c r="F1593" s="161" t="s">
        <v>2734</v>
      </c>
      <c r="G1593" s="161" t="s">
        <v>3125</v>
      </c>
      <c r="H1593" s="247">
        <v>0</v>
      </c>
      <c r="I1593" s="248" t="s">
        <v>3429</v>
      </c>
      <c r="J1593" s="248" t="s">
        <v>3143</v>
      </c>
      <c r="K1593" s="245"/>
      <c r="L1593" s="245"/>
      <c r="M1593" s="245"/>
      <c r="N1593" s="245"/>
      <c r="O1593" s="245"/>
      <c r="P1593" s="245"/>
      <c r="Q1593" s="246"/>
      <c r="R1593" s="233"/>
      <c r="S1593" s="234">
        <f>IF(C1593="",NA(),MATCH($B1593&amp;$C1593,'Smelter Reference List'!$J:$J,0))</f>
        <v>251</v>
      </c>
      <c r="T1593" s="235"/>
      <c r="U1593" s="235">
        <f t="shared" si="44"/>
        <v>0</v>
      </c>
      <c r="V1593" s="235"/>
      <c r="W1593" s="235"/>
      <c r="Y1593" s="228" t="str">
        <f t="shared" si="45"/>
        <v>TantalumGlobal Advanced Metals Aizu</v>
      </c>
    </row>
    <row r="1594" spans="1:25" s="228" customFormat="1" ht="20.25">
      <c r="A1594" s="161" t="s">
        <v>2736</v>
      </c>
      <c r="B1594" s="408" t="s">
        <v>2325</v>
      </c>
      <c r="C1594" s="297" t="str">
        <f>IF(LEN(A1594)=0,"",INDEX('[2]Smelter Reference List'!$C$1:$C$65536,MATCH($A1594,'[2]Smelter Reference List'!$E$1:$E$65536,0)))</f>
        <v>Global Advanced Metals Boyertown</v>
      </c>
      <c r="D1594" s="161" t="s">
        <v>2735</v>
      </c>
      <c r="E1594" s="161" t="s">
        <v>1759</v>
      </c>
      <c r="F1594" s="161" t="s">
        <v>2736</v>
      </c>
      <c r="G1594" s="161" t="s">
        <v>3125</v>
      </c>
      <c r="H1594" s="247">
        <v>0</v>
      </c>
      <c r="I1594" s="248" t="s">
        <v>3428</v>
      </c>
      <c r="J1594" s="248" t="s">
        <v>3401</v>
      </c>
      <c r="K1594" s="245"/>
      <c r="L1594" s="245"/>
      <c r="M1594" s="245"/>
      <c r="N1594" s="245"/>
      <c r="O1594" s="245"/>
      <c r="P1594" s="245"/>
      <c r="Q1594" s="246"/>
      <c r="R1594" s="233"/>
      <c r="S1594" s="234">
        <f>IF(C1594="",NA(),MATCH($B1594&amp;$C1594,'Smelter Reference List'!$J:$J,0))</f>
        <v>252</v>
      </c>
      <c r="T1594" s="235"/>
      <c r="U1594" s="235">
        <f t="shared" si="44"/>
        <v>0</v>
      </c>
      <c r="V1594" s="235"/>
      <c r="W1594" s="235"/>
      <c r="Y1594" s="228" t="str">
        <f t="shared" si="45"/>
        <v>TantalumGlobal Advanced Metals Boyertown</v>
      </c>
    </row>
    <row r="1595" spans="1:25" s="228" customFormat="1" ht="20.25">
      <c r="A1595" s="161" t="s">
        <v>2738</v>
      </c>
      <c r="B1595" s="408" t="s">
        <v>2325</v>
      </c>
      <c r="C1595" s="297" t="str">
        <f>IF(LEN(A1595)=0,"",INDEX('[2]Smelter Reference List'!$C$1:$C$65536,MATCH($A1595,'[2]Smelter Reference List'!$E$1:$E$65536,0)))</f>
        <v>H.C. Starck Co., Ltd.</v>
      </c>
      <c r="D1595" s="161" t="s">
        <v>2737</v>
      </c>
      <c r="E1595" s="161" t="s">
        <v>1743</v>
      </c>
      <c r="F1595" s="161" t="s">
        <v>2738</v>
      </c>
      <c r="G1595" s="161" t="s">
        <v>3125</v>
      </c>
      <c r="H1595" s="247">
        <v>0</v>
      </c>
      <c r="I1595" s="248" t="s">
        <v>3416</v>
      </c>
      <c r="J1595" s="248" t="s">
        <v>3417</v>
      </c>
      <c r="K1595" s="245"/>
      <c r="L1595" s="245"/>
      <c r="M1595" s="245"/>
      <c r="N1595" s="245"/>
      <c r="O1595" s="245"/>
      <c r="P1595" s="245"/>
      <c r="Q1595" s="246"/>
      <c r="R1595" s="233"/>
      <c r="S1595" s="234">
        <f>IF(C1595="",NA(),MATCH($B1595&amp;$C1595,'Smelter Reference List'!$J:$J,0))</f>
        <v>254</v>
      </c>
      <c r="T1595" s="235"/>
      <c r="U1595" s="235">
        <f t="shared" si="44"/>
        <v>0</v>
      </c>
      <c r="V1595" s="235"/>
      <c r="W1595" s="235"/>
      <c r="Y1595" s="228" t="str">
        <f t="shared" si="45"/>
        <v>TantalumH.C. Starck Co., Ltd.</v>
      </c>
    </row>
    <row r="1596" spans="1:25" s="228" customFormat="1" ht="20.25">
      <c r="A1596" s="161" t="s">
        <v>2740</v>
      </c>
      <c r="B1596" s="408" t="s">
        <v>2325</v>
      </c>
      <c r="C1596" s="297" t="str">
        <f>IF(LEN(A1596)=0,"",INDEX('[2]Smelter Reference List'!$C$1:$C$65536,MATCH($A1596,'[2]Smelter Reference List'!$E$1:$E$65536,0)))</f>
        <v>H.C. Starck GmbH Goslar</v>
      </c>
      <c r="D1596" s="161" t="s">
        <v>2739</v>
      </c>
      <c r="E1596" s="161" t="s">
        <v>2195</v>
      </c>
      <c r="F1596" s="161" t="s">
        <v>2740</v>
      </c>
      <c r="G1596" s="161" t="s">
        <v>3125</v>
      </c>
      <c r="H1596" s="247">
        <v>0</v>
      </c>
      <c r="I1596" s="248" t="s">
        <v>3418</v>
      </c>
      <c r="J1596" s="248" t="s">
        <v>3419</v>
      </c>
      <c r="K1596" s="245"/>
      <c r="L1596" s="245"/>
      <c r="M1596" s="245"/>
      <c r="N1596" s="245"/>
      <c r="O1596" s="245"/>
      <c r="P1596" s="245"/>
      <c r="Q1596" s="246"/>
      <c r="R1596" s="233"/>
      <c r="S1596" s="234">
        <f>IF(C1596="",NA(),MATCH($B1596&amp;$C1596,'Smelter Reference List'!$J:$J,0))</f>
        <v>255</v>
      </c>
      <c r="T1596" s="235"/>
      <c r="U1596" s="235">
        <f t="shared" si="44"/>
        <v>0</v>
      </c>
      <c r="V1596" s="235"/>
      <c r="W1596" s="235"/>
      <c r="Y1596" s="228" t="str">
        <f t="shared" si="45"/>
        <v>TantalumH.C. Starck GmbH Goslar</v>
      </c>
    </row>
    <row r="1597" spans="1:25" s="228" customFormat="1" ht="20.25">
      <c r="A1597" s="161" t="s">
        <v>2742</v>
      </c>
      <c r="B1597" s="408" t="s">
        <v>2325</v>
      </c>
      <c r="C1597" s="297" t="str">
        <f>IF(LEN(A1597)=0,"",INDEX('[2]Smelter Reference List'!$C$1:$C$65536,MATCH($A1597,'[2]Smelter Reference List'!$E$1:$E$65536,0)))</f>
        <v>H.C. Starck GmbH Laufenburg</v>
      </c>
      <c r="D1597" s="161" t="s">
        <v>2741</v>
      </c>
      <c r="E1597" s="161" t="s">
        <v>2195</v>
      </c>
      <c r="F1597" s="161" t="s">
        <v>2742</v>
      </c>
      <c r="G1597" s="161" t="s">
        <v>3125</v>
      </c>
      <c r="H1597" s="247">
        <v>0</v>
      </c>
      <c r="I1597" s="248" t="s">
        <v>3420</v>
      </c>
      <c r="J1597" s="248" t="s">
        <v>3131</v>
      </c>
      <c r="K1597" s="245"/>
      <c r="L1597" s="245"/>
      <c r="M1597" s="245"/>
      <c r="N1597" s="245"/>
      <c r="O1597" s="245"/>
      <c r="P1597" s="245"/>
      <c r="Q1597" s="246"/>
      <c r="R1597" s="233"/>
      <c r="S1597" s="234">
        <f>IF(C1597="",NA(),MATCH($B1597&amp;$C1597,'Smelter Reference List'!$J:$J,0))</f>
        <v>256</v>
      </c>
      <c r="T1597" s="235"/>
      <c r="U1597" s="235">
        <f t="shared" si="44"/>
        <v>0</v>
      </c>
      <c r="V1597" s="235"/>
      <c r="W1597" s="235"/>
      <c r="Y1597" s="228" t="str">
        <f t="shared" si="45"/>
        <v>TantalumH.C. Starck GmbH Laufenburg</v>
      </c>
    </row>
    <row r="1598" spans="1:25" s="228" customFormat="1" ht="20.25">
      <c r="A1598" s="161" t="s">
        <v>2744</v>
      </c>
      <c r="B1598" s="408" t="s">
        <v>2325</v>
      </c>
      <c r="C1598" s="297" t="str">
        <f>IF(LEN(A1598)=0,"",INDEX('[2]Smelter Reference List'!$C$1:$C$65536,MATCH($A1598,'[2]Smelter Reference List'!$E$1:$E$65536,0)))</f>
        <v>H.C. Starck Hermsdorf GmbH</v>
      </c>
      <c r="D1598" s="161" t="s">
        <v>2743</v>
      </c>
      <c r="E1598" s="161" t="s">
        <v>2195</v>
      </c>
      <c r="F1598" s="161" t="s">
        <v>2744</v>
      </c>
      <c r="G1598" s="161" t="s">
        <v>3125</v>
      </c>
      <c r="H1598" s="247">
        <v>0</v>
      </c>
      <c r="I1598" s="248" t="s">
        <v>3421</v>
      </c>
      <c r="J1598" s="248" t="s">
        <v>3422</v>
      </c>
      <c r="K1598" s="245"/>
      <c r="L1598" s="245"/>
      <c r="M1598" s="245"/>
      <c r="N1598" s="245"/>
      <c r="O1598" s="245"/>
      <c r="P1598" s="245"/>
      <c r="Q1598" s="246"/>
      <c r="R1598" s="233"/>
      <c r="S1598" s="234">
        <f>IF(C1598="",NA(),MATCH($B1598&amp;$C1598,'Smelter Reference List'!$J:$J,0))</f>
        <v>257</v>
      </c>
      <c r="T1598" s="235"/>
      <c r="U1598" s="235">
        <f t="shared" si="44"/>
        <v>0</v>
      </c>
      <c r="V1598" s="235"/>
      <c r="W1598" s="235"/>
      <c r="Y1598" s="228" t="str">
        <f t="shared" si="45"/>
        <v>TantalumH.C. Starck Hermsdorf GmbH</v>
      </c>
    </row>
    <row r="1599" spans="1:25" s="228" customFormat="1" ht="20.25">
      <c r="A1599" s="161" t="s">
        <v>2746</v>
      </c>
      <c r="B1599" s="408" t="s">
        <v>2325</v>
      </c>
      <c r="C1599" s="297" t="str">
        <f>IF(LEN(A1599)=0,"",INDEX('[2]Smelter Reference List'!$C$1:$C$65536,MATCH($A1599,'[2]Smelter Reference List'!$E$1:$E$65536,0)))</f>
        <v>H.C. Starck Inc.</v>
      </c>
      <c r="D1599" s="161" t="s">
        <v>2745</v>
      </c>
      <c r="E1599" s="161" t="s">
        <v>1759</v>
      </c>
      <c r="F1599" s="161" t="s">
        <v>2746</v>
      </c>
      <c r="G1599" s="161" t="s">
        <v>3125</v>
      </c>
      <c r="H1599" s="247">
        <v>0</v>
      </c>
      <c r="I1599" s="248" t="s">
        <v>3423</v>
      </c>
      <c r="J1599" s="248" t="s">
        <v>3242</v>
      </c>
      <c r="K1599" s="245"/>
      <c r="L1599" s="245"/>
      <c r="M1599" s="245"/>
      <c r="N1599" s="245"/>
      <c r="O1599" s="245"/>
      <c r="P1599" s="245"/>
      <c r="Q1599" s="246"/>
      <c r="R1599" s="233"/>
      <c r="S1599" s="234">
        <f>IF(C1599="",NA(),MATCH($B1599&amp;$C1599,'Smelter Reference List'!$J:$J,0))</f>
        <v>258</v>
      </c>
      <c r="T1599" s="235"/>
      <c r="U1599" s="235">
        <f t="shared" si="44"/>
        <v>0</v>
      </c>
      <c r="V1599" s="235"/>
      <c r="W1599" s="235"/>
      <c r="Y1599" s="228" t="str">
        <f t="shared" si="45"/>
        <v>TantalumH.C. Starck Inc.</v>
      </c>
    </row>
    <row r="1600" spans="1:25" s="228" customFormat="1" ht="20.25">
      <c r="A1600" s="161" t="s">
        <v>2748</v>
      </c>
      <c r="B1600" s="408" t="s">
        <v>2325</v>
      </c>
      <c r="C1600" s="297" t="str">
        <f>IF(LEN(A1600)=0,"",INDEX('[2]Smelter Reference List'!$C$1:$C$65536,MATCH($A1600,'[2]Smelter Reference List'!$E$1:$E$65536,0)))</f>
        <v>H.C. Starck Ltd.</v>
      </c>
      <c r="D1600" s="161" t="s">
        <v>2747</v>
      </c>
      <c r="E1600" s="161" t="s">
        <v>2249</v>
      </c>
      <c r="F1600" s="161" t="s">
        <v>2748</v>
      </c>
      <c r="G1600" s="161" t="s">
        <v>3125</v>
      </c>
      <c r="H1600" s="247">
        <v>0</v>
      </c>
      <c r="I1600" s="248" t="s">
        <v>3424</v>
      </c>
      <c r="J1600" s="248" t="s">
        <v>3425</v>
      </c>
      <c r="K1600" s="245"/>
      <c r="L1600" s="245"/>
      <c r="M1600" s="245"/>
      <c r="N1600" s="245"/>
      <c r="O1600" s="245"/>
      <c r="P1600" s="245"/>
      <c r="Q1600" s="246"/>
      <c r="R1600" s="233"/>
      <c r="S1600" s="234">
        <f>IF(C1600="",NA(),MATCH($B1600&amp;$C1600,'Smelter Reference List'!$J:$J,0))</f>
        <v>259</v>
      </c>
      <c r="T1600" s="235"/>
      <c r="U1600" s="235">
        <f t="shared" si="44"/>
        <v>0</v>
      </c>
      <c r="V1600" s="235"/>
      <c r="W1600" s="235"/>
      <c r="Y1600" s="228" t="str">
        <f t="shared" si="45"/>
        <v>TantalumH.C. Starck Ltd.</v>
      </c>
    </row>
    <row r="1601" spans="1:25" s="228" customFormat="1" ht="20.25">
      <c r="A1601" s="161" t="s">
        <v>2750</v>
      </c>
      <c r="B1601" s="408" t="s">
        <v>2325</v>
      </c>
      <c r="C1601" s="297" t="str">
        <f>IF(LEN(A1601)=0,"",INDEX('[2]Smelter Reference List'!$C$1:$C$65536,MATCH($A1601,'[2]Smelter Reference List'!$E$1:$E$65536,0)))</f>
        <v>H.C. Starck Smelting GmbH &amp; Co. KG</v>
      </c>
      <c r="D1601" s="161" t="s">
        <v>4729</v>
      </c>
      <c r="E1601" s="161" t="s">
        <v>2195</v>
      </c>
      <c r="F1601" s="161" t="s">
        <v>2750</v>
      </c>
      <c r="G1601" s="161" t="s">
        <v>3125</v>
      </c>
      <c r="H1601" s="247">
        <v>0</v>
      </c>
      <c r="I1601" s="248" t="s">
        <v>3420</v>
      </c>
      <c r="J1601" s="248" t="s">
        <v>3131</v>
      </c>
      <c r="K1601" s="245"/>
      <c r="L1601" s="245"/>
      <c r="M1601" s="245"/>
      <c r="N1601" s="245"/>
      <c r="O1601" s="245"/>
      <c r="P1601" s="245"/>
      <c r="Q1601" s="246"/>
      <c r="R1601" s="233"/>
      <c r="S1601" s="234">
        <f>IF(C1601="",NA(),MATCH($B1601&amp;$C1601,'Smelter Reference List'!$J:$J,0))</f>
        <v>260</v>
      </c>
      <c r="T1601" s="235"/>
      <c r="U1601" s="235">
        <f t="shared" si="44"/>
        <v>0</v>
      </c>
      <c r="V1601" s="235"/>
      <c r="W1601" s="235"/>
      <c r="Y1601" s="228" t="str">
        <f t="shared" si="45"/>
        <v>TantalumH.C. Starck Smelting GmbH &amp; Co. KG</v>
      </c>
    </row>
    <row r="1602" spans="1:25" s="228" customFormat="1" ht="20.25">
      <c r="A1602" s="161" t="s">
        <v>1346</v>
      </c>
      <c r="B1602" s="408" t="s">
        <v>2325</v>
      </c>
      <c r="C1602" s="297" t="str">
        <f>IF(LEN(A1602)=0,"",INDEX('[2]Smelter Reference List'!$C$1:$C$65536,MATCH($A1602,'[2]Smelter Reference List'!$E$1:$E$65536,0)))</f>
        <v>JiuJiang JinXin Nonferrous Metals Co., Ltd.</v>
      </c>
      <c r="D1602" s="161" t="s">
        <v>5</v>
      </c>
      <c r="E1602" s="161" t="s">
        <v>2181</v>
      </c>
      <c r="F1602" s="161" t="s">
        <v>1346</v>
      </c>
      <c r="G1602" s="161" t="s">
        <v>3125</v>
      </c>
      <c r="H1602" s="247">
        <v>0</v>
      </c>
      <c r="I1602" s="248" t="s">
        <v>3379</v>
      </c>
      <c r="J1602" s="248" t="s">
        <v>3204</v>
      </c>
      <c r="K1602" s="245"/>
      <c r="L1602" s="245"/>
      <c r="M1602" s="245"/>
      <c r="N1602" s="245"/>
      <c r="O1602" s="245"/>
      <c r="P1602" s="245"/>
      <c r="Q1602" s="246"/>
      <c r="R1602" s="233"/>
      <c r="S1602" s="234">
        <f>IF(C1602="",NA(),MATCH($B1602&amp;$C1602,'Smelter Reference List'!$J:$J,0))</f>
        <v>266</v>
      </c>
      <c r="T1602" s="235"/>
      <c r="U1602" s="235">
        <f t="shared" si="44"/>
        <v>0</v>
      </c>
      <c r="V1602" s="235"/>
      <c r="W1602" s="235"/>
      <c r="Y1602" s="228" t="str">
        <f t="shared" si="45"/>
        <v>TantalumJiuJiang JinXin Nonferrous Metals Co., Ltd.</v>
      </c>
    </row>
    <row r="1603" spans="1:25" s="228" customFormat="1" ht="20.25">
      <c r="A1603" s="161" t="s">
        <v>1347</v>
      </c>
      <c r="B1603" s="408" t="s">
        <v>2325</v>
      </c>
      <c r="C1603" s="297" t="str">
        <f>IF(LEN(A1603)=0,"",INDEX('[2]Smelter Reference List'!$C$1:$C$65536,MATCH($A1603,'[2]Smelter Reference List'!$E$1:$E$65536,0)))</f>
        <v>Jiujiang Tanbre Co., Ltd.</v>
      </c>
      <c r="D1603" s="161" t="s">
        <v>64</v>
      </c>
      <c r="E1603" s="161" t="s">
        <v>2181</v>
      </c>
      <c r="F1603" s="161" t="s">
        <v>1347</v>
      </c>
      <c r="G1603" s="161" t="s">
        <v>3125</v>
      </c>
      <c r="H1603" s="247">
        <v>0</v>
      </c>
      <c r="I1603" s="248" t="s">
        <v>3379</v>
      </c>
      <c r="J1603" s="248" t="s">
        <v>3204</v>
      </c>
      <c r="K1603" s="245"/>
      <c r="L1603" s="245"/>
      <c r="M1603" s="245"/>
      <c r="N1603" s="245"/>
      <c r="O1603" s="245"/>
      <c r="P1603" s="245"/>
      <c r="Q1603" s="246"/>
      <c r="R1603" s="233"/>
      <c r="S1603" s="234">
        <f>IF(C1603="",NA(),MATCH($B1603&amp;$C1603,'Smelter Reference List'!$J:$J,0))</f>
        <v>267</v>
      </c>
      <c r="T1603" s="235"/>
      <c r="U1603" s="235">
        <f t="shared" si="44"/>
        <v>0</v>
      </c>
      <c r="V1603" s="235"/>
      <c r="W1603" s="235"/>
      <c r="Y1603" s="228" t="str">
        <f t="shared" si="45"/>
        <v>TantalumJiujiang Tanbre Co., Ltd.</v>
      </c>
    </row>
    <row r="1604" spans="1:25" s="228" customFormat="1" ht="20.25">
      <c r="A1604" s="161" t="s">
        <v>2752</v>
      </c>
      <c r="B1604" s="408" t="s">
        <v>2325</v>
      </c>
      <c r="C1604" s="297" t="str">
        <f>IF(LEN(A1604)=0,"",INDEX('[2]Smelter Reference List'!$C$1:$C$65536,MATCH($A1604,'[2]Smelter Reference List'!$E$1:$E$65536,0)))</f>
        <v>KEMET Blue Metals</v>
      </c>
      <c r="D1604" s="161" t="s">
        <v>2751</v>
      </c>
      <c r="E1604" s="161" t="s">
        <v>2275</v>
      </c>
      <c r="F1604" s="161" t="s">
        <v>2752</v>
      </c>
      <c r="G1604" s="161" t="s">
        <v>3125</v>
      </c>
      <c r="H1604" s="247">
        <v>0</v>
      </c>
      <c r="I1604" s="248" t="s">
        <v>3412</v>
      </c>
      <c r="J1604" s="248" t="s">
        <v>3413</v>
      </c>
      <c r="K1604" s="245"/>
      <c r="L1604" s="245"/>
      <c r="M1604" s="245"/>
      <c r="N1604" s="245"/>
      <c r="O1604" s="245"/>
      <c r="P1604" s="245"/>
      <c r="Q1604" s="246"/>
      <c r="R1604" s="233"/>
      <c r="S1604" s="234">
        <f>IF(C1604="",NA(),MATCH($B1604&amp;$C1604,'Smelter Reference List'!$J:$J,0))</f>
        <v>269</v>
      </c>
      <c r="T1604" s="235"/>
      <c r="U1604" s="235">
        <f t="shared" si="44"/>
        <v>0</v>
      </c>
      <c r="V1604" s="235"/>
      <c r="W1604" s="235"/>
      <c r="Y1604" s="228" t="str">
        <f t="shared" si="45"/>
        <v>TantalumKEMET Blue Metals</v>
      </c>
    </row>
    <row r="1605" spans="1:25" s="228" customFormat="1" ht="20.25">
      <c r="A1605" s="161" t="s">
        <v>2769</v>
      </c>
      <c r="B1605" s="408" t="s">
        <v>2325</v>
      </c>
      <c r="C1605" s="297" t="str">
        <f>IF(LEN(A1605)=0,"",INDEX('[2]Smelter Reference List'!$C$1:$C$65536,MATCH($A1605,'[2]Smelter Reference List'!$E$1:$E$65536,0)))</f>
        <v>KEMET Blue Powder</v>
      </c>
      <c r="D1605" s="161" t="s">
        <v>2768</v>
      </c>
      <c r="E1605" s="161" t="s">
        <v>1759</v>
      </c>
      <c r="F1605" s="161" t="s">
        <v>2769</v>
      </c>
      <c r="G1605" s="161" t="s">
        <v>3125</v>
      </c>
      <c r="H1605" s="247">
        <v>0</v>
      </c>
      <c r="I1605" s="248" t="s">
        <v>3430</v>
      </c>
      <c r="J1605" s="248" t="s">
        <v>3431</v>
      </c>
      <c r="K1605" s="245"/>
      <c r="L1605" s="245"/>
      <c r="M1605" s="245"/>
      <c r="N1605" s="245"/>
      <c r="O1605" s="245"/>
      <c r="P1605" s="245"/>
      <c r="Q1605" s="246"/>
      <c r="R1605" s="233"/>
      <c r="S1605" s="234">
        <f>IF(C1605="",NA(),MATCH($B1605&amp;$C1605,'Smelter Reference List'!$J:$J,0))</f>
        <v>270</v>
      </c>
      <c r="T1605" s="235"/>
      <c r="U1605" s="235">
        <f t="shared" si="44"/>
        <v>0</v>
      </c>
      <c r="V1605" s="235"/>
      <c r="W1605" s="235"/>
      <c r="Y1605" s="228" t="str">
        <f t="shared" si="45"/>
        <v>TantalumKEMET Blue Powder</v>
      </c>
    </row>
    <row r="1606" spans="1:25" s="228" customFormat="1" ht="20.25">
      <c r="A1606" s="161" t="s">
        <v>1352</v>
      </c>
      <c r="B1606" s="408" t="s">
        <v>2325</v>
      </c>
      <c r="C1606" s="297" t="str">
        <f>IF(LEN(A1606)=0,"",INDEX('[2]Smelter Reference List'!$C$1:$C$65536,MATCH($A1606,'[2]Smelter Reference List'!$E$1:$E$65536,0)))</f>
        <v>Mitsui Mining &amp; Smelting</v>
      </c>
      <c r="D1606" s="161" t="s">
        <v>2308</v>
      </c>
      <c r="E1606" s="161" t="s">
        <v>2249</v>
      </c>
      <c r="F1606" s="161" t="s">
        <v>1352</v>
      </c>
      <c r="G1606" s="161" t="s">
        <v>3125</v>
      </c>
      <c r="H1606" s="247">
        <v>0</v>
      </c>
      <c r="I1606" s="248" t="s">
        <v>3387</v>
      </c>
      <c r="J1606" s="248" t="s">
        <v>3388</v>
      </c>
      <c r="K1606" s="245"/>
      <c r="L1606" s="245"/>
      <c r="M1606" s="245"/>
      <c r="N1606" s="245"/>
      <c r="O1606" s="245"/>
      <c r="P1606" s="245"/>
      <c r="Q1606" s="246"/>
      <c r="R1606" s="233"/>
      <c r="S1606" s="234">
        <f>IF(C1606="",NA(),MATCH($B1606&amp;$C1606,'Smelter Reference List'!$J:$J,0))</f>
        <v>276</v>
      </c>
      <c r="T1606" s="235"/>
      <c r="U1606" s="235">
        <f t="shared" ref="U1606:U1669" si="46">IF(AND(C1606="Smelter not listed",OR(LEN(D1606)=0,LEN(E1606)=0)),1,0)</f>
        <v>0</v>
      </c>
      <c r="V1606" s="235"/>
      <c r="W1606" s="235"/>
      <c r="Y1606" s="228" t="str">
        <f t="shared" ref="Y1606:Y1669" si="47">B1606&amp;C1606</f>
        <v>TantalumMitsui Mining &amp; Smelting</v>
      </c>
    </row>
    <row r="1607" spans="1:25" s="228" customFormat="1" ht="20.25">
      <c r="A1607" s="161" t="s">
        <v>1353</v>
      </c>
      <c r="B1607" s="408" t="s">
        <v>2325</v>
      </c>
      <c r="C1607" s="297" t="str">
        <f>IF(LEN(A1607)=0,"",INDEX('[2]Smelter Reference List'!$C$1:$C$65536,MATCH($A1607,'[2]Smelter Reference List'!$E$1:$E$65536,0)))</f>
        <v>Molycorp Silmet A.S.</v>
      </c>
      <c r="D1607" s="161" t="s">
        <v>66</v>
      </c>
      <c r="E1607" s="161" t="s">
        <v>2206</v>
      </c>
      <c r="F1607" s="161" t="s">
        <v>1353</v>
      </c>
      <c r="G1607" s="161" t="s">
        <v>3125</v>
      </c>
      <c r="H1607" s="247">
        <v>0</v>
      </c>
      <c r="I1607" s="248" t="s">
        <v>3389</v>
      </c>
      <c r="J1607" s="248" t="s">
        <v>3390</v>
      </c>
      <c r="K1607" s="245"/>
      <c r="L1607" s="245"/>
      <c r="M1607" s="245"/>
      <c r="N1607" s="245"/>
      <c r="O1607" s="245"/>
      <c r="P1607" s="245"/>
      <c r="Q1607" s="246"/>
      <c r="R1607" s="233"/>
      <c r="S1607" s="234">
        <f>IF(C1607="",NA(),MATCH($B1607&amp;$C1607,'Smelter Reference List'!$J:$J,0))</f>
        <v>277</v>
      </c>
      <c r="T1607" s="235"/>
      <c r="U1607" s="235">
        <f t="shared" si="46"/>
        <v>0</v>
      </c>
      <c r="V1607" s="235"/>
      <c r="W1607" s="235"/>
      <c r="Y1607" s="228" t="str">
        <f t="shared" si="47"/>
        <v>TantalumMolycorp Silmet A.S.</v>
      </c>
    </row>
    <row r="1608" spans="1:25" s="228" customFormat="1" ht="20.25">
      <c r="A1608" s="161" t="s">
        <v>1354</v>
      </c>
      <c r="B1608" s="408" t="s">
        <v>2325</v>
      </c>
      <c r="C1608" s="297" t="str">
        <f>IF(LEN(A1608)=0,"",INDEX('[2]Smelter Reference List'!$C$1:$C$65536,MATCH($A1608,'[2]Smelter Reference List'!$E$1:$E$65536,0)))</f>
        <v>Ningxia Orient Tantalum Industry Co., Ltd.</v>
      </c>
      <c r="D1608" s="161" t="s">
        <v>1950</v>
      </c>
      <c r="E1608" s="161" t="s">
        <v>2181</v>
      </c>
      <c r="F1608" s="161" t="s">
        <v>1354</v>
      </c>
      <c r="G1608" s="161" t="s">
        <v>3125</v>
      </c>
      <c r="H1608" s="247">
        <v>0</v>
      </c>
      <c r="I1608" s="248" t="s">
        <v>3391</v>
      </c>
      <c r="J1608" s="248" t="s">
        <v>3392</v>
      </c>
      <c r="K1608" s="245"/>
      <c r="L1608" s="245"/>
      <c r="M1608" s="245"/>
      <c r="N1608" s="245"/>
      <c r="O1608" s="245"/>
      <c r="P1608" s="245"/>
      <c r="Q1608" s="246"/>
      <c r="R1608" s="233"/>
      <c r="S1608" s="234">
        <f>IF(C1608="",NA(),MATCH($B1608&amp;$C1608,'Smelter Reference List'!$J:$J,0))</f>
        <v>278</v>
      </c>
      <c r="T1608" s="235"/>
      <c r="U1608" s="235">
        <f t="shared" si="46"/>
        <v>0</v>
      </c>
      <c r="V1608" s="235"/>
      <c r="W1608" s="235"/>
      <c r="Y1608" s="228" t="str">
        <f t="shared" si="47"/>
        <v>TantalumNingxia Orient Tantalum Industry Co., Ltd.</v>
      </c>
    </row>
    <row r="1609" spans="1:25" s="228" customFormat="1" ht="20.25">
      <c r="A1609" s="161" t="s">
        <v>2756</v>
      </c>
      <c r="B1609" s="408" t="s">
        <v>2325</v>
      </c>
      <c r="C1609" s="297" t="str">
        <f>IF(LEN(A1609)=0,"",INDEX('[2]Smelter Reference List'!$C$1:$C$65536,MATCH($A1609,'[2]Smelter Reference List'!$E$1:$E$65536,0)))</f>
        <v>Plansee SE Reutte</v>
      </c>
      <c r="D1609" s="161" t="s">
        <v>2755</v>
      </c>
      <c r="E1609" s="161" t="s">
        <v>2155</v>
      </c>
      <c r="F1609" s="161" t="s">
        <v>2756</v>
      </c>
      <c r="G1609" s="161" t="s">
        <v>3125</v>
      </c>
      <c r="H1609" s="247">
        <v>0</v>
      </c>
      <c r="I1609" s="248" t="s">
        <v>3426</v>
      </c>
      <c r="J1609" s="248" t="s">
        <v>3427</v>
      </c>
      <c r="K1609" s="245"/>
      <c r="L1609" s="245"/>
      <c r="M1609" s="245"/>
      <c r="N1609" s="245"/>
      <c r="O1609" s="245"/>
      <c r="P1609" s="245"/>
      <c r="Q1609" s="246"/>
      <c r="R1609" s="233"/>
      <c r="S1609" s="234">
        <f>IF(C1609="",NA(),MATCH($B1609&amp;$C1609,'Smelter Reference List'!$J:$J,0))</f>
        <v>280</v>
      </c>
      <c r="T1609" s="235"/>
      <c r="U1609" s="235">
        <f t="shared" si="46"/>
        <v>0</v>
      </c>
      <c r="V1609" s="235"/>
      <c r="W1609" s="235"/>
      <c r="Y1609" s="228" t="str">
        <f t="shared" si="47"/>
        <v>TantalumPlansee SE Reutte</v>
      </c>
    </row>
    <row r="1610" spans="1:25" s="228" customFormat="1" ht="20.25">
      <c r="A1610" s="161" t="s">
        <v>1357</v>
      </c>
      <c r="B1610" s="408" t="s">
        <v>2325</v>
      </c>
      <c r="C1610" s="297" t="str">
        <f>IF(LEN(A1610)=0,"",INDEX('[2]Smelter Reference List'!$C$1:$C$65536,MATCH($A1610,'[2]Smelter Reference List'!$E$1:$E$65536,0)))</f>
        <v>Solikamsk Magnesium Works OAO</v>
      </c>
      <c r="D1610" s="161" t="s">
        <v>2658</v>
      </c>
      <c r="E1610" s="161" t="s">
        <v>1717</v>
      </c>
      <c r="F1610" s="161" t="s">
        <v>1357</v>
      </c>
      <c r="G1610" s="161" t="s">
        <v>3125</v>
      </c>
      <c r="H1610" s="247">
        <v>0</v>
      </c>
      <c r="I1610" s="248" t="s">
        <v>3396</v>
      </c>
      <c r="J1610" s="248" t="s">
        <v>3397</v>
      </c>
      <c r="K1610" s="245"/>
      <c r="L1610" s="245"/>
      <c r="M1610" s="245"/>
      <c r="N1610" s="245"/>
      <c r="O1610" s="245"/>
      <c r="P1610" s="245"/>
      <c r="Q1610" s="246"/>
      <c r="R1610" s="233"/>
      <c r="S1610" s="234">
        <f>IF(C1610="",NA(),MATCH($B1610&amp;$C1610,'Smelter Reference List'!$J:$J,0))</f>
        <v>288</v>
      </c>
      <c r="T1610" s="235"/>
      <c r="U1610" s="235">
        <f t="shared" si="46"/>
        <v>0</v>
      </c>
      <c r="V1610" s="235"/>
      <c r="W1610" s="235"/>
      <c r="Y1610" s="228" t="str">
        <f t="shared" si="47"/>
        <v>TantalumSolikamsk Magnesium Works OAO</v>
      </c>
    </row>
    <row r="1611" spans="1:25" s="228" customFormat="1" ht="20.25">
      <c r="A1611" s="161" t="s">
        <v>1358</v>
      </c>
      <c r="B1611" s="408" t="s">
        <v>2325</v>
      </c>
      <c r="C1611" s="297" t="str">
        <f>IF(LEN(A1611)=0,"",INDEX('[2]Smelter Reference List'!$C$1:$C$65536,MATCH($A1611,'[2]Smelter Reference List'!$E$1:$E$65536,0)))</f>
        <v>Taki Chemicals</v>
      </c>
      <c r="D1611" s="161" t="s">
        <v>1468</v>
      </c>
      <c r="E1611" s="161" t="s">
        <v>2249</v>
      </c>
      <c r="F1611" s="161" t="s">
        <v>1358</v>
      </c>
      <c r="G1611" s="161" t="s">
        <v>3125</v>
      </c>
      <c r="H1611" s="247">
        <v>0</v>
      </c>
      <c r="I1611" s="248" t="s">
        <v>3398</v>
      </c>
      <c r="J1611" s="248" t="s">
        <v>3140</v>
      </c>
      <c r="K1611" s="245"/>
      <c r="L1611" s="245"/>
      <c r="M1611" s="245"/>
      <c r="N1611" s="245"/>
      <c r="O1611" s="245"/>
      <c r="P1611" s="245"/>
      <c r="Q1611" s="246"/>
      <c r="R1611" s="233"/>
      <c r="S1611" s="234">
        <f>IF(C1611="",NA(),MATCH($B1611&amp;$C1611,'Smelter Reference List'!$J:$J,0))</f>
        <v>290</v>
      </c>
      <c r="T1611" s="235"/>
      <c r="U1611" s="235">
        <f t="shared" si="46"/>
        <v>0</v>
      </c>
      <c r="V1611" s="235"/>
      <c r="W1611" s="235"/>
      <c r="Y1611" s="228" t="str">
        <f t="shared" si="47"/>
        <v>TantalumTaki Chemicals</v>
      </c>
    </row>
    <row r="1612" spans="1:25" s="228" customFormat="1" ht="20.25">
      <c r="A1612" s="161" t="s">
        <v>1359</v>
      </c>
      <c r="B1612" s="408" t="s">
        <v>2325</v>
      </c>
      <c r="C1612" s="297" t="str">
        <f>IF(LEN(A1612)=0,"",INDEX('[2]Smelter Reference List'!$C$1:$C$65536,MATCH($A1612,'[2]Smelter Reference List'!$E$1:$E$65536,0)))</f>
        <v>Telex Metals</v>
      </c>
      <c r="D1612" s="161" t="s">
        <v>3399</v>
      </c>
      <c r="E1612" s="161" t="s">
        <v>1759</v>
      </c>
      <c r="F1612" s="161" t="s">
        <v>1359</v>
      </c>
      <c r="G1612" s="161" t="s">
        <v>3125</v>
      </c>
      <c r="H1612" s="247">
        <v>0</v>
      </c>
      <c r="I1612" s="248" t="s">
        <v>3400</v>
      </c>
      <c r="J1612" s="248" t="s">
        <v>3401</v>
      </c>
      <c r="K1612" s="245"/>
      <c r="L1612" s="245"/>
      <c r="M1612" s="245"/>
      <c r="N1612" s="245"/>
      <c r="O1612" s="245"/>
      <c r="P1612" s="245"/>
      <c r="Q1612" s="246"/>
      <c r="R1612" s="233"/>
      <c r="S1612" s="234">
        <f>IF(C1612="",NA(),MATCH($B1612&amp;$C1612,'Smelter Reference List'!$J:$J,0))</f>
        <v>291</v>
      </c>
      <c r="T1612" s="235"/>
      <c r="U1612" s="235">
        <f t="shared" si="46"/>
        <v>0</v>
      </c>
      <c r="V1612" s="235"/>
      <c r="W1612" s="235"/>
      <c r="Y1612" s="228" t="str">
        <f t="shared" si="47"/>
        <v>TantalumTelex Metals</v>
      </c>
    </row>
    <row r="1613" spans="1:25" s="228" customFormat="1" ht="20.25">
      <c r="A1613" s="161" t="s">
        <v>1360</v>
      </c>
      <c r="B1613" s="408" t="s">
        <v>2325</v>
      </c>
      <c r="C1613" s="297" t="str">
        <f>IF(LEN(A1613)=0,"",INDEX('[2]Smelter Reference List'!$C$1:$C$65536,MATCH($A1613,'[2]Smelter Reference List'!$E$1:$E$65536,0)))</f>
        <v>Ulba Metallurgical Plant JSC</v>
      </c>
      <c r="D1613" s="161" t="s">
        <v>3402</v>
      </c>
      <c r="E1613" s="161" t="s">
        <v>2250</v>
      </c>
      <c r="F1613" s="161" t="s">
        <v>1360</v>
      </c>
      <c r="G1613" s="161" t="s">
        <v>3125</v>
      </c>
      <c r="H1613" s="247">
        <v>0</v>
      </c>
      <c r="I1613" s="248" t="s">
        <v>3214</v>
      </c>
      <c r="J1613" s="248" t="s">
        <v>3403</v>
      </c>
      <c r="K1613" s="245"/>
      <c r="L1613" s="245"/>
      <c r="M1613" s="245"/>
      <c r="N1613" s="245"/>
      <c r="O1613" s="245"/>
      <c r="P1613" s="245"/>
      <c r="Q1613" s="246"/>
      <c r="R1613" s="233"/>
      <c r="S1613" s="234">
        <f>IF(C1613="",NA(),MATCH($B1613&amp;$C1613,'Smelter Reference List'!$J:$J,0))</f>
        <v>294</v>
      </c>
      <c r="T1613" s="235"/>
      <c r="U1613" s="235">
        <f t="shared" si="46"/>
        <v>0</v>
      </c>
      <c r="V1613" s="235"/>
      <c r="W1613" s="235"/>
      <c r="Y1613" s="228" t="str">
        <f t="shared" si="47"/>
        <v>TantalumUlba Metallurgical Plant JSC</v>
      </c>
    </row>
    <row r="1614" spans="1:25" s="228" customFormat="1" ht="20.25">
      <c r="A1614" s="161" t="s">
        <v>1361</v>
      </c>
      <c r="B1614" s="408" t="s">
        <v>2325</v>
      </c>
      <c r="C1614" s="297" t="s">
        <v>3404</v>
      </c>
      <c r="D1614" s="161" t="s">
        <v>4184</v>
      </c>
      <c r="E1614" s="161" t="s">
        <v>2181</v>
      </c>
      <c r="F1614" s="161" t="s">
        <v>1361</v>
      </c>
      <c r="G1614" s="161" t="s">
        <v>3125</v>
      </c>
      <c r="H1614" s="247">
        <v>0</v>
      </c>
      <c r="I1614" s="248" t="s">
        <v>3395</v>
      </c>
      <c r="J1614" s="248" t="s">
        <v>3186</v>
      </c>
      <c r="K1614" s="245"/>
      <c r="L1614" s="245"/>
      <c r="M1614" s="245"/>
      <c r="N1614" s="245"/>
      <c r="O1614" s="245"/>
      <c r="P1614" s="245"/>
      <c r="Q1614" s="246"/>
      <c r="R1614" s="233"/>
      <c r="S1614" s="234">
        <f>IF(C1614="",NA(),MATCH($B1614&amp;$C1614,'Smelter Reference List'!$J:$J,0))</f>
        <v>299</v>
      </c>
      <c r="T1614" s="235"/>
      <c r="U1614" s="235">
        <f t="shared" si="46"/>
        <v>0</v>
      </c>
      <c r="V1614" s="235"/>
      <c r="W1614" s="235"/>
      <c r="Y1614" s="228" t="str">
        <f t="shared" si="47"/>
        <v>TantalumZhuzhou Cemented Carbide Group</v>
      </c>
    </row>
    <row r="1615" spans="1:25" s="228" customFormat="1" ht="20.25">
      <c r="A1615" s="161" t="s">
        <v>1364</v>
      </c>
      <c r="B1615" s="408" t="s">
        <v>2324</v>
      </c>
      <c r="C1615" s="297" t="str">
        <f>IF(LEN(A1615)=0,"",INDEX('[2]Smelter Reference List'!$C$1:$C$65536,MATCH($A1615,'[2]Smelter Reference List'!$E$1:$E$65536,0)))</f>
        <v>Alpha</v>
      </c>
      <c r="D1615" s="161" t="s">
        <v>67</v>
      </c>
      <c r="E1615" s="161" t="s">
        <v>1759</v>
      </c>
      <c r="F1615" s="161" t="s">
        <v>1364</v>
      </c>
      <c r="G1615" s="161" t="s">
        <v>3125</v>
      </c>
      <c r="H1615" s="247">
        <v>0</v>
      </c>
      <c r="I1615" s="248" t="s">
        <v>3444</v>
      </c>
      <c r="J1615" s="248" t="s">
        <v>3401</v>
      </c>
      <c r="K1615" s="245"/>
      <c r="L1615" s="245"/>
      <c r="M1615" s="245"/>
      <c r="N1615" s="245"/>
      <c r="O1615" s="245"/>
      <c r="P1615" s="245"/>
      <c r="Q1615" s="246"/>
      <c r="R1615" s="233"/>
      <c r="S1615" s="234">
        <f>IF(C1615="",NA(),MATCH($B1615&amp;$C1615,'Smelter Reference List'!$J:$J,0))</f>
        <v>304</v>
      </c>
      <c r="T1615" s="235"/>
      <c r="U1615" s="235">
        <f t="shared" si="46"/>
        <v>0</v>
      </c>
      <c r="V1615" s="235"/>
      <c r="W1615" s="235"/>
      <c r="Y1615" s="228" t="str">
        <f t="shared" si="47"/>
        <v>TinAlpha</v>
      </c>
    </row>
    <row r="1616" spans="1:25" s="228" customFormat="1" ht="20.25">
      <c r="A1616" s="161" t="s">
        <v>1362</v>
      </c>
      <c r="B1616" s="408" t="s">
        <v>2324</v>
      </c>
      <c r="C1616" s="297" t="str">
        <f>IF(LEN(A1616)=0,"",INDEX('[2]Smelter Reference List'!$C$1:$C$65536,MATCH($A1616,'[2]Smelter Reference List'!$E$1:$E$65536,0)))</f>
        <v>Jiangxi Ketai Advanced Material Co., Ltd.</v>
      </c>
      <c r="D1616" s="161" t="s">
        <v>3440</v>
      </c>
      <c r="E1616" s="161" t="s">
        <v>2181</v>
      </c>
      <c r="F1616" s="161" t="s">
        <v>1362</v>
      </c>
      <c r="G1616" s="161" t="s">
        <v>3125</v>
      </c>
      <c r="H1616" s="247">
        <v>0</v>
      </c>
      <c r="I1616" s="248" t="s">
        <v>3406</v>
      </c>
      <c r="J1616" s="248" t="s">
        <v>3204</v>
      </c>
      <c r="K1616" s="245"/>
      <c r="L1616" s="245"/>
      <c r="M1616" s="245"/>
      <c r="N1616" s="245"/>
      <c r="O1616" s="245"/>
      <c r="P1616" s="245"/>
      <c r="Q1616" s="246"/>
      <c r="R1616" s="233"/>
      <c r="S1616" s="234">
        <f>IF(C1616="",NA(),MATCH($B1616&amp;$C1616,'Smelter Reference List'!$J:$J,0))</f>
        <v>367</v>
      </c>
      <c r="T1616" s="235"/>
      <c r="U1616" s="235">
        <f t="shared" si="46"/>
        <v>0</v>
      </c>
      <c r="V1616" s="235"/>
      <c r="W1616" s="235"/>
      <c r="Y1616" s="228" t="str">
        <f t="shared" si="47"/>
        <v>TinJiangxi Ketai Advanced Material Co., Ltd.</v>
      </c>
    </row>
    <row r="1617" spans="1:25" s="228" customFormat="1" ht="20.25">
      <c r="A1617" s="161" t="s">
        <v>1377</v>
      </c>
      <c r="B1617" s="408" t="s">
        <v>2324</v>
      </c>
      <c r="C1617" s="297" t="str">
        <f>IF(LEN(A1617)=0,"",INDEX('[2]Smelter Reference List'!$C$1:$C$65536,MATCH($A1617,'[2]Smelter Reference List'!$E$1:$E$65536,0)))</f>
        <v>China Tin Group Co., Ltd.</v>
      </c>
      <c r="D1617" s="161" t="s">
        <v>2578</v>
      </c>
      <c r="E1617" s="161" t="s">
        <v>2181</v>
      </c>
      <c r="F1617" s="161" t="s">
        <v>1377</v>
      </c>
      <c r="G1617" s="161" t="s">
        <v>3125</v>
      </c>
      <c r="H1617" s="247">
        <v>0</v>
      </c>
      <c r="I1617" s="248" t="s">
        <v>3476</v>
      </c>
      <c r="J1617" s="248" t="s">
        <v>3442</v>
      </c>
      <c r="K1617" s="245"/>
      <c r="L1617" s="245"/>
      <c r="M1617" s="245"/>
      <c r="N1617" s="245"/>
      <c r="O1617" s="245"/>
      <c r="P1617" s="245"/>
      <c r="Q1617" s="246"/>
      <c r="R1617" s="233"/>
      <c r="S1617" s="234">
        <f>IF(C1617="",NA(),MATCH($B1617&amp;$C1617,'Smelter Reference List'!$J:$J,0))</f>
        <v>318</v>
      </c>
      <c r="T1617" s="235"/>
      <c r="U1617" s="235">
        <f t="shared" si="46"/>
        <v>0</v>
      </c>
      <c r="V1617" s="235"/>
      <c r="W1617" s="235"/>
      <c r="Y1617" s="228" t="str">
        <f t="shared" si="47"/>
        <v>TinChina Tin Group Co., Ltd.</v>
      </c>
    </row>
    <row r="1618" spans="1:25" s="228" customFormat="1" ht="20.25">
      <c r="A1618" s="161" t="s">
        <v>1363</v>
      </c>
      <c r="B1618" s="408" t="s">
        <v>2324</v>
      </c>
      <c r="C1618" s="297" t="str">
        <f>IF(LEN(A1618)=0,"",INDEX('[2]Smelter Reference List'!$C$1:$C$65536,MATCH($A1618,'[2]Smelter Reference List'!$E$1:$E$65536,0)))</f>
        <v>CNMC (Guangxi) PGMA Co., Ltd.</v>
      </c>
      <c r="D1618" s="161" t="s">
        <v>4149</v>
      </c>
      <c r="E1618" s="161" t="s">
        <v>2181</v>
      </c>
      <c r="F1618" s="161" t="s">
        <v>1363</v>
      </c>
      <c r="G1618" s="161" t="s">
        <v>3125</v>
      </c>
      <c r="H1618" s="247">
        <v>0</v>
      </c>
      <c r="I1618" s="248" t="s">
        <v>3441</v>
      </c>
      <c r="J1618" s="248" t="s">
        <v>3442</v>
      </c>
      <c r="K1618" s="245"/>
      <c r="L1618" s="245"/>
      <c r="M1618" s="245"/>
      <c r="N1618" s="245"/>
      <c r="O1618" s="245"/>
      <c r="P1618" s="245"/>
      <c r="Q1618" s="246"/>
      <c r="R1618" s="233"/>
      <c r="S1618" s="234">
        <f>IF(C1618="",NA(),MATCH($B1618&amp;$C1618,'Smelter Reference List'!$J:$J,0))</f>
        <v>321</v>
      </c>
      <c r="T1618" s="235"/>
      <c r="U1618" s="235">
        <f t="shared" si="46"/>
        <v>0</v>
      </c>
      <c r="V1618" s="235"/>
      <c r="W1618" s="235"/>
      <c r="Y1618" s="228" t="str">
        <f t="shared" si="47"/>
        <v>TinCNMC (Guangxi) PGMA Co., Ltd.</v>
      </c>
    </row>
    <row r="1619" spans="1:25" s="228" customFormat="1" ht="20.25">
      <c r="A1619" s="161" t="s">
        <v>1365</v>
      </c>
      <c r="B1619" s="408" t="s">
        <v>2324</v>
      </c>
      <c r="C1619" s="297" t="str">
        <f>IF(LEN(A1619)=0,"",INDEX('[2]Smelter Reference List'!$C$1:$C$65536,MATCH($A1619,'[2]Smelter Reference List'!$E$1:$E$65536,0)))</f>
        <v>Cooperativa Metalurgica de Rondônia Ltda.</v>
      </c>
      <c r="D1619" s="161" t="s">
        <v>3450</v>
      </c>
      <c r="E1619" s="161" t="s">
        <v>2170</v>
      </c>
      <c r="F1619" s="161" t="s">
        <v>1365</v>
      </c>
      <c r="G1619" s="161" t="s">
        <v>3125</v>
      </c>
      <c r="H1619" s="247">
        <v>0</v>
      </c>
      <c r="I1619" s="248" t="s">
        <v>3451</v>
      </c>
      <c r="J1619" s="248" t="s">
        <v>3452</v>
      </c>
      <c r="K1619" s="245"/>
      <c r="L1619" s="245"/>
      <c r="M1619" s="245"/>
      <c r="N1619" s="245"/>
      <c r="O1619" s="245"/>
      <c r="P1619" s="245"/>
      <c r="Q1619" s="246"/>
      <c r="R1619" s="233"/>
      <c r="S1619" s="234">
        <f>IF(C1619="",NA(),MATCH($B1619&amp;$C1619,'Smelter Reference List'!$J:$J,0))</f>
        <v>326</v>
      </c>
      <c r="T1619" s="235"/>
      <c r="U1619" s="235">
        <f t="shared" si="46"/>
        <v>0</v>
      </c>
      <c r="V1619" s="235"/>
      <c r="W1619" s="235"/>
      <c r="Y1619" s="228" t="str">
        <f t="shared" si="47"/>
        <v>TinCooperativa Metalurgica de Rondônia Ltda.</v>
      </c>
    </row>
    <row r="1620" spans="1:25" s="228" customFormat="1" ht="20.25">
      <c r="A1620" s="161" t="s">
        <v>1366</v>
      </c>
      <c r="B1620" s="408" t="s">
        <v>2324</v>
      </c>
      <c r="C1620" s="297" t="str">
        <f>IF(LEN(A1620)=0,"",INDEX('[2]Smelter Reference List'!$C$1:$C$65536,MATCH($A1620,'[2]Smelter Reference List'!$E$1:$E$65536,0)))</f>
        <v>CV Serumpun Sebalai</v>
      </c>
      <c r="D1620" s="161" t="s">
        <v>1504</v>
      </c>
      <c r="E1620" s="161" t="s">
        <v>2238</v>
      </c>
      <c r="F1620" s="161" t="s">
        <v>1366</v>
      </c>
      <c r="G1620" s="161" t="s">
        <v>3125</v>
      </c>
      <c r="H1620" s="247">
        <v>0</v>
      </c>
      <c r="I1620" s="248" t="s">
        <v>3456</v>
      </c>
      <c r="J1620" s="248" t="s">
        <v>3454</v>
      </c>
      <c r="K1620" s="245"/>
      <c r="L1620" s="245"/>
      <c r="M1620" s="245"/>
      <c r="N1620" s="245"/>
      <c r="O1620" s="245"/>
      <c r="P1620" s="245"/>
      <c r="Q1620" s="246"/>
      <c r="R1620" s="233"/>
      <c r="S1620" s="234">
        <f>IF(C1620="",NA(),MATCH($B1620&amp;$C1620,'Smelter Reference List'!$J:$J,0))</f>
        <v>333</v>
      </c>
      <c r="T1620" s="235"/>
      <c r="U1620" s="235">
        <f t="shared" si="46"/>
        <v>0</v>
      </c>
      <c r="V1620" s="235"/>
      <c r="W1620" s="235"/>
      <c r="Y1620" s="228" t="str">
        <f t="shared" si="47"/>
        <v>TinCV Serumpun Sebalai</v>
      </c>
    </row>
    <row r="1621" spans="1:25" s="228" customFormat="1" ht="20.25">
      <c r="A1621" s="161" t="s">
        <v>1367</v>
      </c>
      <c r="B1621" s="408" t="s">
        <v>2324</v>
      </c>
      <c r="C1621" s="297" t="str">
        <f>IF(LEN(A1621)=0,"",INDEX('[2]Smelter Reference List'!$C$1:$C$65536,MATCH($A1621,'[2]Smelter Reference List'!$E$1:$E$65536,0)))</f>
        <v>CV United Smelting</v>
      </c>
      <c r="D1621" s="161" t="s">
        <v>1505</v>
      </c>
      <c r="E1621" s="161" t="s">
        <v>2238</v>
      </c>
      <c r="F1621" s="161" t="s">
        <v>1367</v>
      </c>
      <c r="G1621" s="161" t="s">
        <v>3125</v>
      </c>
      <c r="H1621" s="247">
        <v>0</v>
      </c>
      <c r="I1621" s="248" t="s">
        <v>3457</v>
      </c>
      <c r="J1621" s="248" t="s">
        <v>3454</v>
      </c>
      <c r="K1621" s="245"/>
      <c r="L1621" s="245"/>
      <c r="M1621" s="245"/>
      <c r="N1621" s="245"/>
      <c r="O1621" s="245"/>
      <c r="P1621" s="245"/>
      <c r="Q1621" s="246"/>
      <c r="R1621" s="233"/>
      <c r="S1621" s="234">
        <f>IF(C1621="",NA(),MATCH($B1621&amp;$C1621,'Smelter Reference List'!$J:$J,0))</f>
        <v>335</v>
      </c>
      <c r="T1621" s="235"/>
      <c r="U1621" s="235">
        <f t="shared" si="46"/>
        <v>0</v>
      </c>
      <c r="V1621" s="235"/>
      <c r="W1621" s="235"/>
      <c r="Y1621" s="228" t="str">
        <f t="shared" si="47"/>
        <v>TinCV United Smelting</v>
      </c>
    </row>
    <row r="1622" spans="1:25" s="228" customFormat="1" ht="20.25">
      <c r="A1622" s="161" t="s">
        <v>2732</v>
      </c>
      <c r="B1622" s="408" t="s">
        <v>2324</v>
      </c>
      <c r="C1622" s="297" t="str">
        <f>IF(LEN(A1622)=0,"",INDEX('[2]Smelter Reference List'!$C$1:$C$65536,MATCH($A1622,'[2]Smelter Reference List'!$E$1:$E$65536,0)))</f>
        <v>Dowa</v>
      </c>
      <c r="D1622" s="161" t="s">
        <v>1788</v>
      </c>
      <c r="E1622" s="161" t="s">
        <v>2249</v>
      </c>
      <c r="F1622" s="161" t="s">
        <v>2732</v>
      </c>
      <c r="G1622" s="161" t="s">
        <v>3125</v>
      </c>
      <c r="H1622" s="247">
        <v>0</v>
      </c>
      <c r="I1622" s="248" t="s">
        <v>3173</v>
      </c>
      <c r="J1622" s="248" t="s">
        <v>3174</v>
      </c>
      <c r="K1622" s="245"/>
      <c r="L1622" s="245"/>
      <c r="M1622" s="245"/>
      <c r="N1622" s="245"/>
      <c r="O1622" s="245"/>
      <c r="P1622" s="245"/>
      <c r="Q1622" s="246"/>
      <c r="R1622" s="233"/>
      <c r="S1622" s="234">
        <f>IF(C1622="",NA(),MATCH($B1622&amp;$C1622,'Smelter Reference List'!$J:$J,0))</f>
        <v>337</v>
      </c>
      <c r="T1622" s="235"/>
      <c r="U1622" s="235">
        <f t="shared" si="46"/>
        <v>0</v>
      </c>
      <c r="V1622" s="235"/>
      <c r="W1622" s="235"/>
      <c r="Y1622" s="228" t="str">
        <f t="shared" si="47"/>
        <v>TinDowa</v>
      </c>
    </row>
    <row r="1623" spans="1:25" s="228" customFormat="1" ht="20.25">
      <c r="A1623" s="161" t="s">
        <v>1368</v>
      </c>
      <c r="B1623" s="408" t="s">
        <v>2324</v>
      </c>
      <c r="C1623" s="297" t="str">
        <f>IF(LEN(A1623)=0,"",INDEX('[2]Smelter Reference List'!$C$1:$C$65536,MATCH($A1623,'[2]Smelter Reference List'!$E$1:$E$65536,0)))</f>
        <v>EM Vinto</v>
      </c>
      <c r="D1623" s="161" t="s">
        <v>1506</v>
      </c>
      <c r="E1623" s="161" t="s">
        <v>2169</v>
      </c>
      <c r="F1623" s="161" t="s">
        <v>1368</v>
      </c>
      <c r="G1623" s="161" t="s">
        <v>3125</v>
      </c>
      <c r="H1623" s="247">
        <v>0</v>
      </c>
      <c r="I1623" s="248" t="s">
        <v>3459</v>
      </c>
      <c r="J1623" s="248" t="s">
        <v>3460</v>
      </c>
      <c r="K1623" s="245"/>
      <c r="L1623" s="245"/>
      <c r="M1623" s="245"/>
      <c r="N1623" s="245"/>
      <c r="O1623" s="245"/>
      <c r="P1623" s="245"/>
      <c r="Q1623" s="246"/>
      <c r="R1623" s="233"/>
      <c r="S1623" s="234">
        <f>IF(C1623="",NA(),MATCH($B1623&amp;$C1623,'Smelter Reference List'!$J:$J,0))</f>
        <v>341</v>
      </c>
      <c r="T1623" s="235"/>
      <c r="U1623" s="235">
        <f t="shared" si="46"/>
        <v>0</v>
      </c>
      <c r="V1623" s="235"/>
      <c r="W1623" s="235"/>
      <c r="Y1623" s="228" t="str">
        <f t="shared" si="47"/>
        <v>TinEM Vinto</v>
      </c>
    </row>
    <row r="1624" spans="1:25" s="228" customFormat="1" ht="20.25">
      <c r="A1624" s="161" t="s">
        <v>1371</v>
      </c>
      <c r="B1624" s="408" t="s">
        <v>2324</v>
      </c>
      <c r="C1624" s="297" t="str">
        <f>IF(LEN(A1624)=0,"",INDEX('[2]Smelter Reference List'!$C$1:$C$65536,MATCH($A1624,'[2]Smelter Reference List'!$E$1:$E$65536,0)))</f>
        <v>Fenix Metals</v>
      </c>
      <c r="D1624" s="161" t="s">
        <v>1462</v>
      </c>
      <c r="E1624" s="161" t="s">
        <v>1708</v>
      </c>
      <c r="F1624" s="161" t="s">
        <v>1371</v>
      </c>
      <c r="G1624" s="161" t="s">
        <v>3125</v>
      </c>
      <c r="H1624" s="247">
        <v>0</v>
      </c>
      <c r="I1624" s="248" t="s">
        <v>3466</v>
      </c>
      <c r="J1624" s="248" t="s">
        <v>3467</v>
      </c>
      <c r="K1624" s="245"/>
      <c r="L1624" s="245"/>
      <c r="M1624" s="245"/>
      <c r="N1624" s="245"/>
      <c r="O1624" s="245"/>
      <c r="P1624" s="245"/>
      <c r="Q1624" s="246"/>
      <c r="R1624" s="233"/>
      <c r="S1624" s="234">
        <f>IF(C1624="",NA(),MATCH($B1624&amp;$C1624,'Smelter Reference List'!$J:$J,0))</f>
        <v>347</v>
      </c>
      <c r="T1624" s="235"/>
      <c r="U1624" s="235">
        <f t="shared" si="46"/>
        <v>0</v>
      </c>
      <c r="V1624" s="235"/>
      <c r="W1624" s="235"/>
      <c r="Y1624" s="228" t="str">
        <f t="shared" si="47"/>
        <v>TinFenix Metals</v>
      </c>
    </row>
    <row r="1625" spans="1:25" s="228" customFormat="1" ht="20.25">
      <c r="A1625" s="161" t="s">
        <v>1375</v>
      </c>
      <c r="B1625" s="408" t="s">
        <v>2324</v>
      </c>
      <c r="C1625" s="297" t="str">
        <f>IF(LEN(A1625)=0,"",INDEX('[2]Smelter Reference List'!$C$1:$C$65536,MATCH($A1625,'[2]Smelter Reference List'!$E$1:$E$65536,0)))</f>
        <v>Gejiu Kai Meng Industry and Trade LLC</v>
      </c>
      <c r="D1625" s="161" t="s">
        <v>2757</v>
      </c>
      <c r="E1625" s="161" t="s">
        <v>2181</v>
      </c>
      <c r="F1625" s="161" t="s">
        <v>1375</v>
      </c>
      <c r="G1625" s="161" t="s">
        <v>3125</v>
      </c>
      <c r="H1625" s="247">
        <v>0</v>
      </c>
      <c r="I1625" s="248" t="s">
        <v>3472</v>
      </c>
      <c r="J1625" s="248" t="s">
        <v>3473</v>
      </c>
      <c r="K1625" s="245"/>
      <c r="L1625" s="245"/>
      <c r="M1625" s="245"/>
      <c r="N1625" s="245"/>
      <c r="O1625" s="245"/>
      <c r="P1625" s="245"/>
      <c r="Q1625" s="246"/>
      <c r="R1625" s="233"/>
      <c r="S1625" s="234">
        <f>IF(C1625="",NA(),MATCH($B1625&amp;$C1625,'Smelter Reference List'!$J:$J,0))</f>
        <v>352</v>
      </c>
      <c r="T1625" s="235"/>
      <c r="U1625" s="235">
        <f t="shared" si="46"/>
        <v>0</v>
      </c>
      <c r="V1625" s="235"/>
      <c r="W1625" s="235"/>
      <c r="Y1625" s="228" t="str">
        <f t="shared" si="47"/>
        <v>TinGejiu Kai Meng Industry and Trade LLC</v>
      </c>
    </row>
    <row r="1626" spans="1:25" s="228" customFormat="1" ht="20.25">
      <c r="A1626" s="161" t="s">
        <v>1372</v>
      </c>
      <c r="B1626" s="408" t="s">
        <v>2324</v>
      </c>
      <c r="C1626" s="297" t="str">
        <f>IF(LEN(A1626)=0,"",INDEX('[2]Smelter Reference List'!$C$1:$C$65536,MATCH($A1626,'[2]Smelter Reference List'!$E$1:$E$65536,0)))</f>
        <v>Gejiu Non-Ferrous Metal Processing Co., Ltd.</v>
      </c>
      <c r="D1626" s="161" t="s">
        <v>4152</v>
      </c>
      <c r="E1626" s="161" t="s">
        <v>2181</v>
      </c>
      <c r="F1626" s="161" t="s">
        <v>1372</v>
      </c>
      <c r="G1626" s="161" t="s">
        <v>3125</v>
      </c>
      <c r="H1626" s="247">
        <v>0</v>
      </c>
      <c r="I1626" s="248" t="s">
        <v>3468</v>
      </c>
      <c r="J1626" s="248" t="s">
        <v>3161</v>
      </c>
      <c r="K1626" s="245"/>
      <c r="L1626" s="245"/>
      <c r="M1626" s="245"/>
      <c r="N1626" s="245"/>
      <c r="O1626" s="245"/>
      <c r="P1626" s="245"/>
      <c r="Q1626" s="246"/>
      <c r="R1626" s="233"/>
      <c r="S1626" s="234">
        <f>IF(C1626="",NA(),MATCH($B1626&amp;$C1626,'Smelter Reference List'!$J:$J,0))</f>
        <v>353</v>
      </c>
      <c r="T1626" s="235"/>
      <c r="U1626" s="235">
        <f t="shared" si="46"/>
        <v>0</v>
      </c>
      <c r="V1626" s="235"/>
      <c r="W1626" s="235"/>
      <c r="Y1626" s="228" t="str">
        <f t="shared" si="47"/>
        <v>TinGejiu Non-Ferrous Metal Processing Co., Ltd.</v>
      </c>
    </row>
    <row r="1627" spans="1:25" s="228" customFormat="1" ht="20.25">
      <c r="A1627" s="161" t="s">
        <v>1373</v>
      </c>
      <c r="B1627" s="408" t="s">
        <v>2324</v>
      </c>
      <c r="C1627" s="297" t="str">
        <f>IF(LEN(A1627)=0,"",INDEX('[2]Smelter Reference List'!$C$1:$C$65536,MATCH($A1627,'[2]Smelter Reference List'!$E$1:$E$65536,0)))</f>
        <v>Gejiu Zili Mining And Metallurgy Co., Ltd.</v>
      </c>
      <c r="D1627" s="161" t="s">
        <v>3469</v>
      </c>
      <c r="E1627" s="161" t="s">
        <v>2181</v>
      </c>
      <c r="F1627" s="161" t="s">
        <v>1373</v>
      </c>
      <c r="G1627" s="161" t="s">
        <v>3125</v>
      </c>
      <c r="H1627" s="247">
        <v>0</v>
      </c>
      <c r="I1627" s="248" t="s">
        <v>3468</v>
      </c>
      <c r="J1627" s="248" t="s">
        <v>3161</v>
      </c>
      <c r="K1627" s="245"/>
      <c r="L1627" s="245"/>
      <c r="M1627" s="245"/>
      <c r="N1627" s="245"/>
      <c r="O1627" s="245"/>
      <c r="P1627" s="245"/>
      <c r="Q1627" s="246"/>
      <c r="R1627" s="233"/>
      <c r="S1627" s="234">
        <f>IF(C1627="",NA(),MATCH($B1627&amp;$C1627,'Smelter Reference List'!$J:$J,0))</f>
        <v>356</v>
      </c>
      <c r="T1627" s="235"/>
      <c r="U1627" s="235">
        <f t="shared" si="46"/>
        <v>0</v>
      </c>
      <c r="V1627" s="235"/>
      <c r="W1627" s="235"/>
      <c r="Y1627" s="228" t="str">
        <f t="shared" si="47"/>
        <v>TinGejiu Zili Mining And Metallurgy Co., Ltd.</v>
      </c>
    </row>
    <row r="1628" spans="1:25" s="228" customFormat="1" ht="20.25">
      <c r="A1628" s="161" t="s">
        <v>1374</v>
      </c>
      <c r="B1628" s="408" t="s">
        <v>2324</v>
      </c>
      <c r="C1628" s="297" t="str">
        <f>IF(LEN(A1628)=0,"",INDEX('[2]Smelter Reference List'!$C$1:$C$65536,MATCH($A1628,'[2]Smelter Reference List'!$E$1:$E$65536,0)))</f>
        <v>Huichang Jinshunda Tin Co., Ltd.</v>
      </c>
      <c r="D1628" s="161" t="s">
        <v>4153</v>
      </c>
      <c r="E1628" s="161" t="s">
        <v>2181</v>
      </c>
      <c r="F1628" s="161" t="s">
        <v>1374</v>
      </c>
      <c r="G1628" s="161" t="s">
        <v>3125</v>
      </c>
      <c r="H1628" s="247">
        <v>0</v>
      </c>
      <c r="I1628" s="248" t="s">
        <v>3471</v>
      </c>
      <c r="J1628" s="248" t="s">
        <v>3204</v>
      </c>
      <c r="K1628" s="245"/>
      <c r="L1628" s="245"/>
      <c r="M1628" s="245"/>
      <c r="N1628" s="245"/>
      <c r="O1628" s="245"/>
      <c r="P1628" s="245"/>
      <c r="Q1628" s="246"/>
      <c r="R1628" s="233"/>
      <c r="S1628" s="234">
        <f>IF(C1628="",NA(),MATCH($B1628&amp;$C1628,'Smelter Reference List'!$J:$J,0))</f>
        <v>363</v>
      </c>
      <c r="T1628" s="235"/>
      <c r="U1628" s="235">
        <f t="shared" si="46"/>
        <v>0</v>
      </c>
      <c r="V1628" s="235"/>
      <c r="W1628" s="235"/>
      <c r="Y1628" s="228" t="str">
        <f t="shared" si="47"/>
        <v>TinHuichang Jinshunda Tin Co., Ltd.</v>
      </c>
    </row>
    <row r="1629" spans="1:25" s="228" customFormat="1" ht="20.25">
      <c r="A1629" s="161"/>
      <c r="B1629" s="408" t="s">
        <v>2324</v>
      </c>
      <c r="C1629" s="297" t="s">
        <v>3604</v>
      </c>
      <c r="D1629" s="161" t="s">
        <v>3474</v>
      </c>
      <c r="E1629" s="161" t="s">
        <v>2181</v>
      </c>
      <c r="F1629" s="161" t="s">
        <v>1376</v>
      </c>
      <c r="G1629" s="161" t="s">
        <v>3125</v>
      </c>
      <c r="H1629" s="247">
        <v>0</v>
      </c>
      <c r="I1629" s="248" t="s">
        <v>3475</v>
      </c>
      <c r="J1629" s="248" t="s">
        <v>3186</v>
      </c>
      <c r="K1629" s="245"/>
      <c r="L1629" s="245"/>
      <c r="M1629" s="245"/>
      <c r="N1629" s="245"/>
      <c r="O1629" s="245"/>
      <c r="P1629" s="245"/>
      <c r="Q1629" s="246"/>
      <c r="R1629" s="233"/>
      <c r="S1629" s="234">
        <f>IF(C1629="",NA(),MATCH($B1629&amp;$C1629,'Smelter Reference List'!$J:$J,0))</f>
        <v>467</v>
      </c>
      <c r="T1629" s="235"/>
      <c r="U1629" s="235">
        <f t="shared" si="46"/>
        <v>0</v>
      </c>
      <c r="V1629" s="235"/>
      <c r="W1629" s="235"/>
      <c r="Y1629" s="228" t="str">
        <f t="shared" si="47"/>
        <v>TinSmelter not listed</v>
      </c>
    </row>
    <row r="1630" spans="1:25" s="228" customFormat="1" ht="20.25">
      <c r="A1630" s="161" t="s">
        <v>200</v>
      </c>
      <c r="B1630" s="408" t="s">
        <v>2324</v>
      </c>
      <c r="C1630" s="297" t="str">
        <f>IF(LEN(A1630)=0,"",INDEX('[2]Smelter Reference List'!$C$1:$C$65536,MATCH($A1630,'[2]Smelter Reference List'!$E$1:$E$65536,0)))</f>
        <v>Magnu's Minerais Metais e Ligas Ltda.</v>
      </c>
      <c r="D1630" s="161" t="s">
        <v>4186</v>
      </c>
      <c r="E1630" s="161" t="s">
        <v>2170</v>
      </c>
      <c r="F1630" s="161" t="s">
        <v>200</v>
      </c>
      <c r="G1630" s="161" t="s">
        <v>3125</v>
      </c>
      <c r="H1630" s="247">
        <v>0</v>
      </c>
      <c r="I1630" s="248" t="s">
        <v>3381</v>
      </c>
      <c r="J1630" s="248" t="s">
        <v>3136</v>
      </c>
      <c r="K1630" s="245"/>
      <c r="L1630" s="245"/>
      <c r="M1630" s="245"/>
      <c r="N1630" s="245"/>
      <c r="O1630" s="245"/>
      <c r="P1630" s="245"/>
      <c r="Q1630" s="246"/>
      <c r="R1630" s="233"/>
      <c r="S1630" s="234">
        <f>IF(C1630="",NA(),MATCH($B1630&amp;$C1630,'Smelter Reference List'!$J:$J,0))</f>
        <v>376</v>
      </c>
      <c r="T1630" s="235"/>
      <c r="U1630" s="235">
        <f t="shared" si="46"/>
        <v>0</v>
      </c>
      <c r="V1630" s="235"/>
      <c r="W1630" s="235"/>
      <c r="Y1630" s="228" t="str">
        <f t="shared" si="47"/>
        <v>TinMagnu's Minerais Metais e Ligas Ltda.</v>
      </c>
    </row>
    <row r="1631" spans="1:25" s="228" customFormat="1" ht="20.25">
      <c r="A1631" s="161" t="s">
        <v>1378</v>
      </c>
      <c r="B1631" s="408" t="s">
        <v>2324</v>
      </c>
      <c r="C1631" s="297" t="str">
        <f>IF(LEN(A1631)=0,"",INDEX('[2]Smelter Reference List'!$C$1:$C$65536,MATCH($A1631,'[2]Smelter Reference List'!$E$1:$E$65536,0)))</f>
        <v>Malaysia Smelting Corporation (MSC)</v>
      </c>
      <c r="D1631" s="161" t="s">
        <v>1471</v>
      </c>
      <c r="E1631" s="161" t="s">
        <v>2289</v>
      </c>
      <c r="F1631" s="161" t="s">
        <v>1378</v>
      </c>
      <c r="G1631" s="161" t="s">
        <v>3125</v>
      </c>
      <c r="H1631" s="247">
        <v>0</v>
      </c>
      <c r="I1631" s="248" t="s">
        <v>3481</v>
      </c>
      <c r="J1631" s="248" t="s">
        <v>3482</v>
      </c>
      <c r="K1631" s="245"/>
      <c r="L1631" s="245"/>
      <c r="M1631" s="245"/>
      <c r="N1631" s="245"/>
      <c r="O1631" s="245"/>
      <c r="P1631" s="245"/>
      <c r="Q1631" s="246"/>
      <c r="R1631" s="233"/>
      <c r="S1631" s="234">
        <f>IF(C1631="",NA(),MATCH($B1631&amp;$C1631,'Smelter Reference List'!$J:$J,0))</f>
        <v>377</v>
      </c>
      <c r="T1631" s="235"/>
      <c r="U1631" s="235">
        <f t="shared" si="46"/>
        <v>0</v>
      </c>
      <c r="V1631" s="235"/>
      <c r="W1631" s="235"/>
      <c r="Y1631" s="228" t="str">
        <f t="shared" si="47"/>
        <v>TinMalaysia Smelting Corporation (MSC)</v>
      </c>
    </row>
    <row r="1632" spans="1:25" s="228" customFormat="1" ht="20.25">
      <c r="A1632" s="161"/>
      <c r="B1632" s="408" t="s">
        <v>2324</v>
      </c>
      <c r="C1632" s="297" t="s">
        <v>3604</v>
      </c>
      <c r="D1632" s="228" t="s">
        <v>5676</v>
      </c>
      <c r="E1632" s="228" t="s">
        <v>2158</v>
      </c>
      <c r="F1632" s="161">
        <v>0</v>
      </c>
      <c r="G1632" s="161" t="s">
        <v>5584</v>
      </c>
      <c r="H1632" s="228" t="s">
        <v>5884</v>
      </c>
      <c r="I1632" s="228" t="s">
        <v>5904</v>
      </c>
      <c r="J1632" s="228" t="s">
        <v>3548</v>
      </c>
      <c r="K1632" s="228" t="s">
        <v>5905</v>
      </c>
      <c r="L1632" s="228" t="s">
        <v>5514</v>
      </c>
      <c r="M1632" s="228" t="s">
        <v>5906</v>
      </c>
      <c r="N1632" s="228" t="s">
        <v>5525</v>
      </c>
      <c r="O1632" s="228" t="s">
        <v>5525</v>
      </c>
      <c r="P1632" s="228" t="s">
        <v>924</v>
      </c>
      <c r="Q1632" s="228" t="s">
        <v>5907</v>
      </c>
      <c r="R1632" s="233"/>
      <c r="S1632" s="234">
        <f>IF(C1632="",NA(),MATCH($B1632&amp;$C1632,'Smelter Reference List'!$J:$J,0))</f>
        <v>467</v>
      </c>
      <c r="T1632" s="235"/>
      <c r="U1632" s="235">
        <f t="shared" si="46"/>
        <v>0</v>
      </c>
      <c r="V1632" s="235"/>
      <c r="W1632" s="235"/>
      <c r="Y1632" s="228" t="str">
        <f t="shared" si="47"/>
        <v>TinSmelter not listed</v>
      </c>
    </row>
    <row r="1633" spans="1:25" s="228" customFormat="1" ht="20.25">
      <c r="A1633" s="161" t="s">
        <v>1379</v>
      </c>
      <c r="B1633" s="408" t="s">
        <v>2324</v>
      </c>
      <c r="C1633" s="297" t="str">
        <f>IF(LEN(A1633)=0,"",INDEX('[2]Smelter Reference List'!$C$1:$C$65536,MATCH($A1633,'[2]Smelter Reference List'!$E$1:$E$65536,0)))</f>
        <v>Mineração Taboca S.A.</v>
      </c>
      <c r="D1633" s="161" t="s">
        <v>1953</v>
      </c>
      <c r="E1633" s="161" t="s">
        <v>2170</v>
      </c>
      <c r="F1633" s="161" t="s">
        <v>1379</v>
      </c>
      <c r="G1633" s="161" t="s">
        <v>3125</v>
      </c>
      <c r="H1633" s="247">
        <v>0</v>
      </c>
      <c r="I1633" s="248" t="s">
        <v>3485</v>
      </c>
      <c r="J1633" s="248" t="s">
        <v>3313</v>
      </c>
      <c r="K1633" s="245"/>
      <c r="L1633" s="245"/>
      <c r="M1633" s="245"/>
      <c r="N1633" s="245"/>
      <c r="O1633" s="245"/>
      <c r="P1633" s="245"/>
      <c r="Q1633" s="246"/>
      <c r="R1633" s="233"/>
      <c r="S1633" s="234">
        <f>IF(C1633="",NA(),MATCH($B1633&amp;$C1633,'Smelter Reference List'!$J:$J,0))</f>
        <v>383</v>
      </c>
      <c r="T1633" s="235"/>
      <c r="U1633" s="235">
        <f t="shared" si="46"/>
        <v>0</v>
      </c>
      <c r="V1633" s="235"/>
      <c r="W1633" s="235"/>
      <c r="Y1633" s="228" t="str">
        <f t="shared" si="47"/>
        <v>TinMineração Taboca S.A.</v>
      </c>
    </row>
    <row r="1634" spans="1:25" s="228" customFormat="1" ht="20.25">
      <c r="A1634" s="161" t="s">
        <v>1380</v>
      </c>
      <c r="B1634" s="408" t="s">
        <v>2324</v>
      </c>
      <c r="C1634" s="297" t="str">
        <f>IF(LEN(A1634)=0,"",INDEX('[2]Smelter Reference List'!$C$1:$C$65536,MATCH($A1634,'[2]Smelter Reference List'!$E$1:$E$65536,0)))</f>
        <v>Minsur</v>
      </c>
      <c r="D1634" s="161" t="s">
        <v>1954</v>
      </c>
      <c r="E1634" s="161" t="s">
        <v>1704</v>
      </c>
      <c r="F1634" s="161" t="s">
        <v>1380</v>
      </c>
      <c r="G1634" s="161" t="s">
        <v>3125</v>
      </c>
      <c r="H1634" s="247">
        <v>0</v>
      </c>
      <c r="I1634" s="248" t="s">
        <v>3487</v>
      </c>
      <c r="J1634" s="248" t="s">
        <v>3488</v>
      </c>
      <c r="K1634" s="245"/>
      <c r="L1634" s="245"/>
      <c r="M1634" s="245"/>
      <c r="N1634" s="245"/>
      <c r="O1634" s="245"/>
      <c r="P1634" s="245"/>
      <c r="Q1634" s="246"/>
      <c r="R1634" s="233"/>
      <c r="S1634" s="234">
        <f>IF(C1634="",NA(),MATCH($B1634&amp;$C1634,'Smelter Reference List'!$J:$J,0))</f>
        <v>384</v>
      </c>
      <c r="T1634" s="235"/>
      <c r="U1634" s="235">
        <f t="shared" si="46"/>
        <v>0</v>
      </c>
      <c r="V1634" s="235"/>
      <c r="W1634" s="235"/>
      <c r="Y1634" s="228" t="str">
        <f t="shared" si="47"/>
        <v>TinMinsur</v>
      </c>
    </row>
    <row r="1635" spans="1:25" s="228" customFormat="1" ht="20.25">
      <c r="A1635" s="161" t="s">
        <v>1381</v>
      </c>
      <c r="B1635" s="408" t="s">
        <v>2324</v>
      </c>
      <c r="C1635" s="297" t="str">
        <f>IF(LEN(A1635)=0,"",INDEX('[2]Smelter Reference List'!$C$1:$C$65536,MATCH($A1635,'[2]Smelter Reference List'!$E$1:$E$65536,0)))</f>
        <v>Mitsubishi Materials Corporation</v>
      </c>
      <c r="D1635" s="161" t="s">
        <v>2371</v>
      </c>
      <c r="E1635" s="161" t="s">
        <v>2249</v>
      </c>
      <c r="F1635" s="161" t="s">
        <v>1381</v>
      </c>
      <c r="G1635" s="161" t="s">
        <v>3125</v>
      </c>
      <c r="H1635" s="247">
        <v>0</v>
      </c>
      <c r="I1635" s="248" t="s">
        <v>3490</v>
      </c>
      <c r="J1635" s="248" t="s">
        <v>3140</v>
      </c>
      <c r="K1635" s="245"/>
      <c r="L1635" s="245"/>
      <c r="M1635" s="245"/>
      <c r="N1635" s="245"/>
      <c r="O1635" s="245"/>
      <c r="P1635" s="245"/>
      <c r="Q1635" s="246"/>
      <c r="R1635" s="233"/>
      <c r="S1635" s="234">
        <f>IF(C1635="",NA(),MATCH($B1635&amp;$C1635,'Smelter Reference List'!$J:$J,0))</f>
        <v>385</v>
      </c>
      <c r="T1635" s="235"/>
      <c r="U1635" s="235">
        <f t="shared" si="46"/>
        <v>0</v>
      </c>
      <c r="V1635" s="235"/>
      <c r="W1635" s="235"/>
      <c r="Y1635" s="228" t="str">
        <f t="shared" si="47"/>
        <v>TinMitsubishi Materials Corporation</v>
      </c>
    </row>
    <row r="1636" spans="1:25" s="228" customFormat="1" ht="20.25">
      <c r="A1636" s="161"/>
      <c r="B1636" s="408" t="s">
        <v>2324</v>
      </c>
      <c r="C1636" s="297" t="s">
        <v>3604</v>
      </c>
      <c r="D1636" s="228" t="s">
        <v>5908</v>
      </c>
      <c r="E1636" s="228" t="s">
        <v>1717</v>
      </c>
      <c r="F1636" s="161">
        <v>0</v>
      </c>
      <c r="G1636" s="228" t="s">
        <v>5584</v>
      </c>
      <c r="H1636" s="228" t="s">
        <v>5909</v>
      </c>
      <c r="I1636" s="228" t="s">
        <v>5909</v>
      </c>
      <c r="J1636" s="228" t="s">
        <v>5909</v>
      </c>
      <c r="K1636" s="228" t="s">
        <v>5909</v>
      </c>
      <c r="L1636" s="228" t="s">
        <v>5909</v>
      </c>
      <c r="M1636" s="228" t="s">
        <v>5909</v>
      </c>
      <c r="N1636" s="228" t="s">
        <v>5909</v>
      </c>
      <c r="O1636" s="228" t="s">
        <v>5909</v>
      </c>
      <c r="P1636" s="228" t="s">
        <v>5909</v>
      </c>
      <c r="Q1636" s="228" t="s">
        <v>5910</v>
      </c>
      <c r="R1636" s="233"/>
      <c r="S1636" s="234">
        <f>IF(C1636="",NA(),MATCH($B1636&amp;$C1636,'Smelter Reference List'!$J:$J,0))</f>
        <v>467</v>
      </c>
      <c r="T1636" s="235"/>
      <c r="U1636" s="235">
        <f t="shared" si="46"/>
        <v>0</v>
      </c>
      <c r="V1636" s="235"/>
      <c r="W1636" s="235"/>
      <c r="Y1636" s="228" t="str">
        <f t="shared" si="47"/>
        <v>TinSmelter not listed</v>
      </c>
    </row>
    <row r="1637" spans="1:25" s="228" customFormat="1" ht="20.25">
      <c r="A1637" s="161" t="s">
        <v>1383</v>
      </c>
      <c r="B1637" s="408" t="s">
        <v>2324</v>
      </c>
      <c r="C1637" s="297" t="str">
        <f>IF(LEN(A1637)=0,"",INDEX('[2]Smelter Reference List'!$C$1:$C$65536,MATCH($A1637,'[2]Smelter Reference List'!$E$1:$E$65536,0)))</f>
        <v>O.M. Manufacturing (Thailand) Co., Ltd.</v>
      </c>
      <c r="D1637" s="161" t="s">
        <v>1382</v>
      </c>
      <c r="E1637" s="161" t="s">
        <v>1743</v>
      </c>
      <c r="F1637" s="161" t="s">
        <v>1383</v>
      </c>
      <c r="G1637" s="161" t="s">
        <v>3125</v>
      </c>
      <c r="H1637" s="247">
        <v>0</v>
      </c>
      <c r="I1637" s="248" t="s">
        <v>4744</v>
      </c>
      <c r="J1637" s="248" t="s">
        <v>3493</v>
      </c>
      <c r="K1637" s="245"/>
      <c r="L1637" s="245"/>
      <c r="M1637" s="245"/>
      <c r="N1637" s="245"/>
      <c r="O1637" s="245"/>
      <c r="P1637" s="245"/>
      <c r="Q1637" s="246"/>
      <c r="R1637" s="233"/>
      <c r="S1637" s="234">
        <f>IF(C1637="",NA(),MATCH($B1637&amp;$C1637,'Smelter Reference List'!$J:$J,0))</f>
        <v>391</v>
      </c>
      <c r="T1637" s="235"/>
      <c r="U1637" s="235">
        <f t="shared" si="46"/>
        <v>0</v>
      </c>
      <c r="V1637" s="235"/>
      <c r="W1637" s="235"/>
      <c r="Y1637" s="228" t="str">
        <f t="shared" si="47"/>
        <v>TinO.M. Manufacturing (Thailand) Co., Ltd.</v>
      </c>
    </row>
    <row r="1638" spans="1:25" s="228" customFormat="1" ht="20.25">
      <c r="A1638" s="161" t="s">
        <v>1384</v>
      </c>
      <c r="B1638" s="408" t="s">
        <v>2324</v>
      </c>
      <c r="C1638" s="297" t="str">
        <f>IF(LEN(A1638)=0,"",INDEX('[2]Smelter Reference List'!$C$1:$C$65536,MATCH($A1638,'[2]Smelter Reference List'!$E$1:$E$65536,0)))</f>
        <v>Operaciones Metalurgical S.A.</v>
      </c>
      <c r="D1638" s="161" t="s">
        <v>3494</v>
      </c>
      <c r="E1638" s="161" t="s">
        <v>2169</v>
      </c>
      <c r="F1638" s="161" t="s">
        <v>1384</v>
      </c>
      <c r="G1638" s="161" t="s">
        <v>3125</v>
      </c>
      <c r="H1638" s="247">
        <v>0</v>
      </c>
      <c r="I1638" s="248" t="s">
        <v>3459</v>
      </c>
      <c r="J1638" s="248" t="s">
        <v>3460</v>
      </c>
      <c r="K1638" s="245"/>
      <c r="L1638" s="245"/>
      <c r="M1638" s="245"/>
      <c r="N1638" s="245"/>
      <c r="O1638" s="245"/>
      <c r="P1638" s="245"/>
      <c r="Q1638" s="246"/>
      <c r="R1638" s="233"/>
      <c r="S1638" s="234">
        <f>IF(C1638="",NA(),MATCH($B1638&amp;$C1638,'Smelter Reference List'!$J:$J,0))</f>
        <v>394</v>
      </c>
      <c r="T1638" s="235"/>
      <c r="U1638" s="235">
        <f t="shared" si="46"/>
        <v>0</v>
      </c>
      <c r="V1638" s="235"/>
      <c r="W1638" s="235"/>
      <c r="Y1638" s="228" t="str">
        <f t="shared" si="47"/>
        <v>TinOperaciones Metalurgical S.A.</v>
      </c>
    </row>
    <row r="1639" spans="1:25" s="228" customFormat="1" ht="20.25">
      <c r="A1639" s="161" t="s">
        <v>1385</v>
      </c>
      <c r="B1639" s="408" t="s">
        <v>2324</v>
      </c>
      <c r="C1639" s="297" t="str">
        <f>IF(LEN(A1639)=0,"",INDEX('[2]Smelter Reference List'!$C$1:$C$65536,MATCH($A1639,'[2]Smelter Reference List'!$E$1:$E$65536,0)))</f>
        <v>PT Artha Cipta Langgeng</v>
      </c>
      <c r="D1639" s="161" t="s">
        <v>1508</v>
      </c>
      <c r="E1639" s="161" t="s">
        <v>2238</v>
      </c>
      <c r="F1639" s="161" t="s">
        <v>1385</v>
      </c>
      <c r="G1639" s="161" t="s">
        <v>3125</v>
      </c>
      <c r="H1639" s="247">
        <v>0</v>
      </c>
      <c r="I1639" s="248" t="s">
        <v>3453</v>
      </c>
      <c r="J1639" s="248" t="s">
        <v>3454</v>
      </c>
      <c r="K1639" s="245"/>
      <c r="L1639" s="245"/>
      <c r="M1639" s="245"/>
      <c r="N1639" s="245"/>
      <c r="O1639" s="245"/>
      <c r="P1639" s="245"/>
      <c r="Q1639" s="246"/>
      <c r="R1639" s="233"/>
      <c r="S1639" s="234">
        <f>IF(C1639="",NA(),MATCH($B1639&amp;$C1639,'Smelter Reference List'!$J:$J,0))</f>
        <v>399</v>
      </c>
      <c r="T1639" s="235"/>
      <c r="U1639" s="235">
        <f t="shared" si="46"/>
        <v>0</v>
      </c>
      <c r="V1639" s="235"/>
      <c r="W1639" s="235"/>
      <c r="Y1639" s="228" t="str">
        <f t="shared" si="47"/>
        <v>TinPT Artha Cipta Langgeng</v>
      </c>
    </row>
    <row r="1640" spans="1:25" s="228" customFormat="1" ht="20.25">
      <c r="A1640" s="161"/>
      <c r="B1640" s="408" t="s">
        <v>2324</v>
      </c>
      <c r="C1640" s="297" t="s">
        <v>3604</v>
      </c>
      <c r="D1640" s="228" t="s">
        <v>5698</v>
      </c>
      <c r="E1640" s="228" t="s">
        <v>2238</v>
      </c>
      <c r="F1640" s="161">
        <v>0</v>
      </c>
      <c r="G1640" s="228" t="s">
        <v>5584</v>
      </c>
      <c r="H1640" s="228" t="s">
        <v>5911</v>
      </c>
      <c r="I1640" s="228" t="s">
        <v>5736</v>
      </c>
      <c r="J1640" s="228" t="s">
        <v>5367</v>
      </c>
      <c r="K1640" s="228" t="s">
        <v>5912</v>
      </c>
      <c r="L1640" s="228" t="s">
        <v>5913</v>
      </c>
      <c r="M1640" s="228" t="s">
        <v>5914</v>
      </c>
      <c r="N1640" s="228" t="s">
        <v>5915</v>
      </c>
      <c r="O1640" s="228" t="s">
        <v>5916</v>
      </c>
      <c r="P1640" s="228" t="s">
        <v>925</v>
      </c>
      <c r="Q1640" s="228" t="s">
        <v>5907</v>
      </c>
      <c r="R1640" s="233"/>
      <c r="S1640" s="234">
        <f>IF(C1640="",NA(),MATCH($B1640&amp;$C1640,'Smelter Reference List'!$J:$J,0))</f>
        <v>467</v>
      </c>
      <c r="T1640" s="235"/>
      <c r="U1640" s="235">
        <f t="shared" si="46"/>
        <v>0</v>
      </c>
      <c r="V1640" s="235"/>
      <c r="W1640" s="235"/>
      <c r="Y1640" s="228" t="str">
        <f t="shared" si="47"/>
        <v>TinSmelter not listed</v>
      </c>
    </row>
    <row r="1641" spans="1:25" s="228" customFormat="1" ht="20.25">
      <c r="A1641" s="161" t="s">
        <v>2673</v>
      </c>
      <c r="B1641" s="408" t="s">
        <v>2324</v>
      </c>
      <c r="C1641" s="297" t="s">
        <v>1194</v>
      </c>
      <c r="D1641" s="161" t="s">
        <v>2672</v>
      </c>
      <c r="E1641" s="161" t="s">
        <v>2238</v>
      </c>
      <c r="F1641" s="161" t="s">
        <v>2673</v>
      </c>
      <c r="G1641" s="161" t="s">
        <v>3125</v>
      </c>
      <c r="H1641" s="247">
        <v>0</v>
      </c>
      <c r="I1641" s="248" t="s">
        <v>3457</v>
      </c>
      <c r="J1641" s="248" t="s">
        <v>3454</v>
      </c>
      <c r="K1641" s="245"/>
      <c r="L1641" s="245"/>
      <c r="M1641" s="245"/>
      <c r="N1641" s="245"/>
      <c r="O1641" s="245"/>
      <c r="P1641" s="245"/>
      <c r="Q1641" s="246"/>
      <c r="R1641" s="233"/>
      <c r="S1641" s="234">
        <f>IF(C1641="",NA(),MATCH($B1641&amp;$C1641,'Smelter Reference List'!$J:$J,0))</f>
        <v>408</v>
      </c>
      <c r="T1641" s="235"/>
      <c r="U1641" s="235">
        <f t="shared" si="46"/>
        <v>0</v>
      </c>
      <c r="V1641" s="235"/>
      <c r="W1641" s="235"/>
      <c r="Y1641" s="228" t="str">
        <f t="shared" si="47"/>
        <v>TinPT Bukit Timah</v>
      </c>
    </row>
    <row r="1642" spans="1:25" s="228" customFormat="1" ht="20.25">
      <c r="A1642" s="161" t="s">
        <v>1387</v>
      </c>
      <c r="B1642" s="408" t="s">
        <v>2324</v>
      </c>
      <c r="C1642" s="297" t="str">
        <f>IF(LEN(A1642)=0,"",INDEX('[2]Smelter Reference List'!$C$1:$C$65536,MATCH($A1642,'[2]Smelter Reference List'!$E$1:$E$65536,0)))</f>
        <v>PT Bangka Tin Industry</v>
      </c>
      <c r="D1642" s="161" t="s">
        <v>1173</v>
      </c>
      <c r="E1642" s="161" t="s">
        <v>2238</v>
      </c>
      <c r="F1642" s="161" t="s">
        <v>1387</v>
      </c>
      <c r="G1642" s="161" t="s">
        <v>3125</v>
      </c>
      <c r="H1642" s="247">
        <v>0</v>
      </c>
      <c r="I1642" s="248" t="s">
        <v>3453</v>
      </c>
      <c r="J1642" s="248" t="s">
        <v>3454</v>
      </c>
      <c r="K1642" s="245"/>
      <c r="L1642" s="245"/>
      <c r="M1642" s="245"/>
      <c r="N1642" s="245"/>
      <c r="O1642" s="245"/>
      <c r="P1642" s="245"/>
      <c r="Q1642" s="246"/>
      <c r="R1642" s="233"/>
      <c r="S1642" s="234">
        <f>IF(C1642="",NA(),MATCH($B1642&amp;$C1642,'Smelter Reference List'!$J:$J,0))</f>
        <v>405</v>
      </c>
      <c r="T1642" s="235"/>
      <c r="U1642" s="235">
        <f t="shared" si="46"/>
        <v>0</v>
      </c>
      <c r="V1642" s="235"/>
      <c r="W1642" s="235"/>
      <c r="Y1642" s="228" t="str">
        <f t="shared" si="47"/>
        <v>TinPT Bangka Tin Industry</v>
      </c>
    </row>
    <row r="1643" spans="1:25" s="228" customFormat="1" ht="20.25">
      <c r="A1643" s="161" t="s">
        <v>1388</v>
      </c>
      <c r="B1643" s="408" t="s">
        <v>2324</v>
      </c>
      <c r="C1643" s="297" t="str">
        <f>IF(LEN(A1643)=0,"",INDEX('[2]Smelter Reference List'!$C$1:$C$65536,MATCH($A1643,'[2]Smelter Reference List'!$E$1:$E$65536,0)))</f>
        <v>PT Belitung Industri Sejahtera</v>
      </c>
      <c r="D1643" s="161" t="s">
        <v>1193</v>
      </c>
      <c r="E1643" s="161" t="s">
        <v>2238</v>
      </c>
      <c r="F1643" s="161" t="s">
        <v>1388</v>
      </c>
      <c r="G1643" s="161" t="s">
        <v>3125</v>
      </c>
      <c r="H1643" s="247">
        <v>0</v>
      </c>
      <c r="I1643" s="248" t="s">
        <v>3496</v>
      </c>
      <c r="J1643" s="248" t="s">
        <v>3454</v>
      </c>
      <c r="K1643" s="245"/>
      <c r="L1643" s="245"/>
      <c r="M1643" s="245"/>
      <c r="N1643" s="245"/>
      <c r="O1643" s="245"/>
      <c r="P1643" s="245"/>
      <c r="Q1643" s="246"/>
      <c r="R1643" s="233"/>
      <c r="S1643" s="234">
        <f>IF(C1643="",NA(),MATCH($B1643&amp;$C1643,'Smelter Reference List'!$J:$J,0))</f>
        <v>406</v>
      </c>
      <c r="T1643" s="235"/>
      <c r="U1643" s="235">
        <f t="shared" si="46"/>
        <v>0</v>
      </c>
      <c r="V1643" s="235"/>
      <c r="W1643" s="235"/>
      <c r="Y1643" s="228" t="str">
        <f t="shared" si="47"/>
        <v>TinPT Belitung Industri Sejahtera</v>
      </c>
    </row>
    <row r="1644" spans="1:25" s="228" customFormat="1" ht="20.25">
      <c r="A1644" s="161" t="s">
        <v>1389</v>
      </c>
      <c r="B1644" s="408" t="s">
        <v>2324</v>
      </c>
      <c r="C1644" s="297" t="str">
        <f>IF(LEN(A1644)=0,"",INDEX('[2]Smelter Reference List'!$C$1:$C$65536,MATCH($A1644,'[2]Smelter Reference List'!$E$1:$E$65536,0)))</f>
        <v>PT Bukit Timah</v>
      </c>
      <c r="D1644" s="161" t="s">
        <v>1194</v>
      </c>
      <c r="E1644" s="161" t="s">
        <v>2238</v>
      </c>
      <c r="F1644" s="161" t="s">
        <v>1389</v>
      </c>
      <c r="G1644" s="161" t="s">
        <v>3125</v>
      </c>
      <c r="H1644" s="247">
        <v>0</v>
      </c>
      <c r="I1644" s="248" t="s">
        <v>3457</v>
      </c>
      <c r="J1644" s="248" t="s">
        <v>3454</v>
      </c>
      <c r="K1644" s="245"/>
      <c r="L1644" s="245"/>
      <c r="M1644" s="245"/>
      <c r="N1644" s="245"/>
      <c r="O1644" s="245"/>
      <c r="P1644" s="245"/>
      <c r="Q1644" s="246"/>
      <c r="R1644" s="233"/>
      <c r="S1644" s="234">
        <f>IF(C1644="",NA(),MATCH($B1644&amp;$C1644,'Smelter Reference List'!$J:$J,0))</f>
        <v>408</v>
      </c>
      <c r="T1644" s="235"/>
      <c r="U1644" s="235">
        <f t="shared" si="46"/>
        <v>0</v>
      </c>
      <c r="V1644" s="235"/>
      <c r="W1644" s="235"/>
      <c r="Y1644" s="228" t="str">
        <f t="shared" si="47"/>
        <v>TinPT Bukit Timah</v>
      </c>
    </row>
    <row r="1645" spans="1:25" s="228" customFormat="1" ht="20.25">
      <c r="A1645" s="161" t="s">
        <v>1390</v>
      </c>
      <c r="B1645" s="408" t="s">
        <v>2324</v>
      </c>
      <c r="C1645" s="297" t="str">
        <f>IF(LEN(A1645)=0,"",INDEX('[2]Smelter Reference List'!$C$1:$C$65536,MATCH($A1645,'[2]Smelter Reference List'!$E$1:$E$65536,0)))</f>
        <v>PT DS Jaya Abadi</v>
      </c>
      <c r="D1645" s="161" t="s">
        <v>1174</v>
      </c>
      <c r="E1645" s="161" t="s">
        <v>2238</v>
      </c>
      <c r="F1645" s="161" t="s">
        <v>1390</v>
      </c>
      <c r="G1645" s="161" t="s">
        <v>3125</v>
      </c>
      <c r="H1645" s="247">
        <v>0</v>
      </c>
      <c r="I1645" s="248" t="s">
        <v>3457</v>
      </c>
      <c r="J1645" s="248" t="s">
        <v>3454</v>
      </c>
      <c r="K1645" s="245"/>
      <c r="L1645" s="245"/>
      <c r="M1645" s="245"/>
      <c r="N1645" s="245"/>
      <c r="O1645" s="245"/>
      <c r="P1645" s="245"/>
      <c r="Q1645" s="246"/>
      <c r="R1645" s="233"/>
      <c r="S1645" s="234">
        <f>IF(C1645="",NA(),MATCH($B1645&amp;$C1645,'Smelter Reference List'!$J:$J,0))</f>
        <v>410</v>
      </c>
      <c r="T1645" s="235"/>
      <c r="U1645" s="235">
        <f t="shared" si="46"/>
        <v>0</v>
      </c>
      <c r="V1645" s="235"/>
      <c r="W1645" s="235"/>
      <c r="Y1645" s="228" t="str">
        <f t="shared" si="47"/>
        <v>TinPT DS Jaya Abadi</v>
      </c>
    </row>
    <row r="1646" spans="1:25" s="228" customFormat="1" ht="20.25">
      <c r="A1646" s="161" t="s">
        <v>1391</v>
      </c>
      <c r="B1646" s="408" t="s">
        <v>2324</v>
      </c>
      <c r="C1646" s="297" t="str">
        <f>IF(LEN(A1646)=0,"",INDEX('[2]Smelter Reference List'!$C$1:$C$65536,MATCH($A1646,'[2]Smelter Reference List'!$E$1:$E$65536,0)))</f>
        <v>PT Eunindo Usaha Mandiri</v>
      </c>
      <c r="D1646" s="161" t="s">
        <v>1195</v>
      </c>
      <c r="E1646" s="161" t="s">
        <v>2238</v>
      </c>
      <c r="F1646" s="161" t="s">
        <v>1391</v>
      </c>
      <c r="G1646" s="161" t="s">
        <v>3125</v>
      </c>
      <c r="H1646" s="247">
        <v>0</v>
      </c>
      <c r="I1646" s="248" t="s">
        <v>3500</v>
      </c>
      <c r="J1646" s="248" t="s">
        <v>3499</v>
      </c>
      <c r="K1646" s="245"/>
      <c r="L1646" s="245"/>
      <c r="M1646" s="245"/>
      <c r="N1646" s="245"/>
      <c r="O1646" s="245"/>
      <c r="P1646" s="245"/>
      <c r="Q1646" s="246"/>
      <c r="R1646" s="233"/>
      <c r="S1646" s="234">
        <f>IF(C1646="",NA(),MATCH($B1646&amp;$C1646,'Smelter Reference List'!$J:$J,0))</f>
        <v>411</v>
      </c>
      <c r="T1646" s="235"/>
      <c r="U1646" s="235">
        <f t="shared" si="46"/>
        <v>0</v>
      </c>
      <c r="V1646" s="235"/>
      <c r="W1646" s="235"/>
      <c r="Y1646" s="228" t="str">
        <f t="shared" si="47"/>
        <v>TinPT Eunindo Usaha Mandiri</v>
      </c>
    </row>
    <row r="1647" spans="1:25" s="228" customFormat="1" ht="20.25">
      <c r="A1647" s="161" t="s">
        <v>1392</v>
      </c>
      <c r="B1647" s="408" t="s">
        <v>2324</v>
      </c>
      <c r="C1647" s="297" t="str">
        <f>IF(LEN(A1647)=0,"",INDEX('[2]Smelter Reference List'!$C$1:$C$65536,MATCH($A1647,'[2]Smelter Reference List'!$E$1:$E$65536,0)))</f>
        <v>PT Karimun Mining</v>
      </c>
      <c r="D1647" s="161" t="s">
        <v>1175</v>
      </c>
      <c r="E1647" s="161" t="s">
        <v>2238</v>
      </c>
      <c r="F1647" s="161" t="s">
        <v>1392</v>
      </c>
      <c r="G1647" s="161" t="s">
        <v>3125</v>
      </c>
      <c r="H1647" s="247">
        <v>0</v>
      </c>
      <c r="I1647" s="248" t="s">
        <v>3500</v>
      </c>
      <c r="J1647" s="248" t="s">
        <v>3499</v>
      </c>
      <c r="K1647" s="245"/>
      <c r="L1647" s="245"/>
      <c r="M1647" s="245"/>
      <c r="N1647" s="245"/>
      <c r="O1647" s="245"/>
      <c r="P1647" s="245"/>
      <c r="Q1647" s="246"/>
      <c r="R1647" s="233"/>
      <c r="S1647" s="234">
        <f>IF(C1647="",NA(),MATCH($B1647&amp;$C1647,'Smelter Reference List'!$J:$J,0))</f>
        <v>417</v>
      </c>
      <c r="T1647" s="235"/>
      <c r="U1647" s="235">
        <f t="shared" si="46"/>
        <v>0</v>
      </c>
      <c r="V1647" s="235"/>
      <c r="W1647" s="235"/>
      <c r="Y1647" s="228" t="str">
        <f t="shared" si="47"/>
        <v>TinPT Karimun Mining</v>
      </c>
    </row>
    <row r="1648" spans="1:25" s="228" customFormat="1" ht="20.25">
      <c r="A1648" s="161"/>
      <c r="B1648" s="408" t="s">
        <v>2324</v>
      </c>
      <c r="C1648" s="297" t="s">
        <v>3604</v>
      </c>
      <c r="D1648" s="228" t="s">
        <v>5903</v>
      </c>
      <c r="E1648" s="228" t="s">
        <v>2238</v>
      </c>
      <c r="F1648" s="161">
        <v>0</v>
      </c>
      <c r="G1648" s="228" t="s">
        <v>5584</v>
      </c>
      <c r="H1648" s="228" t="s">
        <v>5917</v>
      </c>
      <c r="I1648" s="228" t="s">
        <v>5909</v>
      </c>
      <c r="K1648" s="228" t="s">
        <v>5918</v>
      </c>
      <c r="L1648" s="228" t="s">
        <v>5919</v>
      </c>
      <c r="M1648" s="228" t="s">
        <v>5909</v>
      </c>
      <c r="N1648" s="228" t="s">
        <v>5909</v>
      </c>
      <c r="O1648" s="228" t="s">
        <v>5920</v>
      </c>
      <c r="P1648" s="228" t="s">
        <v>5909</v>
      </c>
      <c r="Q1648" s="228" t="s">
        <v>5910</v>
      </c>
      <c r="R1648" s="233"/>
      <c r="S1648" s="234">
        <f>IF(C1648="",NA(),MATCH($B1648&amp;$C1648,'Smelter Reference List'!$J:$J,0))</f>
        <v>467</v>
      </c>
      <c r="T1648" s="235"/>
      <c r="U1648" s="235">
        <f t="shared" si="46"/>
        <v>0</v>
      </c>
      <c r="V1648" s="235"/>
      <c r="W1648" s="235"/>
      <c r="Y1648" s="228" t="str">
        <f t="shared" si="47"/>
        <v>TinSmelter not listed</v>
      </c>
    </row>
    <row r="1649" spans="1:25" s="228" customFormat="1" ht="20.25">
      <c r="A1649" s="161" t="s">
        <v>1393</v>
      </c>
      <c r="B1649" s="408" t="s">
        <v>2324</v>
      </c>
      <c r="C1649" s="297" t="str">
        <f>IF(LEN(A1649)=0,"",INDEX('[2]Smelter Reference List'!$C$1:$C$65536,MATCH($A1649,'[2]Smelter Reference List'!$E$1:$E$65536,0)))</f>
        <v>PT Mitra Stania Prima</v>
      </c>
      <c r="D1649" s="161" t="s">
        <v>1196</v>
      </c>
      <c r="E1649" s="161" t="s">
        <v>2238</v>
      </c>
      <c r="F1649" s="161" t="s">
        <v>1393</v>
      </c>
      <c r="G1649" s="161" t="s">
        <v>3125</v>
      </c>
      <c r="H1649" s="247">
        <v>0</v>
      </c>
      <c r="I1649" s="248" t="s">
        <v>3453</v>
      </c>
      <c r="J1649" s="248" t="s">
        <v>3454</v>
      </c>
      <c r="K1649" s="245"/>
      <c r="L1649" s="245"/>
      <c r="M1649" s="245"/>
      <c r="N1649" s="245"/>
      <c r="O1649" s="245"/>
      <c r="P1649" s="245"/>
      <c r="Q1649" s="246"/>
      <c r="R1649" s="233"/>
      <c r="S1649" s="234">
        <f>IF(C1649="",NA(),MATCH($B1649&amp;$C1649,'Smelter Reference List'!$J:$J,0))</f>
        <v>419</v>
      </c>
      <c r="T1649" s="235"/>
      <c r="U1649" s="235">
        <f t="shared" si="46"/>
        <v>0</v>
      </c>
      <c r="V1649" s="235"/>
      <c r="W1649" s="235"/>
      <c r="Y1649" s="228" t="str">
        <f t="shared" si="47"/>
        <v>TinPT Mitra Stania Prima</v>
      </c>
    </row>
    <row r="1650" spans="1:25" s="228" customFormat="1" ht="20.25">
      <c r="A1650" s="161" t="s">
        <v>1395</v>
      </c>
      <c r="B1650" s="408" t="s">
        <v>2324</v>
      </c>
      <c r="C1650" s="297" t="str">
        <f>IF(LEN(A1650)=0,"",INDEX('[2]Smelter Reference List'!$C$1:$C$65536,MATCH($A1650,'[2]Smelter Reference List'!$E$1:$E$65536,0)))</f>
        <v>PT Prima Timah Utama</v>
      </c>
      <c r="D1650" s="161" t="s">
        <v>1394</v>
      </c>
      <c r="E1650" s="161" t="s">
        <v>2238</v>
      </c>
      <c r="F1650" s="161" t="s">
        <v>1395</v>
      </c>
      <c r="G1650" s="161" t="s">
        <v>3125</v>
      </c>
      <c r="H1650" s="247">
        <v>0</v>
      </c>
      <c r="I1650" s="248" t="s">
        <v>3496</v>
      </c>
      <c r="J1650" s="248" t="s">
        <v>3454</v>
      </c>
      <c r="K1650" s="245"/>
      <c r="L1650" s="245"/>
      <c r="M1650" s="245"/>
      <c r="N1650" s="245"/>
      <c r="O1650" s="245"/>
      <c r="P1650" s="245"/>
      <c r="Q1650" s="246"/>
      <c r="R1650" s="233"/>
      <c r="S1650" s="234">
        <f>IF(C1650="",NA(),MATCH($B1650&amp;$C1650,'Smelter Reference List'!$J:$J,0))</f>
        <v>423</v>
      </c>
      <c r="T1650" s="235"/>
      <c r="U1650" s="235">
        <f t="shared" si="46"/>
        <v>0</v>
      </c>
      <c r="V1650" s="235"/>
      <c r="W1650" s="235"/>
      <c r="Y1650" s="228" t="str">
        <f t="shared" si="47"/>
        <v>TinPT Prima Timah Utama</v>
      </c>
    </row>
    <row r="1651" spans="1:25" s="228" customFormat="1" ht="20.25">
      <c r="A1651" s="161" t="s">
        <v>1396</v>
      </c>
      <c r="B1651" s="408" t="s">
        <v>2324</v>
      </c>
      <c r="C1651" s="297" t="str">
        <f>IF(LEN(A1651)=0,"",INDEX('[2]Smelter Reference List'!$C$1:$C$65536,MATCH($A1651,'[2]Smelter Reference List'!$E$1:$E$65536,0)))</f>
        <v>PT Refined Bangka Tin</v>
      </c>
      <c r="D1651" s="161" t="s">
        <v>4169</v>
      </c>
      <c r="E1651" s="161" t="s">
        <v>2238</v>
      </c>
      <c r="F1651" s="161" t="s">
        <v>1396</v>
      </c>
      <c r="G1651" s="161" t="s">
        <v>3125</v>
      </c>
      <c r="H1651" s="247">
        <v>0</v>
      </c>
      <c r="I1651" s="248" t="s">
        <v>3453</v>
      </c>
      <c r="J1651" s="248" t="s">
        <v>3454</v>
      </c>
      <c r="K1651" s="245"/>
      <c r="L1651" s="245"/>
      <c r="M1651" s="245"/>
      <c r="N1651" s="245"/>
      <c r="O1651" s="245"/>
      <c r="P1651" s="245"/>
      <c r="Q1651" s="246"/>
      <c r="R1651" s="233"/>
      <c r="S1651" s="234">
        <f>IF(C1651="",NA(),MATCH($B1651&amp;$C1651,'Smelter Reference List'!$J:$J,0))</f>
        <v>424</v>
      </c>
      <c r="T1651" s="235"/>
      <c r="U1651" s="235">
        <f t="shared" si="46"/>
        <v>0</v>
      </c>
      <c r="V1651" s="235"/>
      <c r="W1651" s="235"/>
      <c r="Y1651" s="228" t="str">
        <f t="shared" si="47"/>
        <v>TinPT Refined Bangka Tin</v>
      </c>
    </row>
    <row r="1652" spans="1:25" s="228" customFormat="1" ht="20.25">
      <c r="A1652" s="161" t="s">
        <v>1397</v>
      </c>
      <c r="B1652" s="408" t="s">
        <v>2324</v>
      </c>
      <c r="C1652" s="297" t="str">
        <f>IF(LEN(A1652)=0,"",INDEX('[2]Smelter Reference List'!$C$1:$C$65536,MATCH($A1652,'[2]Smelter Reference List'!$E$1:$E$65536,0)))</f>
        <v>PT Sariwiguna Binasentosa</v>
      </c>
      <c r="D1652" s="161" t="s">
        <v>1197</v>
      </c>
      <c r="E1652" s="161" t="s">
        <v>2238</v>
      </c>
      <c r="F1652" s="161" t="s">
        <v>1397</v>
      </c>
      <c r="G1652" s="161" t="s">
        <v>3125</v>
      </c>
      <c r="H1652" s="247">
        <v>0</v>
      </c>
      <c r="I1652" s="248" t="s">
        <v>3457</v>
      </c>
      <c r="J1652" s="248" t="s">
        <v>3454</v>
      </c>
      <c r="K1652" s="245"/>
      <c r="L1652" s="245"/>
      <c r="M1652" s="245"/>
      <c r="N1652" s="245"/>
      <c r="O1652" s="245"/>
      <c r="P1652" s="245"/>
      <c r="Q1652" s="246"/>
      <c r="R1652" s="233"/>
      <c r="S1652" s="234">
        <f>IF(C1652="",NA(),MATCH($B1652&amp;$C1652,'Smelter Reference List'!$J:$J,0))</f>
        <v>425</v>
      </c>
      <c r="T1652" s="235"/>
      <c r="U1652" s="235">
        <f t="shared" si="46"/>
        <v>0</v>
      </c>
      <c r="V1652" s="235"/>
      <c r="W1652" s="235"/>
      <c r="Y1652" s="228" t="str">
        <f t="shared" si="47"/>
        <v>TinPT Sariwiguna Binasentosa</v>
      </c>
    </row>
    <row r="1653" spans="1:25" s="228" customFormat="1" ht="20.25">
      <c r="A1653" s="161" t="s">
        <v>1398</v>
      </c>
      <c r="B1653" s="408" t="s">
        <v>2324</v>
      </c>
      <c r="C1653" s="297" t="str">
        <f>IF(LEN(A1653)=0,"",INDEX('[2]Smelter Reference List'!$C$1:$C$65536,MATCH($A1653,'[2]Smelter Reference List'!$E$1:$E$65536,0)))</f>
        <v>PT Stanindo Inti Perkasa</v>
      </c>
      <c r="D1653" s="161" t="s">
        <v>2369</v>
      </c>
      <c r="E1653" s="161" t="s">
        <v>2238</v>
      </c>
      <c r="F1653" s="161" t="s">
        <v>1398</v>
      </c>
      <c r="G1653" s="161" t="s">
        <v>3125</v>
      </c>
      <c r="H1653" s="247">
        <v>0</v>
      </c>
      <c r="I1653" s="248" t="s">
        <v>3457</v>
      </c>
      <c r="J1653" s="248" t="s">
        <v>3454</v>
      </c>
      <c r="K1653" s="245"/>
      <c r="L1653" s="245"/>
      <c r="M1653" s="245"/>
      <c r="N1653" s="245"/>
      <c r="O1653" s="245"/>
      <c r="P1653" s="245"/>
      <c r="Q1653" s="246"/>
      <c r="R1653" s="233"/>
      <c r="S1653" s="234">
        <f>IF(C1653="",NA(),MATCH($B1653&amp;$C1653,'Smelter Reference List'!$J:$J,0))</f>
        <v>427</v>
      </c>
      <c r="T1653" s="235"/>
      <c r="U1653" s="235">
        <f t="shared" si="46"/>
        <v>0</v>
      </c>
      <c r="V1653" s="235"/>
      <c r="W1653" s="235"/>
      <c r="Y1653" s="228" t="str">
        <f t="shared" si="47"/>
        <v>TinPT Stanindo Inti Perkasa</v>
      </c>
    </row>
    <row r="1654" spans="1:25" s="228" customFormat="1" ht="20.25">
      <c r="A1654" s="161" t="s">
        <v>1424</v>
      </c>
      <c r="B1654" s="408" t="s">
        <v>2324</v>
      </c>
      <c r="C1654" s="297" t="str">
        <f>IF(LEN(A1654)=0,"",INDEX('[2]Smelter Reference List'!$C$1:$C$65536,MATCH($A1654,'[2]Smelter Reference List'!$E$1:$E$65536,0)))</f>
        <v>PT Timah (Persero) Tbk Kundur</v>
      </c>
      <c r="D1654" s="161" t="s">
        <v>3503</v>
      </c>
      <c r="E1654" s="161" t="s">
        <v>2238</v>
      </c>
      <c r="F1654" s="161" t="s">
        <v>1424</v>
      </c>
      <c r="G1654" s="161" t="s">
        <v>3125</v>
      </c>
      <c r="H1654" s="247">
        <v>0</v>
      </c>
      <c r="I1654" s="248" t="s">
        <v>3504</v>
      </c>
      <c r="J1654" s="248" t="s">
        <v>3505</v>
      </c>
      <c r="K1654" s="245"/>
      <c r="L1654" s="245"/>
      <c r="M1654" s="245"/>
      <c r="N1654" s="245"/>
      <c r="O1654" s="245"/>
      <c r="P1654" s="245"/>
      <c r="Q1654" s="246"/>
      <c r="R1654" s="233"/>
      <c r="S1654" s="234">
        <f>IF(C1654="",NA(),MATCH($B1654&amp;$C1654,'Smelter Reference List'!$J:$J,0))</f>
        <v>431</v>
      </c>
      <c r="T1654" s="235"/>
      <c r="U1654" s="235">
        <f t="shared" si="46"/>
        <v>0</v>
      </c>
      <c r="V1654" s="235"/>
      <c r="W1654" s="235"/>
      <c r="Y1654" s="228" t="str">
        <f t="shared" si="47"/>
        <v>TinPT Timah (Persero) Tbk Kundur</v>
      </c>
    </row>
    <row r="1655" spans="1:25" s="228" customFormat="1" ht="20.25">
      <c r="A1655" s="161" t="s">
        <v>1399</v>
      </c>
      <c r="B1655" s="408" t="s">
        <v>2324</v>
      </c>
      <c r="C1655" s="297" t="str">
        <f>IF(LEN(A1655)=0,"",INDEX('[2]Smelter Reference List'!$C$1:$C$65536,MATCH($A1655,'[2]Smelter Reference List'!$E$1:$E$65536,0)))</f>
        <v>PT Timah (Persero) Tbk Mentok</v>
      </c>
      <c r="D1655" s="161" t="s">
        <v>4266</v>
      </c>
      <c r="E1655" s="161" t="s">
        <v>2238</v>
      </c>
      <c r="F1655" s="161" t="s">
        <v>1399</v>
      </c>
      <c r="G1655" s="161" t="s">
        <v>3125</v>
      </c>
      <c r="H1655" s="247">
        <v>0</v>
      </c>
      <c r="I1655" s="248" t="s">
        <v>3507</v>
      </c>
      <c r="J1655" s="248" t="s">
        <v>3454</v>
      </c>
      <c r="K1655" s="245"/>
      <c r="L1655" s="245"/>
      <c r="M1655" s="245"/>
      <c r="N1655" s="245"/>
      <c r="O1655" s="245"/>
      <c r="P1655" s="245"/>
      <c r="Q1655" s="246"/>
      <c r="R1655" s="233"/>
      <c r="S1655" s="234">
        <f>IF(C1655="",NA(),MATCH($B1655&amp;$C1655,'Smelter Reference List'!$J:$J,0))</f>
        <v>432</v>
      </c>
      <c r="T1655" s="235"/>
      <c r="U1655" s="235">
        <f t="shared" si="46"/>
        <v>0</v>
      </c>
      <c r="V1655" s="235"/>
      <c r="W1655" s="235"/>
      <c r="Y1655" s="228" t="str">
        <f t="shared" si="47"/>
        <v>TinPT Timah (Persero) Tbk Mentok</v>
      </c>
    </row>
    <row r="1656" spans="1:25" s="228" customFormat="1" ht="20.25">
      <c r="A1656" s="161" t="s">
        <v>1400</v>
      </c>
      <c r="B1656" s="408" t="s">
        <v>2324</v>
      </c>
      <c r="C1656" s="297" t="str">
        <f>IF(LEN(A1656)=0,"",INDEX('[2]Smelter Reference List'!$C$1:$C$65536,MATCH($A1656,'[2]Smelter Reference List'!$E$1:$E$65536,0)))</f>
        <v>PT Tinindo Inter Nusa</v>
      </c>
      <c r="D1656" s="161" t="s">
        <v>972</v>
      </c>
      <c r="E1656" s="161" t="s">
        <v>2238</v>
      </c>
      <c r="F1656" s="161" t="s">
        <v>1400</v>
      </c>
      <c r="G1656" s="161" t="s">
        <v>3125</v>
      </c>
      <c r="H1656" s="247">
        <v>0</v>
      </c>
      <c r="I1656" s="248" t="s">
        <v>3457</v>
      </c>
      <c r="J1656" s="248" t="s">
        <v>3454</v>
      </c>
      <c r="K1656" s="245"/>
      <c r="L1656" s="245"/>
      <c r="M1656" s="245"/>
      <c r="N1656" s="245"/>
      <c r="O1656" s="245"/>
      <c r="P1656" s="245"/>
      <c r="Q1656" s="246"/>
      <c r="R1656" s="233"/>
      <c r="S1656" s="234">
        <f>IF(C1656="",NA(),MATCH($B1656&amp;$C1656,'Smelter Reference List'!$J:$J,0))</f>
        <v>434</v>
      </c>
      <c r="T1656" s="235"/>
      <c r="U1656" s="235">
        <f t="shared" si="46"/>
        <v>0</v>
      </c>
      <c r="V1656" s="235"/>
      <c r="W1656" s="235"/>
      <c r="Y1656" s="228" t="str">
        <f t="shared" si="47"/>
        <v>TinPT Tinindo Inter Nusa</v>
      </c>
    </row>
    <row r="1657" spans="1:25" s="228" customFormat="1" ht="20.25">
      <c r="A1657" s="161" t="s">
        <v>1402</v>
      </c>
      <c r="B1657" s="408" t="s">
        <v>2324</v>
      </c>
      <c r="C1657" s="297" t="str">
        <f>IF(LEN(A1657)=0,"",INDEX('[2]Smelter Reference List'!$C$1:$C$65536,MATCH($A1657,'[2]Smelter Reference List'!$E$1:$E$65536,0)))</f>
        <v>Rui Da Hung</v>
      </c>
      <c r="D1657" s="161" t="s">
        <v>1401</v>
      </c>
      <c r="E1657" s="161" t="s">
        <v>1753</v>
      </c>
      <c r="F1657" s="161" t="s">
        <v>1402</v>
      </c>
      <c r="G1657" s="161" t="s">
        <v>3125</v>
      </c>
      <c r="H1657" s="247">
        <v>0</v>
      </c>
      <c r="I1657" s="248" t="s">
        <v>3508</v>
      </c>
      <c r="J1657" s="248" t="s">
        <v>3296</v>
      </c>
      <c r="K1657" s="245"/>
      <c r="L1657" s="245"/>
      <c r="M1657" s="245"/>
      <c r="N1657" s="245"/>
      <c r="O1657" s="245"/>
      <c r="P1657" s="245"/>
      <c r="Q1657" s="246"/>
      <c r="R1657" s="233"/>
      <c r="S1657" s="234">
        <f>IF(C1657="",NA(),MATCH($B1657&amp;$C1657,'Smelter Reference List'!$J:$J,0))</f>
        <v>439</v>
      </c>
      <c r="T1657" s="235"/>
      <c r="U1657" s="235">
        <f t="shared" si="46"/>
        <v>0</v>
      </c>
      <c r="V1657" s="235"/>
      <c r="W1657" s="235"/>
      <c r="Y1657" s="228" t="str">
        <f t="shared" si="47"/>
        <v>TinRui Da Hung</v>
      </c>
    </row>
    <row r="1658" spans="1:25" s="228" customFormat="1" ht="20.25">
      <c r="A1658" s="161" t="s">
        <v>1403</v>
      </c>
      <c r="B1658" s="408" t="s">
        <v>2324</v>
      </c>
      <c r="C1658" s="297" t="str">
        <f>IF(LEN(A1658)=0,"",INDEX('[2]Smelter Reference List'!$C$1:$C$65536,MATCH($A1658,'[2]Smelter Reference List'!$E$1:$E$65536,0)))</f>
        <v>Soft Metais Ltda.</v>
      </c>
      <c r="D1658" s="161" t="s">
        <v>4176</v>
      </c>
      <c r="E1658" s="161" t="s">
        <v>2170</v>
      </c>
      <c r="F1658" s="161" t="s">
        <v>1403</v>
      </c>
      <c r="G1658" s="161" t="s">
        <v>3125</v>
      </c>
      <c r="H1658" s="247">
        <v>0</v>
      </c>
      <c r="I1658" s="248" t="s">
        <v>3509</v>
      </c>
      <c r="J1658" s="248" t="s">
        <v>3313</v>
      </c>
      <c r="K1658" s="245"/>
      <c r="L1658" s="245"/>
      <c r="M1658" s="245"/>
      <c r="N1658" s="245"/>
      <c r="O1658" s="245"/>
      <c r="P1658" s="245"/>
      <c r="Q1658" s="246"/>
      <c r="R1658" s="233"/>
      <c r="S1658" s="234">
        <f>IF(C1658="",NA(),MATCH($B1658&amp;$C1658,'Smelter Reference List'!$J:$J,0))</f>
        <v>442</v>
      </c>
      <c r="T1658" s="235"/>
      <c r="U1658" s="235">
        <f t="shared" si="46"/>
        <v>0</v>
      </c>
      <c r="V1658" s="235"/>
      <c r="W1658" s="235"/>
      <c r="Y1658" s="228" t="str">
        <f t="shared" si="47"/>
        <v>TinSoft Metais Ltda.</v>
      </c>
    </row>
    <row r="1659" spans="1:25" s="228" customFormat="1" ht="20.25">
      <c r="A1659" s="161" t="s">
        <v>1404</v>
      </c>
      <c r="B1659" s="408" t="s">
        <v>2324</v>
      </c>
      <c r="C1659" s="297" t="str">
        <f>IF(LEN(A1659)=0,"",INDEX('[2]Smelter Reference List'!$C$1:$C$65536,MATCH($A1659,'[2]Smelter Reference List'!$E$1:$E$65536,0)))</f>
        <v>Thaisarco</v>
      </c>
      <c r="D1659" s="161" t="s">
        <v>1951</v>
      </c>
      <c r="E1659" s="161" t="s">
        <v>1743</v>
      </c>
      <c r="F1659" s="161" t="s">
        <v>1404</v>
      </c>
      <c r="G1659" s="161" t="s">
        <v>3125</v>
      </c>
      <c r="H1659" s="247">
        <v>0</v>
      </c>
      <c r="I1659" s="248" t="s">
        <v>3510</v>
      </c>
      <c r="J1659" s="248" t="s">
        <v>3511</v>
      </c>
      <c r="K1659" s="245"/>
      <c r="L1659" s="245"/>
      <c r="M1659" s="245"/>
      <c r="N1659" s="245"/>
      <c r="O1659" s="245"/>
      <c r="P1659" s="245"/>
      <c r="Q1659" s="246"/>
      <c r="R1659" s="233"/>
      <c r="S1659" s="234">
        <f>IF(C1659="",NA(),MATCH($B1659&amp;$C1659,'Smelter Reference List'!$J:$J,0))</f>
        <v>445</v>
      </c>
      <c r="T1659" s="235"/>
      <c r="U1659" s="235">
        <f t="shared" si="46"/>
        <v>0</v>
      </c>
      <c r="V1659" s="235"/>
      <c r="W1659" s="235"/>
      <c r="Y1659" s="228" t="str">
        <f t="shared" si="47"/>
        <v>TinThaisarco</v>
      </c>
    </row>
    <row r="1660" spans="1:25" s="228" customFormat="1" ht="20.25">
      <c r="A1660" s="161" t="s">
        <v>1405</v>
      </c>
      <c r="B1660" s="408" t="s">
        <v>2324</v>
      </c>
      <c r="C1660" s="297" t="str">
        <f>IF(LEN(A1660)=0,"",INDEX('[2]Smelter Reference List'!$C$1:$C$65536,MATCH($A1660,'[2]Smelter Reference List'!$E$1:$E$65536,0)))</f>
        <v>White Solder Metalurgia e Mineração Ltda.</v>
      </c>
      <c r="D1660" s="161" t="s">
        <v>68</v>
      </c>
      <c r="E1660" s="161" t="s">
        <v>2170</v>
      </c>
      <c r="F1660" s="161" t="s">
        <v>1405</v>
      </c>
      <c r="G1660" s="161" t="s">
        <v>3125</v>
      </c>
      <c r="H1660" s="247">
        <v>0</v>
      </c>
      <c r="I1660" s="248" t="s">
        <v>3451</v>
      </c>
      <c r="J1660" s="248" t="s">
        <v>3452</v>
      </c>
      <c r="K1660" s="245"/>
      <c r="L1660" s="245"/>
      <c r="M1660" s="245"/>
      <c r="N1660" s="245"/>
      <c r="O1660" s="245"/>
      <c r="P1660" s="245"/>
      <c r="Q1660" s="246"/>
      <c r="R1660" s="233"/>
      <c r="S1660" s="234">
        <f>IF(C1660="",NA(),MATCH($B1660&amp;$C1660,'Smelter Reference List'!$J:$J,0))</f>
        <v>452</v>
      </c>
      <c r="T1660" s="235"/>
      <c r="U1660" s="235">
        <f t="shared" si="46"/>
        <v>0</v>
      </c>
      <c r="V1660" s="235"/>
      <c r="W1660" s="235"/>
      <c r="Y1660" s="228" t="str">
        <f t="shared" si="47"/>
        <v>TinWhite Solder Metalurgia e Mineração Ltda.</v>
      </c>
    </row>
    <row r="1661" spans="1:25" s="228" customFormat="1" ht="20.25">
      <c r="A1661" s="161" t="s">
        <v>1406</v>
      </c>
      <c r="B1661" s="408" t="s">
        <v>2324</v>
      </c>
      <c r="C1661" s="297" t="str">
        <f>IF(LEN(A1661)=0,"",INDEX('[2]Smelter Reference List'!$C$1:$C$65536,MATCH($A1661,'[2]Smelter Reference List'!$E$1:$E$65536,0)))</f>
        <v>Yunnan Chengfeng Non-ferrous Metals Co., Ltd.</v>
      </c>
      <c r="D1661" s="161" t="s">
        <v>4183</v>
      </c>
      <c r="E1661" s="161" t="s">
        <v>2181</v>
      </c>
      <c r="F1661" s="161" t="s">
        <v>1406</v>
      </c>
      <c r="G1661" s="161" t="s">
        <v>3125</v>
      </c>
      <c r="H1661" s="247">
        <v>0</v>
      </c>
      <c r="I1661" s="248" t="s">
        <v>3468</v>
      </c>
      <c r="J1661" s="248" t="s">
        <v>3161</v>
      </c>
      <c r="K1661" s="245"/>
      <c r="L1661" s="245"/>
      <c r="M1661" s="245"/>
      <c r="N1661" s="245"/>
      <c r="O1661" s="245"/>
      <c r="P1661" s="245"/>
      <c r="Q1661" s="246"/>
      <c r="R1661" s="233"/>
      <c r="S1661" s="234">
        <f>IF(C1661="",NA(),MATCH($B1661&amp;$C1661,'Smelter Reference List'!$J:$J,0))</f>
        <v>459</v>
      </c>
      <c r="T1661" s="235"/>
      <c r="U1661" s="235">
        <f t="shared" si="46"/>
        <v>0</v>
      </c>
      <c r="V1661" s="235"/>
      <c r="W1661" s="235"/>
      <c r="Y1661" s="228" t="str">
        <f t="shared" si="47"/>
        <v>TinYunnan Chengfeng Non-ferrous Metals Co., Ltd.</v>
      </c>
    </row>
    <row r="1662" spans="1:25" s="228" customFormat="1" ht="20.25">
      <c r="A1662" s="161" t="s">
        <v>1407</v>
      </c>
      <c r="B1662" s="408" t="s">
        <v>2324</v>
      </c>
      <c r="C1662" s="297" t="str">
        <f>IF(LEN(A1662)=0,"",INDEX('[2]Smelter Reference List'!$C$1:$C$65536,MATCH($A1662,'[2]Smelter Reference List'!$E$1:$E$65536,0)))</f>
        <v>Yunnan Tin Company Limited</v>
      </c>
      <c r="D1662" s="161" t="s">
        <v>4749</v>
      </c>
      <c r="E1662" s="161" t="s">
        <v>2181</v>
      </c>
      <c r="F1662" s="161" t="s">
        <v>1407</v>
      </c>
      <c r="G1662" s="161" t="s">
        <v>3125</v>
      </c>
      <c r="H1662" s="247">
        <v>0</v>
      </c>
      <c r="I1662" s="248" t="s">
        <v>3468</v>
      </c>
      <c r="J1662" s="248" t="s">
        <v>3161</v>
      </c>
      <c r="K1662" s="245"/>
      <c r="L1662" s="245"/>
      <c r="M1662" s="245"/>
      <c r="N1662" s="245"/>
      <c r="O1662" s="245"/>
      <c r="P1662" s="245"/>
      <c r="Q1662" s="246"/>
      <c r="R1662" s="233"/>
      <c r="S1662" s="234">
        <f>IF(C1662="",NA(),MATCH($B1662&amp;$C1662,'Smelter Reference List'!$J:$J,0))</f>
        <v>462</v>
      </c>
      <c r="T1662" s="235"/>
      <c r="U1662" s="235">
        <f t="shared" si="46"/>
        <v>0</v>
      </c>
      <c r="V1662" s="235"/>
      <c r="W1662" s="235"/>
      <c r="Y1662" s="228" t="str">
        <f t="shared" si="47"/>
        <v>TinYunnan Tin Company Limited</v>
      </c>
    </row>
    <row r="1663" spans="1:25" s="228" customFormat="1" ht="20.25">
      <c r="A1663" s="161" t="s">
        <v>1408</v>
      </c>
      <c r="B1663" s="408" t="s">
        <v>2326</v>
      </c>
      <c r="C1663" s="297" t="str">
        <f>IF(LEN(A1663)=0,"",INDEX('[2]Smelter Reference List'!$C$1:$C$65536,MATCH($A1663,'[2]Smelter Reference List'!$E$1:$E$65536,0)))</f>
        <v>A.L.M.T. TUNGSTEN Corp.</v>
      </c>
      <c r="D1663" s="161" t="s">
        <v>3552</v>
      </c>
      <c r="E1663" s="161" t="s">
        <v>2249</v>
      </c>
      <c r="F1663" s="161" t="s">
        <v>1408</v>
      </c>
      <c r="G1663" s="161" t="s">
        <v>3125</v>
      </c>
      <c r="H1663" s="247">
        <v>0</v>
      </c>
      <c r="I1663" s="248" t="s">
        <v>4135</v>
      </c>
      <c r="J1663" s="248" t="s">
        <v>4136</v>
      </c>
      <c r="K1663" s="245"/>
      <c r="L1663" s="245"/>
      <c r="M1663" s="245"/>
      <c r="N1663" s="245"/>
      <c r="O1663" s="245"/>
      <c r="P1663" s="245"/>
      <c r="Q1663" s="246"/>
      <c r="R1663" s="233"/>
      <c r="S1663" s="234">
        <f>IF(C1663="",NA(),MATCH($B1663&amp;$C1663,'Smelter Reference List'!$J:$J,0))</f>
        <v>469</v>
      </c>
      <c r="T1663" s="235"/>
      <c r="U1663" s="235">
        <f t="shared" si="46"/>
        <v>0</v>
      </c>
      <c r="V1663" s="235"/>
      <c r="W1663" s="235"/>
      <c r="Y1663" s="228" t="str">
        <f t="shared" si="47"/>
        <v>TungstenA.L.M.T. TUNGSTEN Corp.</v>
      </c>
    </row>
    <row r="1664" spans="1:25" s="228" customFormat="1" ht="20.25">
      <c r="A1664" s="161" t="s">
        <v>2718</v>
      </c>
      <c r="B1664" s="408" t="s">
        <v>2326</v>
      </c>
      <c r="C1664" s="297" t="str">
        <f>IF(LEN(A1664)=0,"",INDEX('[2]Smelter Reference List'!$C$1:$C$65536,MATCH($A1664,'[2]Smelter Reference List'!$E$1:$E$65536,0)))</f>
        <v>Chenzhou Diamond Tungsten Products Co., Ltd.</v>
      </c>
      <c r="D1664" s="161" t="s">
        <v>2717</v>
      </c>
      <c r="E1664" s="161" t="s">
        <v>2181</v>
      </c>
      <c r="F1664" s="161" t="s">
        <v>2718</v>
      </c>
      <c r="G1664" s="161" t="s">
        <v>3125</v>
      </c>
      <c r="H1664" s="247">
        <v>0</v>
      </c>
      <c r="I1664" s="248" t="s">
        <v>3475</v>
      </c>
      <c r="J1664" s="248" t="s">
        <v>3186</v>
      </c>
      <c r="K1664" s="245"/>
      <c r="L1664" s="245"/>
      <c r="M1664" s="245"/>
      <c r="N1664" s="245"/>
      <c r="O1664" s="245"/>
      <c r="P1664" s="245"/>
      <c r="Q1664" s="246"/>
      <c r="R1664" s="233"/>
      <c r="S1664" s="234">
        <f>IF(C1664="",NA(),MATCH($B1664&amp;$C1664,'Smelter Reference List'!$J:$J,0))</f>
        <v>478</v>
      </c>
      <c r="T1664" s="235"/>
      <c r="U1664" s="235">
        <f t="shared" si="46"/>
        <v>0</v>
      </c>
      <c r="V1664" s="235"/>
      <c r="W1664" s="235"/>
      <c r="Y1664" s="228" t="str">
        <f t="shared" si="47"/>
        <v>TungstenChenzhou Diamond Tungsten Products Co., Ltd.</v>
      </c>
    </row>
    <row r="1665" spans="1:25" s="228" customFormat="1" ht="20.25">
      <c r="A1665" s="161" t="s">
        <v>1411</v>
      </c>
      <c r="B1665" s="408" t="s">
        <v>2326</v>
      </c>
      <c r="C1665" s="297" t="str">
        <f>IF(LEN(A1665)=0,"",INDEX('[2]Smelter Reference List'!$C$1:$C$65536,MATCH($A1665,'[2]Smelter Reference List'!$E$1:$E$65536,0)))</f>
        <v>Chongyi Zhangyuan Tungsten Co., Ltd.</v>
      </c>
      <c r="D1665" s="161" t="s">
        <v>2659</v>
      </c>
      <c r="E1665" s="161" t="s">
        <v>2181</v>
      </c>
      <c r="F1665" s="161" t="s">
        <v>1411</v>
      </c>
      <c r="G1665" s="161" t="s">
        <v>3125</v>
      </c>
      <c r="H1665" s="247">
        <v>0</v>
      </c>
      <c r="I1665" s="248" t="s">
        <v>3471</v>
      </c>
      <c r="J1665" s="248" t="s">
        <v>3204</v>
      </c>
      <c r="K1665" s="245"/>
      <c r="L1665" s="245"/>
      <c r="M1665" s="245"/>
      <c r="N1665" s="245"/>
      <c r="O1665" s="245"/>
      <c r="P1665" s="245"/>
      <c r="Q1665" s="246"/>
      <c r="R1665" s="233"/>
      <c r="S1665" s="234">
        <f>IF(C1665="",NA(),MATCH($B1665&amp;$C1665,'Smelter Reference List'!$J:$J,0))</f>
        <v>480</v>
      </c>
      <c r="T1665" s="235"/>
      <c r="U1665" s="235">
        <f t="shared" si="46"/>
        <v>0</v>
      </c>
      <c r="V1665" s="235"/>
      <c r="W1665" s="235"/>
      <c r="Y1665" s="228" t="str">
        <f t="shared" si="47"/>
        <v>TungstenChongyi Zhangyuan Tungsten Co., Ltd.</v>
      </c>
    </row>
    <row r="1666" spans="1:25" s="228" customFormat="1" ht="20.25">
      <c r="A1666" s="161" t="s">
        <v>1412</v>
      </c>
      <c r="B1666" s="408" t="s">
        <v>2326</v>
      </c>
      <c r="C1666" s="297" t="str">
        <f>IF(LEN(A1666)=0,"",INDEX('[2]Smelter Reference List'!$C$1:$C$65536,MATCH($A1666,'[2]Smelter Reference List'!$E$1:$E$65536,0)))</f>
        <v>Dayu Weiliang Tungsten Co., Ltd.</v>
      </c>
      <c r="D1666" s="161" t="s">
        <v>1463</v>
      </c>
      <c r="E1666" s="161" t="s">
        <v>2181</v>
      </c>
      <c r="F1666" s="161" t="s">
        <v>1412</v>
      </c>
      <c r="G1666" s="161" t="s">
        <v>3125</v>
      </c>
      <c r="H1666" s="247">
        <v>0</v>
      </c>
      <c r="I1666" s="248" t="s">
        <v>3471</v>
      </c>
      <c r="J1666" s="248" t="s">
        <v>3204</v>
      </c>
      <c r="K1666" s="245"/>
      <c r="L1666" s="245"/>
      <c r="M1666" s="245"/>
      <c r="N1666" s="245"/>
      <c r="O1666" s="245"/>
      <c r="P1666" s="245"/>
      <c r="Q1666" s="246"/>
      <c r="R1666" s="233"/>
      <c r="S1666" s="234">
        <f>IF(C1666="",NA(),MATCH($B1666&amp;$C1666,'Smelter Reference List'!$J:$J,0))</f>
        <v>482</v>
      </c>
      <c r="T1666" s="235"/>
      <c r="U1666" s="235">
        <f t="shared" si="46"/>
        <v>0</v>
      </c>
      <c r="V1666" s="235"/>
      <c r="W1666" s="235"/>
      <c r="Y1666" s="228" t="str">
        <f t="shared" si="47"/>
        <v>TungstenDayu Weiliang Tungsten Co., Ltd.</v>
      </c>
    </row>
    <row r="1667" spans="1:25" s="228" customFormat="1" ht="20.25">
      <c r="A1667" s="161" t="s">
        <v>1413</v>
      </c>
      <c r="B1667" s="408" t="s">
        <v>2326</v>
      </c>
      <c r="C1667" s="297" t="str">
        <f>IF(LEN(A1667)=0,"",INDEX('[2]Smelter Reference List'!$C$1:$C$65536,MATCH($A1667,'[2]Smelter Reference List'!$E$1:$E$65536,0)))</f>
        <v>Fujian Jinxin Tungsten Co., Ltd.</v>
      </c>
      <c r="D1667" s="161" t="s">
        <v>1464</v>
      </c>
      <c r="E1667" s="161" t="s">
        <v>2181</v>
      </c>
      <c r="F1667" s="161" t="s">
        <v>1413</v>
      </c>
      <c r="G1667" s="161" t="s">
        <v>3125</v>
      </c>
      <c r="H1667" s="247">
        <v>0</v>
      </c>
      <c r="I1667" s="248" t="s">
        <v>3559</v>
      </c>
      <c r="J1667" s="248" t="s">
        <v>3332</v>
      </c>
      <c r="K1667" s="245"/>
      <c r="L1667" s="245"/>
      <c r="M1667" s="245"/>
      <c r="N1667" s="245"/>
      <c r="O1667" s="245"/>
      <c r="P1667" s="245"/>
      <c r="Q1667" s="246"/>
      <c r="R1667" s="233"/>
      <c r="S1667" s="234">
        <f>IF(C1667="",NA(),MATCH($B1667&amp;$C1667,'Smelter Reference List'!$J:$J,0))</f>
        <v>483</v>
      </c>
      <c r="T1667" s="235"/>
      <c r="U1667" s="235">
        <f t="shared" si="46"/>
        <v>0</v>
      </c>
      <c r="V1667" s="235"/>
      <c r="W1667" s="235"/>
      <c r="Y1667" s="228" t="str">
        <f t="shared" si="47"/>
        <v>TungstenFujian Jinxin Tungsten Co., Ltd.</v>
      </c>
    </row>
    <row r="1668" spans="1:25" s="228" customFormat="1" ht="20.25">
      <c r="A1668" s="161" t="s">
        <v>1419</v>
      </c>
      <c r="B1668" s="408" t="s">
        <v>2326</v>
      </c>
      <c r="C1668" s="297" t="str">
        <f>IF(LEN(A1668)=0,"",INDEX('[2]Smelter Reference List'!$C$1:$C$65536,MATCH($A1668,'[2]Smelter Reference List'!$E$1:$E$65536,0)))</f>
        <v>Ganzhou Huaxing Tungsten Products Co., Ltd.</v>
      </c>
      <c r="D1668" s="161" t="s">
        <v>211</v>
      </c>
      <c r="E1668" s="161" t="s">
        <v>2181</v>
      </c>
      <c r="F1668" s="161" t="s">
        <v>1419</v>
      </c>
      <c r="G1668" s="161" t="s">
        <v>3125</v>
      </c>
      <c r="H1668" s="247">
        <v>0</v>
      </c>
      <c r="I1668" s="248" t="s">
        <v>3471</v>
      </c>
      <c r="J1668" s="248" t="s">
        <v>3204</v>
      </c>
      <c r="K1668" s="245"/>
      <c r="L1668" s="245"/>
      <c r="M1668" s="245"/>
      <c r="N1668" s="245"/>
      <c r="O1668" s="245"/>
      <c r="P1668" s="245"/>
      <c r="Q1668" s="246"/>
      <c r="R1668" s="233"/>
      <c r="S1668" s="234">
        <f>IF(C1668="",NA(),MATCH($B1668&amp;$C1668,'Smelter Reference List'!$J:$J,0))</f>
        <v>485</v>
      </c>
      <c r="T1668" s="235"/>
      <c r="U1668" s="235">
        <f t="shared" si="46"/>
        <v>0</v>
      </c>
      <c r="V1668" s="235"/>
      <c r="W1668" s="235"/>
      <c r="Y1668" s="228" t="str">
        <f t="shared" si="47"/>
        <v>TungstenGanzhou Huaxing Tungsten Products Co., Ltd.</v>
      </c>
    </row>
    <row r="1669" spans="1:25" s="228" customFormat="1" ht="20.25">
      <c r="A1669" s="161" t="s">
        <v>722</v>
      </c>
      <c r="B1669" s="408" t="s">
        <v>2326</v>
      </c>
      <c r="C1669" s="297" t="str">
        <f>IF(LEN(A1669)=0,"",INDEX('[2]Smelter Reference List'!$C$1:$C$65536,MATCH($A1669,'[2]Smelter Reference List'!$E$1:$E$65536,0)))</f>
        <v>Ganzhou Seadragon W &amp; Mo Co., Ltd.</v>
      </c>
      <c r="D1669" s="161" t="s">
        <v>721</v>
      </c>
      <c r="E1669" s="161" t="s">
        <v>2181</v>
      </c>
      <c r="F1669" s="161" t="s">
        <v>722</v>
      </c>
      <c r="G1669" s="161" t="s">
        <v>3125</v>
      </c>
      <c r="H1669" s="247">
        <v>0</v>
      </c>
      <c r="I1669" s="248" t="s">
        <v>3471</v>
      </c>
      <c r="J1669" s="248" t="s">
        <v>3204</v>
      </c>
      <c r="K1669" s="245"/>
      <c r="L1669" s="245"/>
      <c r="M1669" s="245"/>
      <c r="N1669" s="245"/>
      <c r="O1669" s="245"/>
      <c r="P1669" s="245"/>
      <c r="Q1669" s="246"/>
      <c r="R1669" s="233"/>
      <c r="S1669" s="234">
        <f>IF(C1669="",NA(),MATCH($B1669&amp;$C1669,'Smelter Reference List'!$J:$J,0))</f>
        <v>488</v>
      </c>
      <c r="T1669" s="235"/>
      <c r="U1669" s="235">
        <f t="shared" si="46"/>
        <v>0</v>
      </c>
      <c r="V1669" s="235"/>
      <c r="W1669" s="235"/>
      <c r="Y1669" s="228" t="str">
        <f t="shared" si="47"/>
        <v>TungstenGanzhou Seadragon W &amp; Mo Co., Ltd.</v>
      </c>
    </row>
    <row r="1670" spans="1:25" s="228" customFormat="1" ht="20.25">
      <c r="A1670" s="161" t="s">
        <v>1414</v>
      </c>
      <c r="B1670" s="408" t="s">
        <v>2326</v>
      </c>
      <c r="C1670" s="297" t="str">
        <f>IF(LEN(A1670)=0,"",INDEX('[2]Smelter Reference List'!$C$1:$C$65536,MATCH($A1670,'[2]Smelter Reference List'!$E$1:$E$65536,0)))</f>
        <v>Global Tungsten &amp; Powders Corp.</v>
      </c>
      <c r="D1670" s="161" t="s">
        <v>1</v>
      </c>
      <c r="E1670" s="161" t="s">
        <v>1759</v>
      </c>
      <c r="F1670" s="161" t="s">
        <v>1414</v>
      </c>
      <c r="G1670" s="161" t="s">
        <v>3125</v>
      </c>
      <c r="H1670" s="247">
        <v>0</v>
      </c>
      <c r="I1670" s="248" t="s">
        <v>3560</v>
      </c>
      <c r="J1670" s="248" t="s">
        <v>3401</v>
      </c>
      <c r="K1670" s="245"/>
      <c r="L1670" s="245"/>
      <c r="M1670" s="245"/>
      <c r="N1670" s="245"/>
      <c r="O1670" s="245"/>
      <c r="P1670" s="245"/>
      <c r="Q1670" s="246"/>
      <c r="R1670" s="233"/>
      <c r="S1670" s="234">
        <f>IF(C1670="",NA(),MATCH($B1670&amp;$C1670,'Smelter Reference List'!$J:$J,0))</f>
        <v>490</v>
      </c>
      <c r="T1670" s="235"/>
      <c r="U1670" s="235">
        <f t="shared" ref="U1670:U1733" si="48">IF(AND(C1670="Smelter not listed",OR(LEN(D1670)=0,LEN(E1670)=0)),1,0)</f>
        <v>0</v>
      </c>
      <c r="V1670" s="235"/>
      <c r="W1670" s="235"/>
      <c r="Y1670" s="228" t="str">
        <f t="shared" ref="Y1670:Y1733" si="49">B1670&amp;C1670</f>
        <v>TungstenGlobal Tungsten &amp; Powders Corp.</v>
      </c>
    </row>
    <row r="1671" spans="1:25" s="228" customFormat="1" ht="20.25">
      <c r="A1671" s="161" t="s">
        <v>1410</v>
      </c>
      <c r="B1671" s="408" t="s">
        <v>2326</v>
      </c>
      <c r="C1671" s="297" t="str">
        <f>IF(LEN(A1671)=0,"",INDEX('[2]Smelter Reference List'!$C$1:$C$65536,MATCH($A1671,'[2]Smelter Reference List'!$E$1:$E$65536,0)))</f>
        <v>Guangdong Xianglu Tungsten Co., Ltd.</v>
      </c>
      <c r="D1671" s="161" t="s">
        <v>2660</v>
      </c>
      <c r="E1671" s="161" t="s">
        <v>2181</v>
      </c>
      <c r="F1671" s="161" t="s">
        <v>1410</v>
      </c>
      <c r="G1671" s="161" t="s">
        <v>3125</v>
      </c>
      <c r="H1671" s="247">
        <v>0</v>
      </c>
      <c r="I1671" s="248" t="s">
        <v>3557</v>
      </c>
      <c r="J1671" s="248" t="s">
        <v>3335</v>
      </c>
      <c r="K1671" s="245"/>
      <c r="L1671" s="245"/>
      <c r="M1671" s="245"/>
      <c r="N1671" s="245"/>
      <c r="O1671" s="245"/>
      <c r="P1671" s="245"/>
      <c r="Q1671" s="246"/>
      <c r="R1671" s="233"/>
      <c r="S1671" s="234">
        <f>IF(C1671="",NA(),MATCH($B1671&amp;$C1671,'Smelter Reference List'!$J:$J,0))</f>
        <v>492</v>
      </c>
      <c r="T1671" s="235"/>
      <c r="U1671" s="235">
        <f t="shared" si="48"/>
        <v>0</v>
      </c>
      <c r="V1671" s="235"/>
      <c r="W1671" s="235"/>
      <c r="Y1671" s="228" t="str">
        <f t="shared" si="49"/>
        <v>TungstenGuangdong Xianglu Tungsten Co., Ltd.</v>
      </c>
    </row>
    <row r="1672" spans="1:25" s="228" customFormat="1" ht="20.25">
      <c r="A1672" s="161" t="s">
        <v>2760</v>
      </c>
      <c r="B1672" s="408" t="s">
        <v>2326</v>
      </c>
      <c r="C1672" s="297" t="str">
        <f>IF(LEN(A1672)=0,"",INDEX('[2]Smelter Reference List'!$C$1:$C$65536,MATCH($A1672,'[2]Smelter Reference List'!$E$1:$E$65536,0)))</f>
        <v>H.C. Starck GmbH</v>
      </c>
      <c r="D1672" s="161" t="s">
        <v>2759</v>
      </c>
      <c r="E1672" s="161" t="s">
        <v>2195</v>
      </c>
      <c r="F1672" s="161" t="s">
        <v>2760</v>
      </c>
      <c r="G1672" s="161" t="s">
        <v>3125</v>
      </c>
      <c r="H1672" s="247">
        <v>0</v>
      </c>
      <c r="I1672" s="248" t="s">
        <v>3418</v>
      </c>
      <c r="J1672" s="248" t="s">
        <v>3419</v>
      </c>
      <c r="K1672" s="245"/>
      <c r="L1672" s="245"/>
      <c r="M1672" s="245"/>
      <c r="N1672" s="245"/>
      <c r="O1672" s="245"/>
      <c r="P1672" s="245"/>
      <c r="Q1672" s="246"/>
      <c r="R1672" s="233"/>
      <c r="S1672" s="234">
        <f>IF(C1672="",NA(),MATCH($B1672&amp;$C1672,'Smelter Reference List'!$J:$J,0))</f>
        <v>493</v>
      </c>
      <c r="T1672" s="235"/>
      <c r="U1672" s="235">
        <f t="shared" si="48"/>
        <v>0</v>
      </c>
      <c r="V1672" s="235"/>
      <c r="W1672" s="235"/>
      <c r="Y1672" s="228" t="str">
        <f t="shared" si="49"/>
        <v>TungstenH.C. Starck GmbH</v>
      </c>
    </row>
    <row r="1673" spans="1:25" s="228" customFormat="1" ht="20.25">
      <c r="A1673" s="161" t="s">
        <v>2761</v>
      </c>
      <c r="B1673" s="408" t="s">
        <v>2326</v>
      </c>
      <c r="C1673" s="297" t="str">
        <f>IF(LEN(A1673)=0,"",INDEX('[2]Smelter Reference List'!$C$1:$C$65536,MATCH($A1673,'[2]Smelter Reference List'!$E$1:$E$65536,0)))</f>
        <v>H.C. Starck Smelting GmbH &amp; Co.KG</v>
      </c>
      <c r="D1673" s="161" t="s">
        <v>2749</v>
      </c>
      <c r="E1673" s="161" t="s">
        <v>2195</v>
      </c>
      <c r="F1673" s="161" t="s">
        <v>2761</v>
      </c>
      <c r="G1673" s="161" t="s">
        <v>3125</v>
      </c>
      <c r="H1673" s="247">
        <v>0</v>
      </c>
      <c r="I1673" s="248" t="s">
        <v>3420</v>
      </c>
      <c r="J1673" s="248" t="s">
        <v>3131</v>
      </c>
      <c r="K1673" s="245"/>
      <c r="L1673" s="245"/>
      <c r="M1673" s="245"/>
      <c r="N1673" s="245"/>
      <c r="O1673" s="245"/>
      <c r="P1673" s="245"/>
      <c r="Q1673" s="246"/>
      <c r="R1673" s="233"/>
      <c r="S1673" s="234">
        <f>IF(C1673="",NA(),MATCH($B1673&amp;$C1673,'Smelter Reference List'!$J:$J,0))</f>
        <v>494</v>
      </c>
      <c r="T1673" s="235"/>
      <c r="U1673" s="235">
        <f t="shared" si="48"/>
        <v>0</v>
      </c>
      <c r="V1673" s="235"/>
      <c r="W1673" s="235"/>
      <c r="Y1673" s="228" t="str">
        <f t="shared" si="49"/>
        <v>TungstenH.C. Starck Smelting GmbH &amp; Co.KG</v>
      </c>
    </row>
    <row r="1674" spans="1:25" s="228" customFormat="1" ht="20.25">
      <c r="A1674" s="161" t="s">
        <v>1415</v>
      </c>
      <c r="B1674" s="408" t="s">
        <v>2326</v>
      </c>
      <c r="C1674" s="297" t="str">
        <f>IF(LEN(A1674)=0,"",INDEX('[2]Smelter Reference List'!$C$1:$C$65536,MATCH($A1674,'[2]Smelter Reference List'!$E$1:$E$65536,0)))</f>
        <v>Hunan Chenzhou Mining Co., Ltd.</v>
      </c>
      <c r="D1674" s="161" t="s">
        <v>4286</v>
      </c>
      <c r="E1674" s="161" t="s">
        <v>2181</v>
      </c>
      <c r="F1674" s="161" t="s">
        <v>1415</v>
      </c>
      <c r="G1674" s="161" t="s">
        <v>3125</v>
      </c>
      <c r="H1674" s="247">
        <v>0</v>
      </c>
      <c r="I1674" s="248" t="s">
        <v>4137</v>
      </c>
      <c r="J1674" s="248" t="s">
        <v>3186</v>
      </c>
      <c r="K1674" s="245"/>
      <c r="L1674" s="245"/>
      <c r="M1674" s="245"/>
      <c r="N1674" s="245"/>
      <c r="O1674" s="245"/>
      <c r="P1674" s="245"/>
      <c r="Q1674" s="246"/>
      <c r="R1674" s="233"/>
      <c r="S1674" s="234">
        <f>IF(C1674="",NA(),MATCH($B1674&amp;$C1674,'Smelter Reference List'!$J:$J,0))</f>
        <v>496</v>
      </c>
      <c r="T1674" s="235"/>
      <c r="U1674" s="235">
        <f t="shared" si="48"/>
        <v>0</v>
      </c>
      <c r="V1674" s="235"/>
      <c r="W1674" s="235"/>
      <c r="Y1674" s="228" t="str">
        <f t="shared" si="49"/>
        <v>TungstenHunan Chenzhou Mining Co., Ltd.</v>
      </c>
    </row>
    <row r="1675" spans="1:25" s="228" customFormat="1" ht="20.25">
      <c r="A1675" s="161" t="s">
        <v>1416</v>
      </c>
      <c r="B1675" s="408" t="s">
        <v>2326</v>
      </c>
      <c r="C1675" s="297" t="str">
        <f>IF(LEN(A1675)=0,"",INDEX('[2]Smelter Reference List'!$C$1:$C$65536,MATCH($A1675,'[2]Smelter Reference List'!$E$1:$E$65536,0)))</f>
        <v>Hunan Chunchang Nonferrous Metals Co., Ltd.</v>
      </c>
      <c r="D1675" s="161" t="s">
        <v>2661</v>
      </c>
      <c r="E1675" s="161" t="s">
        <v>2181</v>
      </c>
      <c r="F1675" s="161" t="s">
        <v>1416</v>
      </c>
      <c r="G1675" s="161" t="s">
        <v>3125</v>
      </c>
      <c r="H1675" s="247">
        <v>0</v>
      </c>
      <c r="I1675" s="248" t="s">
        <v>3407</v>
      </c>
      <c r="J1675" s="248" t="s">
        <v>3186</v>
      </c>
      <c r="K1675" s="245"/>
      <c r="L1675" s="245"/>
      <c r="M1675" s="245"/>
      <c r="N1675" s="245"/>
      <c r="O1675" s="245"/>
      <c r="P1675" s="245"/>
      <c r="Q1675" s="246"/>
      <c r="R1675" s="233"/>
      <c r="S1675" s="234">
        <f>IF(C1675="",NA(),MATCH($B1675&amp;$C1675,'Smelter Reference List'!$J:$J,0))</f>
        <v>500</v>
      </c>
      <c r="T1675" s="235"/>
      <c r="U1675" s="235">
        <f t="shared" si="48"/>
        <v>0</v>
      </c>
      <c r="V1675" s="235"/>
      <c r="W1675" s="235"/>
      <c r="Y1675" s="228" t="str">
        <f t="shared" si="49"/>
        <v>TungstenHunan Chunchang Nonferrous Metals Co., Ltd.</v>
      </c>
    </row>
    <row r="1676" spans="1:25" s="228" customFormat="1" ht="20.25">
      <c r="A1676" s="161" t="s">
        <v>1417</v>
      </c>
      <c r="B1676" s="408" t="s">
        <v>2326</v>
      </c>
      <c r="C1676" s="297" t="str">
        <f>IF(LEN(A1676)=0,"",INDEX('[2]Smelter Reference List'!$C$1:$C$65536,MATCH($A1676,'[2]Smelter Reference List'!$E$1:$E$65536,0)))</f>
        <v>Japan New Metals Co., Ltd.</v>
      </c>
      <c r="D1676" s="161" t="s">
        <v>2662</v>
      </c>
      <c r="E1676" s="161" t="s">
        <v>2249</v>
      </c>
      <c r="F1676" s="161" t="s">
        <v>1417</v>
      </c>
      <c r="G1676" s="161" t="s">
        <v>3125</v>
      </c>
      <c r="H1676" s="247">
        <v>0</v>
      </c>
      <c r="I1676" s="248" t="s">
        <v>4138</v>
      </c>
      <c r="J1676" s="248" t="s">
        <v>3174</v>
      </c>
      <c r="K1676" s="245"/>
      <c r="L1676" s="245"/>
      <c r="M1676" s="245"/>
      <c r="N1676" s="245"/>
      <c r="O1676" s="245"/>
      <c r="P1676" s="245"/>
      <c r="Q1676" s="246"/>
      <c r="R1676" s="233"/>
      <c r="S1676" s="234">
        <f>IF(C1676="",NA(),MATCH($B1676&amp;$C1676,'Smelter Reference List'!$J:$J,0))</f>
        <v>502</v>
      </c>
      <c r="T1676" s="235"/>
      <c r="U1676" s="235">
        <f t="shared" si="48"/>
        <v>0</v>
      </c>
      <c r="V1676" s="235"/>
      <c r="W1676" s="235"/>
      <c r="Y1676" s="228" t="str">
        <f t="shared" si="49"/>
        <v>TungstenJapan New Metals Co., Ltd.</v>
      </c>
    </row>
    <row r="1677" spans="1:25" s="228" customFormat="1" ht="20.25">
      <c r="A1677" s="161" t="s">
        <v>203</v>
      </c>
      <c r="B1677" s="408" t="s">
        <v>2326</v>
      </c>
      <c r="C1677" s="297" t="str">
        <f>IF(LEN(A1677)=0,"",INDEX('[2]Smelter Reference List'!$C$1:$C$65536,MATCH($A1677,'[2]Smelter Reference List'!$E$1:$E$65536,0)))</f>
        <v>Jiangxi Xinsheng Tungsten Industry Co., Ltd.</v>
      </c>
      <c r="D1677" s="161" t="s">
        <v>215</v>
      </c>
      <c r="E1677" s="161" t="s">
        <v>2181</v>
      </c>
      <c r="F1677" s="161" t="s">
        <v>203</v>
      </c>
      <c r="G1677" s="161" t="s">
        <v>3125</v>
      </c>
      <c r="H1677" s="247">
        <v>0</v>
      </c>
      <c r="I1677" s="248" t="s">
        <v>3471</v>
      </c>
      <c r="J1677" s="248" t="s">
        <v>3204</v>
      </c>
      <c r="K1677" s="245"/>
      <c r="L1677" s="245"/>
      <c r="M1677" s="245"/>
      <c r="N1677" s="245"/>
      <c r="O1677" s="245"/>
      <c r="P1677" s="245"/>
      <c r="Q1677" s="246"/>
      <c r="R1677" s="233"/>
      <c r="S1677" s="234">
        <f>IF(C1677="",NA(),MATCH($B1677&amp;$C1677,'Smelter Reference List'!$J:$J,0))</f>
        <v>510</v>
      </c>
      <c r="T1677" s="235"/>
      <c r="U1677" s="235">
        <f t="shared" si="48"/>
        <v>0</v>
      </c>
      <c r="V1677" s="235"/>
      <c r="W1677" s="235"/>
      <c r="Y1677" s="228" t="str">
        <f t="shared" si="49"/>
        <v>TungstenJiangxi Xinsheng Tungsten Industry Co., Ltd.</v>
      </c>
    </row>
    <row r="1678" spans="1:25" s="228" customFormat="1" ht="20.25">
      <c r="A1678" s="161" t="s">
        <v>1420</v>
      </c>
      <c r="B1678" s="408" t="s">
        <v>2326</v>
      </c>
      <c r="C1678" s="297" t="str">
        <f>IF(LEN(A1678)=0,"",INDEX('[2]Smelter Reference List'!$C$1:$C$65536,MATCH($A1678,'[2]Smelter Reference List'!$E$1:$E$65536,0)))</f>
        <v>Kennametal Fallon</v>
      </c>
      <c r="D1678" s="161" t="s">
        <v>212</v>
      </c>
      <c r="E1678" s="161" t="s">
        <v>1759</v>
      </c>
      <c r="F1678" s="161" t="s">
        <v>1420</v>
      </c>
      <c r="G1678" s="161" t="s">
        <v>3125</v>
      </c>
      <c r="H1678" s="247">
        <v>0</v>
      </c>
      <c r="I1678" s="248" t="s">
        <v>3563</v>
      </c>
      <c r="J1678" s="248" t="s">
        <v>3431</v>
      </c>
      <c r="K1678" s="245"/>
      <c r="L1678" s="245"/>
      <c r="M1678" s="245"/>
      <c r="N1678" s="245"/>
      <c r="O1678" s="245"/>
      <c r="P1678" s="245"/>
      <c r="Q1678" s="246"/>
      <c r="R1678" s="233"/>
      <c r="S1678" s="234">
        <f>IF(C1678="",NA(),MATCH($B1678&amp;$C1678,'Smelter Reference List'!$J:$J,0))</f>
        <v>513</v>
      </c>
      <c r="T1678" s="235"/>
      <c r="U1678" s="235">
        <f t="shared" si="48"/>
        <v>0</v>
      </c>
      <c r="V1678" s="235"/>
      <c r="W1678" s="235"/>
      <c r="Y1678" s="228" t="str">
        <f t="shared" si="49"/>
        <v>TungstenKennametal Fallon</v>
      </c>
    </row>
    <row r="1679" spans="1:25" s="228" customFormat="1" ht="20.25">
      <c r="A1679" s="161" t="s">
        <v>1409</v>
      </c>
      <c r="B1679" s="408" t="s">
        <v>2326</v>
      </c>
      <c r="C1679" s="297" t="str">
        <f>IF(LEN(A1679)=0,"",INDEX('[2]Smelter Reference List'!$C$1:$C$65536,MATCH($A1679,'[2]Smelter Reference List'!$E$1:$E$65536,0)))</f>
        <v>Kennametal Huntsville</v>
      </c>
      <c r="D1679" s="161" t="s">
        <v>209</v>
      </c>
      <c r="E1679" s="161" t="s">
        <v>1759</v>
      </c>
      <c r="F1679" s="161" t="s">
        <v>1409</v>
      </c>
      <c r="G1679" s="161" t="s">
        <v>3125</v>
      </c>
      <c r="H1679" s="247">
        <v>0</v>
      </c>
      <c r="I1679" s="248" t="s">
        <v>3555</v>
      </c>
      <c r="J1679" s="248" t="s">
        <v>3556</v>
      </c>
      <c r="K1679" s="245"/>
      <c r="L1679" s="245"/>
      <c r="M1679" s="245"/>
      <c r="N1679" s="245"/>
      <c r="O1679" s="245"/>
      <c r="P1679" s="245"/>
      <c r="Q1679" s="246"/>
      <c r="R1679" s="233"/>
      <c r="S1679" s="234">
        <f>IF(C1679="",NA(),MATCH($B1679&amp;$C1679,'Smelter Reference List'!$J:$J,0))</f>
        <v>514</v>
      </c>
      <c r="T1679" s="235"/>
      <c r="U1679" s="235">
        <f t="shared" si="48"/>
        <v>0</v>
      </c>
      <c r="V1679" s="235"/>
      <c r="W1679" s="235"/>
      <c r="Y1679" s="228" t="str">
        <f t="shared" si="49"/>
        <v>TungstenKennametal Huntsville</v>
      </c>
    </row>
    <row r="1680" spans="1:25" s="228" customFormat="1" ht="20.25">
      <c r="A1680" s="161" t="s">
        <v>2764</v>
      </c>
      <c r="B1680" s="408" t="s">
        <v>2326</v>
      </c>
      <c r="C1680" s="297" t="str">
        <f>IF(LEN(A1680)=0,"",INDEX('[2]Smelter Reference List'!$C$1:$C$65536,MATCH($A1680,'[2]Smelter Reference List'!$E$1:$E$65536,0)))</f>
        <v>Nui Phao H.C. Starck Tungsten Chemicals Manufacturing LLC</v>
      </c>
      <c r="D1680" s="161" t="s">
        <v>2765</v>
      </c>
      <c r="E1680" s="161" t="s">
        <v>1766</v>
      </c>
      <c r="F1680" s="161" t="s">
        <v>2764</v>
      </c>
      <c r="G1680" s="161" t="s">
        <v>3125</v>
      </c>
      <c r="H1680" s="247">
        <v>0</v>
      </c>
      <c r="I1680" s="248" t="s">
        <v>3587</v>
      </c>
      <c r="J1680" s="248" t="s">
        <v>3588</v>
      </c>
      <c r="K1680" s="245"/>
      <c r="L1680" s="245"/>
      <c r="M1680" s="245"/>
      <c r="N1680" s="245"/>
      <c r="O1680" s="245"/>
      <c r="P1680" s="245"/>
      <c r="Q1680" s="246"/>
      <c r="R1680" s="233"/>
      <c r="S1680" s="234">
        <f>IF(C1680="",NA(),MATCH($B1680&amp;$C1680,'Smelter Reference List'!$J:$J,0))</f>
        <v>518</v>
      </c>
      <c r="T1680" s="235"/>
      <c r="U1680" s="235">
        <f t="shared" si="48"/>
        <v>0</v>
      </c>
      <c r="V1680" s="235"/>
      <c r="W1680" s="235"/>
      <c r="Y1680" s="228" t="str">
        <f t="shared" si="49"/>
        <v>TungstenNui Phao H.C. Starck Tungsten Chemicals Manufacturing LLC</v>
      </c>
    </row>
    <row r="1681" spans="1:25" s="228" customFormat="1" ht="20.25">
      <c r="A1681" s="161" t="s">
        <v>1422</v>
      </c>
      <c r="B1681" s="408" t="s">
        <v>2326</v>
      </c>
      <c r="C1681" s="297" t="str">
        <f>IF(LEN(A1681)=0,"",INDEX('[2]Smelter Reference List'!$C$1:$C$65536,MATCH($A1681,'[2]Smelter Reference List'!$E$1:$E$65536,0)))</f>
        <v>Wolfram Bergbau und Hütten AG</v>
      </c>
      <c r="D1681" s="161" t="s">
        <v>1785</v>
      </c>
      <c r="E1681" s="161" t="s">
        <v>2155</v>
      </c>
      <c r="F1681" s="161" t="s">
        <v>1422</v>
      </c>
      <c r="G1681" s="161" t="s">
        <v>3125</v>
      </c>
      <c r="H1681" s="247">
        <v>0</v>
      </c>
      <c r="I1681" s="248" t="s">
        <v>3566</v>
      </c>
      <c r="J1681" s="248" t="s">
        <v>3415</v>
      </c>
      <c r="K1681" s="245"/>
      <c r="L1681" s="245"/>
      <c r="M1681" s="245"/>
      <c r="N1681" s="245"/>
      <c r="O1681" s="245"/>
      <c r="P1681" s="245"/>
      <c r="Q1681" s="246"/>
      <c r="R1681" s="233"/>
      <c r="S1681" s="234">
        <f>IF(C1681="",NA(),MATCH($B1681&amp;$C1681,'Smelter Reference List'!$J:$J,0))</f>
        <v>528</v>
      </c>
      <c r="T1681" s="235"/>
      <c r="U1681" s="235">
        <f t="shared" si="48"/>
        <v>0</v>
      </c>
      <c r="V1681" s="235"/>
      <c r="W1681" s="235"/>
      <c r="Y1681" s="228" t="str">
        <f t="shared" si="49"/>
        <v>TungstenWolfram Bergbau und Hütten AG</v>
      </c>
    </row>
    <row r="1682" spans="1:25" s="228" customFormat="1" ht="20.25">
      <c r="A1682" s="161"/>
      <c r="B1682" s="408" t="s">
        <v>2326</v>
      </c>
      <c r="C1682" s="297" t="s">
        <v>3604</v>
      </c>
      <c r="D1682" s="228" t="s">
        <v>5814</v>
      </c>
      <c r="E1682" s="228" t="s">
        <v>1717</v>
      </c>
      <c r="F1682" s="161">
        <v>0</v>
      </c>
      <c r="G1682" s="228" t="s">
        <v>5584</v>
      </c>
      <c r="H1682" s="228" t="s">
        <v>5921</v>
      </c>
      <c r="I1682" s="228" t="s">
        <v>5922</v>
      </c>
      <c r="J1682" s="228" t="s">
        <v>3583</v>
      </c>
      <c r="K1682" s="228" t="s">
        <v>5923</v>
      </c>
      <c r="L1682" s="228" t="s">
        <v>5924</v>
      </c>
      <c r="M1682" s="228" t="s">
        <v>5925</v>
      </c>
      <c r="N1682" s="228" t="s">
        <v>5926</v>
      </c>
      <c r="O1682" s="228" t="s">
        <v>5927</v>
      </c>
      <c r="P1682" s="228" t="s">
        <v>5909</v>
      </c>
      <c r="Q1682" s="228" t="s">
        <v>5928</v>
      </c>
      <c r="R1682" s="233"/>
      <c r="S1682" s="234">
        <f>IF(C1682="",NA(),MATCH($B1682&amp;$C1682,'Smelter Reference List'!$J:$J,0))</f>
        <v>536</v>
      </c>
      <c r="T1682" s="235"/>
      <c r="U1682" s="235">
        <f t="shared" si="48"/>
        <v>0</v>
      </c>
      <c r="V1682" s="235"/>
      <c r="W1682" s="235"/>
      <c r="Y1682" s="228" t="str">
        <f t="shared" si="49"/>
        <v>TungstenSmelter not listed</v>
      </c>
    </row>
    <row r="1683" spans="1:25" s="228" customFormat="1" ht="20.25">
      <c r="A1683" s="161" t="s">
        <v>206</v>
      </c>
      <c r="B1683" s="408" t="s">
        <v>2326</v>
      </c>
      <c r="C1683" s="297" t="str">
        <f>IF(LEN(A1683)=0,"",INDEX('[2]Smelter Reference List'!$C$1:$C$65536,MATCH($A1683,'[2]Smelter Reference List'!$E$1:$E$65536,0)))</f>
        <v>Xiamen Tungsten (H.C.) Co., Ltd.</v>
      </c>
      <c r="D1683" s="161" t="s">
        <v>218</v>
      </c>
      <c r="E1683" s="161" t="s">
        <v>2181</v>
      </c>
      <c r="F1683" s="161" t="s">
        <v>206</v>
      </c>
      <c r="G1683" s="161" t="s">
        <v>3125</v>
      </c>
      <c r="H1683" s="247">
        <v>0</v>
      </c>
      <c r="I1683" s="248" t="s">
        <v>3569</v>
      </c>
      <c r="J1683" s="248" t="s">
        <v>3332</v>
      </c>
      <c r="K1683" s="245"/>
      <c r="L1683" s="245"/>
      <c r="M1683" s="245"/>
      <c r="N1683" s="245"/>
      <c r="O1683" s="245"/>
      <c r="P1683" s="245"/>
      <c r="Q1683" s="246"/>
      <c r="R1683" s="233"/>
      <c r="S1683" s="234">
        <f>IF(C1683="",NA(),MATCH($B1683&amp;$C1683,'Smelter Reference List'!$J:$J,0))</f>
        <v>531</v>
      </c>
      <c r="T1683" s="235"/>
      <c r="U1683" s="235">
        <f t="shared" si="48"/>
        <v>0</v>
      </c>
      <c r="V1683" s="235"/>
      <c r="W1683" s="235"/>
      <c r="Y1683" s="228" t="str">
        <f t="shared" si="49"/>
        <v>TungstenXiamen Tungsten (H.C.) Co., Ltd.</v>
      </c>
    </row>
    <row r="1684" spans="1:25" s="228" customFormat="1" ht="20.25">
      <c r="A1684" s="161" t="s">
        <v>1423</v>
      </c>
      <c r="B1684" s="408" t="s">
        <v>2326</v>
      </c>
      <c r="C1684" s="297" t="str">
        <f>IF(LEN(A1684)=0,"",INDEX('[2]Smelter Reference List'!$C$1:$C$65536,MATCH($A1684,'[2]Smelter Reference List'!$E$1:$E$65536,0)))</f>
        <v>Xiamen Tungsten Co., Ltd.</v>
      </c>
      <c r="D1684" s="161" t="s">
        <v>2663</v>
      </c>
      <c r="E1684" s="161" t="s">
        <v>2181</v>
      </c>
      <c r="F1684" s="161" t="s">
        <v>1423</v>
      </c>
      <c r="G1684" s="161" t="s">
        <v>3125</v>
      </c>
      <c r="H1684" s="247">
        <v>0</v>
      </c>
      <c r="I1684" s="248" t="s">
        <v>3569</v>
      </c>
      <c r="J1684" s="248" t="s">
        <v>3332</v>
      </c>
      <c r="K1684" s="245"/>
      <c r="L1684" s="245"/>
      <c r="M1684" s="245"/>
      <c r="N1684" s="245"/>
      <c r="O1684" s="245"/>
      <c r="P1684" s="245"/>
      <c r="Q1684" s="246"/>
      <c r="R1684" s="233"/>
      <c r="S1684" s="234">
        <f>IF(C1684="",NA(),MATCH($B1684&amp;$C1684,'Smelter Reference List'!$J:$J,0))</f>
        <v>532</v>
      </c>
      <c r="T1684" s="235"/>
      <c r="U1684" s="235">
        <f t="shared" si="48"/>
        <v>0</v>
      </c>
      <c r="V1684" s="235"/>
      <c r="W1684" s="235"/>
      <c r="Y1684" s="228" t="str">
        <f t="shared" si="49"/>
        <v>TungstenXiamen Tungsten Co., Ltd.</v>
      </c>
    </row>
    <row r="1685" spans="1:25" s="228" customFormat="1" ht="20.25">
      <c r="A1685" s="161"/>
      <c r="B1685" s="408" t="s">
        <v>2326</v>
      </c>
      <c r="C1685" s="297" t="s">
        <v>3604</v>
      </c>
      <c r="D1685" s="228" t="s">
        <v>5929</v>
      </c>
      <c r="E1685" s="228" t="s">
        <v>2181</v>
      </c>
      <c r="F1685" s="161">
        <v>0</v>
      </c>
      <c r="G1685" s="228" t="s">
        <v>5584</v>
      </c>
      <c r="H1685" s="228" t="s">
        <v>5930</v>
      </c>
      <c r="I1685" s="228" t="s">
        <v>3395</v>
      </c>
      <c r="J1685" s="228" t="s">
        <v>3186</v>
      </c>
      <c r="K1685" s="228" t="s">
        <v>5931</v>
      </c>
      <c r="L1685" s="228" t="s">
        <v>5931</v>
      </c>
      <c r="M1685" s="228" t="s">
        <v>5909</v>
      </c>
      <c r="N1685" s="228" t="s">
        <v>5909</v>
      </c>
      <c r="O1685" s="228" t="s">
        <v>5909</v>
      </c>
      <c r="P1685" s="228" t="s">
        <v>5909</v>
      </c>
      <c r="Q1685" s="228" t="s">
        <v>5932</v>
      </c>
      <c r="R1685" s="233"/>
      <c r="S1685" s="234">
        <f>IF(C1685="",NA(),MATCH($B1685&amp;$C1685,'Smelter Reference List'!$J:$J,0))</f>
        <v>536</v>
      </c>
      <c r="T1685" s="235"/>
      <c r="U1685" s="235">
        <f t="shared" si="48"/>
        <v>0</v>
      </c>
      <c r="V1685" s="235"/>
      <c r="W1685" s="235"/>
      <c r="Y1685" s="228" t="str">
        <f t="shared" si="49"/>
        <v>TungstenSmelter not listed</v>
      </c>
    </row>
    <row r="1686" spans="1:25" s="228" customFormat="1" ht="20.25">
      <c r="A1686" s="161" t="s">
        <v>1419</v>
      </c>
      <c r="B1686" s="408" t="s">
        <v>2326</v>
      </c>
      <c r="C1686" s="297" t="str">
        <f>IF(LEN(A1686)=0,"",INDEX('[2]Smelter Reference List'!$C$1:$C$65536,MATCH($A1686,'[2]Smelter Reference List'!$E$1:$E$65536,0)))</f>
        <v>Ganzhou Huaxing Tungsten Products Co., Ltd.</v>
      </c>
      <c r="D1686" s="161" t="s">
        <v>211</v>
      </c>
      <c r="E1686" s="161" t="s">
        <v>2181</v>
      </c>
      <c r="F1686" s="161" t="s">
        <v>1419</v>
      </c>
      <c r="G1686" s="161" t="s">
        <v>3125</v>
      </c>
      <c r="H1686" s="247">
        <v>0</v>
      </c>
      <c r="I1686" s="248" t="s">
        <v>3471</v>
      </c>
      <c r="J1686" s="248" t="s">
        <v>3204</v>
      </c>
      <c r="K1686" s="245"/>
      <c r="L1686" s="245"/>
      <c r="M1686" s="245"/>
      <c r="N1686" s="245"/>
      <c r="O1686" s="245"/>
      <c r="P1686" s="245"/>
      <c r="Q1686" s="246"/>
      <c r="R1686" s="233"/>
      <c r="S1686" s="234">
        <f>IF(C1686="",NA(),MATCH($B1686&amp;$C1686,'Smelter Reference List'!$J:$J,0))</f>
        <v>485</v>
      </c>
      <c r="T1686" s="235"/>
      <c r="U1686" s="235">
        <f t="shared" si="48"/>
        <v>0</v>
      </c>
      <c r="V1686" s="235"/>
      <c r="W1686" s="235"/>
      <c r="Y1686" s="228" t="str">
        <f t="shared" si="49"/>
        <v>TungstenGanzhou Huaxing Tungsten Products Co., Ltd.</v>
      </c>
    </row>
    <row r="1687" spans="1:25" s="228" customFormat="1" ht="20.25">
      <c r="A1687" s="161" t="s">
        <v>1322</v>
      </c>
      <c r="B1687" s="408" t="s">
        <v>2323</v>
      </c>
      <c r="C1687" s="297" t="str">
        <f>IF(LEN(A1687)=0,"",INDEX('[2]Smelter Reference List'!$C$1:$C$65536,MATCH($A1687,'[2]Smelter Reference List'!$E$1:$E$65536,0)))</f>
        <v>Tanaka Kikinzoku Kogyo K.K.</v>
      </c>
      <c r="D1687" s="161" t="s">
        <v>2457</v>
      </c>
      <c r="E1687" s="161" t="s">
        <v>2249</v>
      </c>
      <c r="F1687" s="161" t="s">
        <v>1322</v>
      </c>
      <c r="G1687" s="161" t="s">
        <v>3125</v>
      </c>
      <c r="H1687" s="247">
        <v>0</v>
      </c>
      <c r="I1687" s="248" t="s">
        <v>3299</v>
      </c>
      <c r="J1687" s="248" t="s">
        <v>3300</v>
      </c>
      <c r="K1687" s="245"/>
      <c r="L1687" s="245"/>
      <c r="M1687" s="245"/>
      <c r="N1687" s="245"/>
      <c r="O1687" s="245"/>
      <c r="P1687" s="245"/>
      <c r="Q1687" s="246"/>
      <c r="R1687" s="233"/>
      <c r="S1687" s="234">
        <f>IF(C1687="",NA(),MATCH($B1687&amp;$C1687,'Smelter Reference List'!$J:$J,0))</f>
        <v>200</v>
      </c>
      <c r="T1687" s="235"/>
      <c r="U1687" s="235">
        <f t="shared" si="48"/>
        <v>0</v>
      </c>
      <c r="V1687" s="235"/>
      <c r="W1687" s="235"/>
      <c r="Y1687" s="228" t="str">
        <f t="shared" si="49"/>
        <v>GoldTanaka Kikinzoku Kogyo K.K.</v>
      </c>
    </row>
    <row r="1688" spans="1:25" s="228" customFormat="1" ht="20.25">
      <c r="A1688" s="161" t="s">
        <v>1332</v>
      </c>
      <c r="B1688" s="408" t="s">
        <v>2323</v>
      </c>
      <c r="C1688" s="297" t="str">
        <f>IF(LEN(A1688)=0,"",INDEX('[2]Smelter Reference List'!$C$1:$C$65536,MATCH($A1688,'[2]Smelter Reference List'!$E$1:$E$65536,0)))</f>
        <v>Western Australian Mint trading as The Perth Mint</v>
      </c>
      <c r="D1688" s="161" t="s">
        <v>2322</v>
      </c>
      <c r="E1688" s="161" t="s">
        <v>2154</v>
      </c>
      <c r="F1688" s="161" t="s">
        <v>1332</v>
      </c>
      <c r="G1688" s="161" t="s">
        <v>3125</v>
      </c>
      <c r="H1688" s="247">
        <v>0</v>
      </c>
      <c r="I1688" s="248" t="s">
        <v>3318</v>
      </c>
      <c r="J1688" s="248" t="s">
        <v>3319</v>
      </c>
      <c r="K1688" s="245"/>
      <c r="L1688" s="245"/>
      <c r="M1688" s="245"/>
      <c r="N1688" s="245"/>
      <c r="O1688" s="245"/>
      <c r="P1688" s="245"/>
      <c r="Q1688" s="246"/>
      <c r="R1688" s="233"/>
      <c r="S1688" s="234">
        <f>IF(C1688="",NA(),MATCH($B1688&amp;$C1688,'Smelter Reference List'!$J:$J,0))</f>
        <v>218</v>
      </c>
      <c r="T1688" s="235"/>
      <c r="U1688" s="235">
        <f t="shared" si="48"/>
        <v>0</v>
      </c>
      <c r="V1688" s="235"/>
      <c r="W1688" s="235"/>
      <c r="Y1688" s="228" t="str">
        <f t="shared" si="49"/>
        <v>GoldWestern Australian Mint trading as The Perth Mint</v>
      </c>
    </row>
    <row r="1689" spans="1:25" s="228" customFormat="1" ht="20.25">
      <c r="A1689" s="161" t="s">
        <v>1286</v>
      </c>
      <c r="B1689" s="408" t="s">
        <v>2323</v>
      </c>
      <c r="C1689" s="297" t="str">
        <f>IF(LEN(A1689)=0,"",INDEX('[2]Smelter Reference List'!$C$1:$C$65536,MATCH($A1689,'[2]Smelter Reference List'!$E$1:$E$65536,0)))</f>
        <v>LS-NIKKO Copper Inc.</v>
      </c>
      <c r="D1689" s="161" t="s">
        <v>74</v>
      </c>
      <c r="E1689" s="161" t="s">
        <v>2256</v>
      </c>
      <c r="F1689" s="161" t="s">
        <v>1286</v>
      </c>
      <c r="G1689" s="161" t="s">
        <v>3125</v>
      </c>
      <c r="H1689" s="247">
        <v>0</v>
      </c>
      <c r="I1689" s="248" t="s">
        <v>3225</v>
      </c>
      <c r="J1689" s="248" t="s">
        <v>3226</v>
      </c>
      <c r="K1689" s="245"/>
      <c r="L1689" s="245"/>
      <c r="M1689" s="245"/>
      <c r="N1689" s="245"/>
      <c r="O1689" s="245"/>
      <c r="P1689" s="245"/>
      <c r="Q1689" s="246"/>
      <c r="R1689" s="233"/>
      <c r="S1689" s="234">
        <f>IF(C1689="",NA(),MATCH($B1689&amp;$C1689,'Smelter Reference List'!$J:$J,0))</f>
        <v>111</v>
      </c>
      <c r="T1689" s="235"/>
      <c r="U1689" s="235">
        <f t="shared" si="48"/>
        <v>0</v>
      </c>
      <c r="V1689" s="235"/>
      <c r="W1689" s="235"/>
      <c r="Y1689" s="228" t="str">
        <f t="shared" si="49"/>
        <v>GoldLS-NIKKO Copper Inc.</v>
      </c>
    </row>
    <row r="1690" spans="1:25" s="228" customFormat="1" ht="20.25">
      <c r="A1690" s="161" t="s">
        <v>1290</v>
      </c>
      <c r="B1690" s="408" t="s">
        <v>2323</v>
      </c>
      <c r="C1690" s="297" t="str">
        <f>IF(LEN(A1690)=0,"",INDEX('[2]Smelter Reference List'!$C$1:$C$65536,MATCH($A1690,'[2]Smelter Reference List'!$E$1:$E$65536,0)))</f>
        <v>Matsuda Sangyo Co., Ltd.</v>
      </c>
      <c r="D1690" s="161" t="s">
        <v>75</v>
      </c>
      <c r="E1690" s="161" t="s">
        <v>2249</v>
      </c>
      <c r="F1690" s="161" t="s">
        <v>1290</v>
      </c>
      <c r="G1690" s="161" t="s">
        <v>3125</v>
      </c>
      <c r="H1690" s="247">
        <v>0</v>
      </c>
      <c r="I1690" s="248" t="s">
        <v>3231</v>
      </c>
      <c r="J1690" s="248" t="s">
        <v>3179</v>
      </c>
      <c r="K1690" s="245"/>
      <c r="L1690" s="245"/>
      <c r="M1690" s="245"/>
      <c r="N1690" s="245"/>
      <c r="O1690" s="245"/>
      <c r="P1690" s="245"/>
      <c r="Q1690" s="246"/>
      <c r="R1690" s="233"/>
      <c r="S1690" s="234">
        <f>IF(C1690="",NA(),MATCH($B1690&amp;$C1690,'Smelter Reference List'!$J:$J,0))</f>
        <v>116</v>
      </c>
      <c r="T1690" s="235"/>
      <c r="U1690" s="235">
        <f t="shared" si="48"/>
        <v>0</v>
      </c>
      <c r="V1690" s="235"/>
      <c r="W1690" s="235"/>
      <c r="Y1690" s="228" t="str">
        <f t="shared" si="49"/>
        <v>GoldMatsuda Sangyo Co., Ltd.</v>
      </c>
    </row>
    <row r="1691" spans="1:25" s="228" customFormat="1" ht="20.25">
      <c r="A1691" s="161" t="s">
        <v>1264</v>
      </c>
      <c r="B1691" s="408" t="s">
        <v>2323</v>
      </c>
      <c r="C1691" s="297" t="str">
        <f>IF(LEN(A1691)=0,"",INDEX('[2]Smelter Reference List'!$C$1:$C$65536,MATCH($A1691,'[2]Smelter Reference List'!$E$1:$E$65536,0)))</f>
        <v>Heraeus Ltd. Hong Kong</v>
      </c>
      <c r="D1691" s="161" t="s">
        <v>72</v>
      </c>
      <c r="E1691" s="161" t="s">
        <v>2181</v>
      </c>
      <c r="F1691" s="161" t="s">
        <v>1264</v>
      </c>
      <c r="G1691" s="161" t="s">
        <v>3125</v>
      </c>
      <c r="H1691" s="247">
        <v>0</v>
      </c>
      <c r="I1691" s="248" t="s">
        <v>3190</v>
      </c>
      <c r="J1691" s="248" t="s">
        <v>3191</v>
      </c>
      <c r="K1691" s="245"/>
      <c r="L1691" s="245"/>
      <c r="M1691" s="245"/>
      <c r="N1691" s="245"/>
      <c r="O1691" s="245"/>
      <c r="P1691" s="245"/>
      <c r="Q1691" s="246"/>
      <c r="R1691" s="233"/>
      <c r="S1691" s="234">
        <f>IF(C1691="",NA(),MATCH($B1691&amp;$C1691,'Smelter Reference List'!$J:$J,0))</f>
        <v>75</v>
      </c>
      <c r="T1691" s="235"/>
      <c r="U1691" s="235">
        <f t="shared" si="48"/>
        <v>0</v>
      </c>
      <c r="V1691" s="235"/>
      <c r="W1691" s="235"/>
      <c r="Y1691" s="228" t="str">
        <f t="shared" si="49"/>
        <v>GoldHeraeus Ltd. Hong Kong</v>
      </c>
    </row>
    <row r="1692" spans="1:25" s="228" customFormat="1" ht="20.25">
      <c r="A1692" s="161" t="s">
        <v>1296</v>
      </c>
      <c r="B1692" s="408" t="s">
        <v>2323</v>
      </c>
      <c r="C1692" s="297" t="str">
        <f>IF(LEN(A1692)=0,"",INDEX('[2]Smelter Reference List'!$C$1:$C$65536,MATCH($A1692,'[2]Smelter Reference List'!$E$1:$E$65536,0)))</f>
        <v>Mitsubishi Materials Corporation</v>
      </c>
      <c r="D1692" s="161" t="s">
        <v>2371</v>
      </c>
      <c r="E1692" s="161" t="s">
        <v>2249</v>
      </c>
      <c r="F1692" s="161" t="s">
        <v>1296</v>
      </c>
      <c r="G1692" s="161" t="s">
        <v>3125</v>
      </c>
      <c r="H1692" s="247">
        <v>0</v>
      </c>
      <c r="I1692" s="248" t="s">
        <v>3245</v>
      </c>
      <c r="J1692" s="248" t="s">
        <v>4283</v>
      </c>
      <c r="K1692" s="245"/>
      <c r="L1692" s="245"/>
      <c r="M1692" s="245"/>
      <c r="N1692" s="245"/>
      <c r="O1692" s="245"/>
      <c r="P1692" s="245"/>
      <c r="Q1692" s="246"/>
      <c r="R1692" s="233"/>
      <c r="S1692" s="234">
        <f>IF(C1692="",NA(),MATCH($B1692&amp;$C1692,'Smelter Reference List'!$J:$J,0))</f>
        <v>128</v>
      </c>
      <c r="T1692" s="235"/>
      <c r="U1692" s="235">
        <f t="shared" si="48"/>
        <v>0</v>
      </c>
      <c r="V1692" s="235"/>
      <c r="W1692" s="235"/>
      <c r="Y1692" s="228" t="str">
        <f t="shared" si="49"/>
        <v>GoldMitsubishi Materials Corporation</v>
      </c>
    </row>
    <row r="1693" spans="1:25" s="228" customFormat="1" ht="20.25">
      <c r="A1693" s="161" t="s">
        <v>1277</v>
      </c>
      <c r="B1693" s="408" t="s">
        <v>2323</v>
      </c>
      <c r="C1693" s="297" t="str">
        <f>IF(LEN(A1693)=0,"",INDEX('[2]Smelter Reference List'!$C$1:$C$65536,MATCH($A1693,'[2]Smelter Reference List'!$E$1:$E$65536,0)))</f>
        <v>JX Nippon Mining &amp; Metals Co., Ltd.</v>
      </c>
      <c r="D1693" s="161" t="s">
        <v>73</v>
      </c>
      <c r="E1693" s="161" t="s">
        <v>2249</v>
      </c>
      <c r="F1693" s="161" t="s">
        <v>1277</v>
      </c>
      <c r="G1693" s="161" t="s">
        <v>3125</v>
      </c>
      <c r="H1693" s="247">
        <v>0</v>
      </c>
      <c r="I1693" s="248" t="s">
        <v>4844</v>
      </c>
      <c r="J1693" s="248" t="s">
        <v>4844</v>
      </c>
      <c r="K1693" s="245"/>
      <c r="L1693" s="245"/>
      <c r="M1693" s="245"/>
      <c r="N1693" s="245"/>
      <c r="O1693" s="245"/>
      <c r="P1693" s="245"/>
      <c r="Q1693" s="246"/>
      <c r="R1693" s="233"/>
      <c r="S1693" s="234">
        <f>IF(C1693="",NA(),MATCH($B1693&amp;$C1693,'Smelter Reference List'!$J:$J,0))</f>
        <v>93</v>
      </c>
      <c r="T1693" s="235"/>
      <c r="U1693" s="235">
        <f t="shared" si="48"/>
        <v>0</v>
      </c>
      <c r="V1693" s="235"/>
      <c r="W1693" s="235"/>
      <c r="Y1693" s="228" t="str">
        <f t="shared" si="49"/>
        <v>GoldJX Nippon Mining &amp; Metals Co., Ltd.</v>
      </c>
    </row>
    <row r="1694" spans="1:25" s="228" customFormat="1" ht="20.25">
      <c r="A1694" s="161" t="s">
        <v>1407</v>
      </c>
      <c r="B1694" s="408" t="s">
        <v>2324</v>
      </c>
      <c r="C1694" s="297" t="str">
        <f>IF(LEN(A1694)=0,"",INDEX('[2]Smelter Reference List'!$C$1:$C$65536,MATCH($A1694,'[2]Smelter Reference List'!$E$1:$E$65536,0)))</f>
        <v>Yunnan Tin Company Limited</v>
      </c>
      <c r="D1694" s="161" t="s">
        <v>4749</v>
      </c>
      <c r="E1694" s="161" t="s">
        <v>2181</v>
      </c>
      <c r="F1694" s="161" t="s">
        <v>1407</v>
      </c>
      <c r="G1694" s="161" t="s">
        <v>3125</v>
      </c>
      <c r="H1694" s="247">
        <v>0</v>
      </c>
      <c r="I1694" s="248" t="s">
        <v>3468</v>
      </c>
      <c r="J1694" s="248" t="s">
        <v>3161</v>
      </c>
      <c r="K1694" s="245"/>
      <c r="L1694" s="245"/>
      <c r="M1694" s="245"/>
      <c r="N1694" s="245"/>
      <c r="O1694" s="245"/>
      <c r="P1694" s="245"/>
      <c r="Q1694" s="246"/>
      <c r="R1694" s="233"/>
      <c r="S1694" s="234">
        <f>IF(C1694="",NA(),MATCH($B1694&amp;$C1694,'Smelter Reference List'!$J:$J,0))</f>
        <v>462</v>
      </c>
      <c r="T1694" s="235"/>
      <c r="U1694" s="235">
        <f t="shared" si="48"/>
        <v>0</v>
      </c>
      <c r="V1694" s="235"/>
      <c r="W1694" s="235"/>
      <c r="Y1694" s="228" t="str">
        <f t="shared" si="49"/>
        <v>TinYunnan Tin Company Limited</v>
      </c>
    </row>
    <row r="1695" spans="1:25" s="228" customFormat="1" ht="20.25">
      <c r="A1695" s="161" t="s">
        <v>1378</v>
      </c>
      <c r="B1695" s="408" t="s">
        <v>2324</v>
      </c>
      <c r="C1695" s="297" t="str">
        <f>IF(LEN(A1695)=0,"",INDEX('[2]Smelter Reference List'!$C$1:$C$65536,MATCH($A1695,'[2]Smelter Reference List'!$E$1:$E$65536,0)))</f>
        <v>Malaysia Smelting Corporation (MSC)</v>
      </c>
      <c r="D1695" s="161" t="s">
        <v>1471</v>
      </c>
      <c r="E1695" s="161" t="s">
        <v>2289</v>
      </c>
      <c r="F1695" s="161" t="s">
        <v>1378</v>
      </c>
      <c r="G1695" s="161" t="s">
        <v>3125</v>
      </c>
      <c r="H1695" s="247">
        <v>0</v>
      </c>
      <c r="I1695" s="248" t="s">
        <v>3481</v>
      </c>
      <c r="J1695" s="248" t="s">
        <v>3482</v>
      </c>
      <c r="K1695" s="245"/>
      <c r="L1695" s="245"/>
      <c r="M1695" s="245"/>
      <c r="N1695" s="245"/>
      <c r="O1695" s="245"/>
      <c r="P1695" s="245"/>
      <c r="Q1695" s="246"/>
      <c r="R1695" s="233"/>
      <c r="S1695" s="234">
        <f>IF(C1695="",NA(),MATCH($B1695&amp;$C1695,'Smelter Reference List'!$J:$J,0))</f>
        <v>377</v>
      </c>
      <c r="T1695" s="235"/>
      <c r="U1695" s="235">
        <f t="shared" si="48"/>
        <v>0</v>
      </c>
      <c r="V1695" s="235"/>
      <c r="W1695" s="235"/>
      <c r="Y1695" s="228" t="str">
        <f t="shared" si="49"/>
        <v>TinMalaysia Smelting Corporation (MSC)</v>
      </c>
    </row>
    <row r="1696" spans="1:25" s="228" customFormat="1" ht="20.25">
      <c r="A1696" s="161" t="s">
        <v>1378</v>
      </c>
      <c r="B1696" s="408" t="s">
        <v>2324</v>
      </c>
      <c r="C1696" s="297" t="str">
        <f>IF(LEN(A1696)=0,"",INDEX('[2]Smelter Reference List'!$C$1:$C$65536,MATCH($A1696,'[2]Smelter Reference List'!$E$1:$E$65536,0)))</f>
        <v>Malaysia Smelting Corporation (MSC)</v>
      </c>
      <c r="D1696" s="161" t="s">
        <v>1471</v>
      </c>
      <c r="E1696" s="161" t="s">
        <v>2289</v>
      </c>
      <c r="F1696" s="161" t="s">
        <v>1378</v>
      </c>
      <c r="G1696" s="161" t="s">
        <v>3125</v>
      </c>
      <c r="H1696" s="247">
        <v>0</v>
      </c>
      <c r="I1696" s="248" t="s">
        <v>3481</v>
      </c>
      <c r="J1696" s="248" t="s">
        <v>3482</v>
      </c>
      <c r="K1696" s="245"/>
      <c r="L1696" s="245"/>
      <c r="M1696" s="245"/>
      <c r="N1696" s="245"/>
      <c r="O1696" s="245"/>
      <c r="P1696" s="245"/>
      <c r="Q1696" s="246"/>
      <c r="R1696" s="233"/>
      <c r="S1696" s="234">
        <f>IF(C1696="",NA(),MATCH($B1696&amp;$C1696,'Smelter Reference List'!$J:$J,0))</f>
        <v>377</v>
      </c>
      <c r="T1696" s="235"/>
      <c r="U1696" s="235">
        <f t="shared" si="48"/>
        <v>0</v>
      </c>
      <c r="V1696" s="235"/>
      <c r="W1696" s="235"/>
      <c r="Y1696" s="228" t="str">
        <f t="shared" si="49"/>
        <v>TinMalaysia Smelting Corporation (MSC)</v>
      </c>
    </row>
    <row r="1697" spans="1:25" s="228" customFormat="1" ht="20.25">
      <c r="A1697" s="161" t="s">
        <v>1399</v>
      </c>
      <c r="B1697" s="408" t="s">
        <v>2324</v>
      </c>
      <c r="C1697" s="297" t="str">
        <f>IF(LEN(A1697)=0,"",INDEX('[2]Smelter Reference List'!$C$1:$C$65536,MATCH($A1697,'[2]Smelter Reference List'!$E$1:$E$65536,0)))</f>
        <v>PT Timah (Persero) Tbk Mentok</v>
      </c>
      <c r="D1697" s="161" t="s">
        <v>4266</v>
      </c>
      <c r="E1697" s="161" t="s">
        <v>2238</v>
      </c>
      <c r="F1697" s="161" t="s">
        <v>1399</v>
      </c>
      <c r="G1697" s="161" t="s">
        <v>3125</v>
      </c>
      <c r="H1697" s="247">
        <v>0</v>
      </c>
      <c r="I1697" s="248" t="s">
        <v>3507</v>
      </c>
      <c r="J1697" s="248" t="s">
        <v>3454</v>
      </c>
      <c r="K1697" s="245"/>
      <c r="L1697" s="245"/>
      <c r="M1697" s="245"/>
      <c r="N1697" s="245"/>
      <c r="O1697" s="245"/>
      <c r="P1697" s="245"/>
      <c r="Q1697" s="246"/>
      <c r="R1697" s="233"/>
      <c r="S1697" s="234">
        <f>IF(C1697="",NA(),MATCH($B1697&amp;$C1697,'Smelter Reference List'!$J:$J,0))</f>
        <v>432</v>
      </c>
      <c r="T1697" s="235"/>
      <c r="U1697" s="235">
        <f t="shared" si="48"/>
        <v>0</v>
      </c>
      <c r="V1697" s="235"/>
      <c r="W1697" s="235"/>
      <c r="Y1697" s="228" t="str">
        <f t="shared" si="49"/>
        <v>TinPT Timah (Persero) Tbk Mentok</v>
      </c>
    </row>
    <row r="1698" spans="1:25" s="228" customFormat="1" ht="20.25">
      <c r="A1698" s="161" t="s">
        <v>1424</v>
      </c>
      <c r="B1698" s="408" t="s">
        <v>2324</v>
      </c>
      <c r="C1698" s="297" t="str">
        <f>IF(LEN(A1698)=0,"",INDEX('[2]Smelter Reference List'!$C$1:$C$65536,MATCH($A1698,'[2]Smelter Reference List'!$E$1:$E$65536,0)))</f>
        <v>PT Timah (Persero) Tbk Kundur</v>
      </c>
      <c r="D1698" s="161" t="s">
        <v>3503</v>
      </c>
      <c r="E1698" s="161" t="s">
        <v>2238</v>
      </c>
      <c r="F1698" s="161" t="s">
        <v>1424</v>
      </c>
      <c r="G1698" s="161" t="s">
        <v>3125</v>
      </c>
      <c r="H1698" s="247">
        <v>0</v>
      </c>
      <c r="I1698" s="248" t="s">
        <v>3504</v>
      </c>
      <c r="J1698" s="248" t="s">
        <v>3505</v>
      </c>
      <c r="K1698" s="245"/>
      <c r="L1698" s="245"/>
      <c r="M1698" s="245"/>
      <c r="N1698" s="245"/>
      <c r="O1698" s="245"/>
      <c r="P1698" s="245"/>
      <c r="Q1698" s="246"/>
      <c r="R1698" s="233"/>
      <c r="S1698" s="234">
        <f>IF(C1698="",NA(),MATCH($B1698&amp;$C1698,'Smelter Reference List'!$J:$J,0))</f>
        <v>431</v>
      </c>
      <c r="T1698" s="235"/>
      <c r="U1698" s="235">
        <f t="shared" si="48"/>
        <v>0</v>
      </c>
      <c r="V1698" s="235"/>
      <c r="W1698" s="235"/>
      <c r="Y1698" s="228" t="str">
        <f t="shared" si="49"/>
        <v>TinPT Timah (Persero) Tbk Kundur</v>
      </c>
    </row>
    <row r="1699" spans="1:25" s="228" customFormat="1" ht="20.25">
      <c r="A1699" s="161" t="s">
        <v>1404</v>
      </c>
      <c r="B1699" s="408" t="s">
        <v>2324</v>
      </c>
      <c r="C1699" s="297" t="str">
        <f>IF(LEN(A1699)=0,"",INDEX('[2]Smelter Reference List'!$C$1:$C$65536,MATCH($A1699,'[2]Smelter Reference List'!$E$1:$E$65536,0)))</f>
        <v>Thaisarco</v>
      </c>
      <c r="D1699" s="161" t="s">
        <v>1951</v>
      </c>
      <c r="E1699" s="161" t="s">
        <v>1743</v>
      </c>
      <c r="F1699" s="161" t="s">
        <v>1404</v>
      </c>
      <c r="G1699" s="161" t="s">
        <v>3125</v>
      </c>
      <c r="H1699" s="247">
        <v>0</v>
      </c>
      <c r="I1699" s="248" t="s">
        <v>3510</v>
      </c>
      <c r="J1699" s="248" t="s">
        <v>3511</v>
      </c>
      <c r="K1699" s="245"/>
      <c r="L1699" s="245"/>
      <c r="M1699" s="245"/>
      <c r="N1699" s="245"/>
      <c r="O1699" s="245"/>
      <c r="P1699" s="245"/>
      <c r="Q1699" s="246"/>
      <c r="R1699" s="233"/>
      <c r="S1699" s="234">
        <f>IF(C1699="",NA(),MATCH($B1699&amp;$C1699,'Smelter Reference List'!$J:$J,0))</f>
        <v>445</v>
      </c>
      <c r="T1699" s="235"/>
      <c r="U1699" s="235">
        <f t="shared" si="48"/>
        <v>0</v>
      </c>
      <c r="V1699" s="235"/>
      <c r="W1699" s="235"/>
      <c r="Y1699" s="228" t="str">
        <f t="shared" si="49"/>
        <v>TinThaisarco</v>
      </c>
    </row>
    <row r="1700" spans="1:25" s="228" customFormat="1" ht="20.25">
      <c r="A1700" s="161" t="s">
        <v>1423</v>
      </c>
      <c r="B1700" s="408" t="s">
        <v>2326</v>
      </c>
      <c r="C1700" s="297" t="str">
        <f>IF(LEN(A1700)=0,"",INDEX('[2]Smelter Reference List'!$C$1:$C$65536,MATCH($A1700,'[2]Smelter Reference List'!$E$1:$E$65536,0)))</f>
        <v>Xiamen Tungsten Co., Ltd.</v>
      </c>
      <c r="D1700" s="161" t="s">
        <v>2663</v>
      </c>
      <c r="E1700" s="161" t="s">
        <v>2181</v>
      </c>
      <c r="F1700" s="161" t="s">
        <v>1423</v>
      </c>
      <c r="G1700" s="161" t="s">
        <v>3125</v>
      </c>
      <c r="H1700" s="247">
        <v>0</v>
      </c>
      <c r="I1700" s="248" t="s">
        <v>3569</v>
      </c>
      <c r="J1700" s="248" t="s">
        <v>3332</v>
      </c>
      <c r="K1700" s="245"/>
      <c r="L1700" s="245"/>
      <c r="M1700" s="245"/>
      <c r="N1700" s="245"/>
      <c r="O1700" s="245"/>
      <c r="P1700" s="245"/>
      <c r="Q1700" s="246"/>
      <c r="R1700" s="233"/>
      <c r="S1700" s="234">
        <f>IF(C1700="",NA(),MATCH($B1700&amp;$C1700,'Smelter Reference List'!$J:$J,0))</f>
        <v>532</v>
      </c>
      <c r="T1700" s="235"/>
      <c r="U1700" s="235">
        <f t="shared" si="48"/>
        <v>0</v>
      </c>
      <c r="V1700" s="235"/>
      <c r="W1700" s="235"/>
      <c r="Y1700" s="228" t="str">
        <f t="shared" si="49"/>
        <v>TungstenXiamen Tungsten Co., Ltd.</v>
      </c>
    </row>
    <row r="1701" spans="1:25" s="228" customFormat="1" ht="20.25">
      <c r="A1701" s="161" t="s">
        <v>1408</v>
      </c>
      <c r="B1701" s="408" t="s">
        <v>2326</v>
      </c>
      <c r="C1701" s="297" t="str">
        <f>IF(LEN(A1701)=0,"",INDEX('[2]Smelter Reference List'!$C$1:$C$65536,MATCH($A1701,'[2]Smelter Reference List'!$E$1:$E$65536,0)))</f>
        <v>A.L.M.T. TUNGSTEN Corp.</v>
      </c>
      <c r="D1701" s="161" t="s">
        <v>3552</v>
      </c>
      <c r="E1701" s="161" t="s">
        <v>2249</v>
      </c>
      <c r="F1701" s="161" t="s">
        <v>1408</v>
      </c>
      <c r="G1701" s="161" t="s">
        <v>3125</v>
      </c>
      <c r="H1701" s="247">
        <v>0</v>
      </c>
      <c r="I1701" s="248" t="s">
        <v>4135</v>
      </c>
      <c r="J1701" s="248" t="s">
        <v>4136</v>
      </c>
      <c r="K1701" s="245"/>
      <c r="L1701" s="245"/>
      <c r="M1701" s="245"/>
      <c r="N1701" s="245"/>
      <c r="O1701" s="245"/>
      <c r="P1701" s="245"/>
      <c r="Q1701" s="246"/>
      <c r="R1701" s="233"/>
      <c r="S1701" s="234">
        <f>IF(C1701="",NA(),MATCH($B1701&amp;$C1701,'Smelter Reference List'!$J:$J,0))</f>
        <v>469</v>
      </c>
      <c r="T1701" s="235"/>
      <c r="U1701" s="235">
        <f t="shared" si="48"/>
        <v>0</v>
      </c>
      <c r="V1701" s="235"/>
      <c r="W1701" s="235"/>
      <c r="Y1701" s="228" t="str">
        <f t="shared" si="49"/>
        <v>TungstenA.L.M.T. TUNGSTEN Corp.</v>
      </c>
    </row>
    <row r="1702" spans="1:25" s="228" customFormat="1" ht="20.25">
      <c r="A1702" s="161" t="s">
        <v>1419</v>
      </c>
      <c r="B1702" s="408" t="s">
        <v>2326</v>
      </c>
      <c r="C1702" s="297" t="str">
        <f>IF(LEN(A1702)=0,"",INDEX('[2]Smelter Reference List'!$C$1:$C$65536,MATCH($A1702,'[2]Smelter Reference List'!$E$1:$E$65536,0)))</f>
        <v>Ganzhou Huaxing Tungsten Products Co., Ltd.</v>
      </c>
      <c r="D1702" s="161" t="s">
        <v>211</v>
      </c>
      <c r="E1702" s="161" t="s">
        <v>2181</v>
      </c>
      <c r="F1702" s="161" t="s">
        <v>1419</v>
      </c>
      <c r="G1702" s="161" t="s">
        <v>3125</v>
      </c>
      <c r="H1702" s="247">
        <v>0</v>
      </c>
      <c r="I1702" s="248" t="s">
        <v>3471</v>
      </c>
      <c r="J1702" s="248" t="s">
        <v>3204</v>
      </c>
      <c r="K1702" s="245"/>
      <c r="L1702" s="245"/>
      <c r="M1702" s="245"/>
      <c r="N1702" s="245"/>
      <c r="O1702" s="245"/>
      <c r="P1702" s="245"/>
      <c r="Q1702" s="246"/>
      <c r="R1702" s="233"/>
      <c r="S1702" s="234">
        <f>IF(C1702="",NA(),MATCH($B1702&amp;$C1702,'Smelter Reference List'!$J:$J,0))</f>
        <v>485</v>
      </c>
      <c r="T1702" s="235"/>
      <c r="U1702" s="235">
        <f t="shared" si="48"/>
        <v>0</v>
      </c>
      <c r="V1702" s="235"/>
      <c r="W1702" s="235"/>
      <c r="Y1702" s="228" t="str">
        <f t="shared" si="49"/>
        <v>TungstenGanzhou Huaxing Tungsten Products Co., Ltd.</v>
      </c>
    </row>
    <row r="1703" spans="1:25" s="228" customFormat="1" ht="20.25">
      <c r="A1703" s="161" t="s">
        <v>1322</v>
      </c>
      <c r="B1703" s="408" t="s">
        <v>2323</v>
      </c>
      <c r="C1703" s="297" t="str">
        <f>IF(LEN(A1703)=0,"",INDEX('[2]Smelter Reference List'!$C$1:$C$65536,MATCH($A1703,'[2]Smelter Reference List'!$E$1:$E$65536,0)))</f>
        <v>Tanaka Kikinzoku Kogyo K.K.</v>
      </c>
      <c r="D1703" s="161" t="s">
        <v>2457</v>
      </c>
      <c r="E1703" s="161" t="s">
        <v>2249</v>
      </c>
      <c r="F1703" s="161" t="s">
        <v>1322</v>
      </c>
      <c r="G1703" s="161" t="s">
        <v>3125</v>
      </c>
      <c r="H1703" s="247">
        <v>0</v>
      </c>
      <c r="I1703" s="248" t="s">
        <v>3299</v>
      </c>
      <c r="J1703" s="248" t="s">
        <v>3300</v>
      </c>
      <c r="K1703" s="245"/>
      <c r="L1703" s="245"/>
      <c r="M1703" s="245"/>
      <c r="N1703" s="245"/>
      <c r="O1703" s="245"/>
      <c r="P1703" s="245"/>
      <c r="Q1703" s="246"/>
      <c r="R1703" s="233"/>
      <c r="S1703" s="234">
        <f>IF(C1703="",NA(),MATCH($B1703&amp;$C1703,'Smelter Reference List'!$J:$J,0))</f>
        <v>200</v>
      </c>
      <c r="T1703" s="235"/>
      <c r="U1703" s="235">
        <f t="shared" si="48"/>
        <v>0</v>
      </c>
      <c r="V1703" s="235"/>
      <c r="W1703" s="235"/>
      <c r="Y1703" s="228" t="str">
        <f t="shared" si="49"/>
        <v>GoldTanaka Kikinzoku Kogyo K.K.</v>
      </c>
    </row>
    <row r="1704" spans="1:25" s="228" customFormat="1" ht="20.25">
      <c r="A1704" s="161" t="s">
        <v>1399</v>
      </c>
      <c r="B1704" s="408" t="s">
        <v>2324</v>
      </c>
      <c r="C1704" s="297" t="str">
        <f>IF(LEN(A1704)=0,"",INDEX('[2]Smelter Reference List'!$C$1:$C$65536,MATCH($A1704,'[2]Smelter Reference List'!$E$1:$E$65536,0)))</f>
        <v>PT Timah (Persero) Tbk Mentok</v>
      </c>
      <c r="D1704" s="161" t="s">
        <v>4266</v>
      </c>
      <c r="E1704" s="161" t="s">
        <v>2238</v>
      </c>
      <c r="F1704" s="161" t="s">
        <v>1399</v>
      </c>
      <c r="G1704" s="161" t="s">
        <v>3125</v>
      </c>
      <c r="H1704" s="247">
        <v>0</v>
      </c>
      <c r="I1704" s="248" t="s">
        <v>3507</v>
      </c>
      <c r="J1704" s="248" t="s">
        <v>3454</v>
      </c>
      <c r="K1704" s="245"/>
      <c r="L1704" s="245"/>
      <c r="M1704" s="245"/>
      <c r="N1704" s="245"/>
      <c r="O1704" s="245"/>
      <c r="P1704" s="245"/>
      <c r="Q1704" s="246"/>
      <c r="R1704" s="233"/>
      <c r="S1704" s="234">
        <f>IF(C1704="",NA(),MATCH($B1704&amp;$C1704,'Smelter Reference List'!$J:$J,0))</f>
        <v>432</v>
      </c>
      <c r="T1704" s="235"/>
      <c r="U1704" s="235">
        <f t="shared" si="48"/>
        <v>0</v>
      </c>
      <c r="V1704" s="235"/>
      <c r="W1704" s="235"/>
      <c r="Y1704" s="228" t="str">
        <f t="shared" si="49"/>
        <v>TinPT Timah (Persero) Tbk Mentok</v>
      </c>
    </row>
    <row r="1705" spans="1:25" s="228" customFormat="1" ht="20.25">
      <c r="A1705" s="161" t="s">
        <v>1322</v>
      </c>
      <c r="B1705" s="408" t="s">
        <v>2323</v>
      </c>
      <c r="C1705" s="297" t="str">
        <f>IF(LEN(A1705)=0,"",INDEX('[2]Smelter Reference List'!$C$1:$C$65536,MATCH($A1705,'[2]Smelter Reference List'!$E$1:$E$65536,0)))</f>
        <v>Tanaka Kikinzoku Kogyo K.K.</v>
      </c>
      <c r="D1705" s="161" t="s">
        <v>2457</v>
      </c>
      <c r="E1705" s="161" t="s">
        <v>2249</v>
      </c>
      <c r="F1705" s="161" t="s">
        <v>1322</v>
      </c>
      <c r="G1705" s="161" t="s">
        <v>3125</v>
      </c>
      <c r="H1705" s="247">
        <v>0</v>
      </c>
      <c r="I1705" s="248" t="s">
        <v>3299</v>
      </c>
      <c r="J1705" s="248" t="s">
        <v>3300</v>
      </c>
      <c r="K1705" s="245"/>
      <c r="L1705" s="245"/>
      <c r="M1705" s="245"/>
      <c r="N1705" s="245"/>
      <c r="O1705" s="245"/>
      <c r="P1705" s="245"/>
      <c r="Q1705" s="246"/>
      <c r="R1705" s="233"/>
      <c r="S1705" s="234">
        <f>IF(C1705="",NA(),MATCH($B1705&amp;$C1705,'Smelter Reference List'!$J:$J,0))</f>
        <v>200</v>
      </c>
      <c r="T1705" s="235"/>
      <c r="U1705" s="235">
        <f t="shared" si="48"/>
        <v>0</v>
      </c>
      <c r="V1705" s="235"/>
      <c r="W1705" s="235"/>
      <c r="Y1705" s="228" t="str">
        <f t="shared" si="49"/>
        <v>GoldTanaka Kikinzoku Kogyo K.K.</v>
      </c>
    </row>
    <row r="1706" spans="1:25" s="228" customFormat="1" ht="20.25">
      <c r="A1706" s="161" t="s">
        <v>1324</v>
      </c>
      <c r="B1706" s="408" t="s">
        <v>2323</v>
      </c>
      <c r="C1706" s="297" t="str">
        <f>IF(LEN(A1706)=0,"",INDEX('[2]Smelter Reference List'!$C$1:$C$65536,MATCH($A1706,'[2]Smelter Reference List'!$E$1:$E$65536,0)))</f>
        <v>The Refinery of Shandong Gold Mining Co., Ltd.</v>
      </c>
      <c r="D1706" s="161" t="s">
        <v>4177</v>
      </c>
      <c r="E1706" s="161" t="s">
        <v>2181</v>
      </c>
      <c r="F1706" s="161" t="s">
        <v>1324</v>
      </c>
      <c r="G1706" s="161" t="s">
        <v>3125</v>
      </c>
      <c r="H1706" s="247">
        <v>0</v>
      </c>
      <c r="I1706" s="248" t="s">
        <v>3286</v>
      </c>
      <c r="J1706" s="248" t="s">
        <v>3263</v>
      </c>
      <c r="K1706" s="245"/>
      <c r="L1706" s="245"/>
      <c r="M1706" s="245"/>
      <c r="N1706" s="245"/>
      <c r="O1706" s="245"/>
      <c r="P1706" s="245"/>
      <c r="Q1706" s="246"/>
      <c r="R1706" s="233"/>
      <c r="S1706" s="234">
        <f>IF(C1706="",NA(),MATCH($B1706&amp;$C1706,'Smelter Reference List'!$J:$J,0))</f>
        <v>204</v>
      </c>
      <c r="T1706" s="235"/>
      <c r="U1706" s="235">
        <f t="shared" si="48"/>
        <v>0</v>
      </c>
      <c r="V1706" s="235"/>
      <c r="W1706" s="235"/>
      <c r="Y1706" s="228" t="str">
        <f t="shared" si="49"/>
        <v>GoldThe Refinery of Shandong Gold Mining Co., Ltd.</v>
      </c>
    </row>
    <row r="1707" spans="1:25" s="228" customFormat="1" ht="20.25">
      <c r="A1707" s="161" t="s">
        <v>1424</v>
      </c>
      <c r="B1707" s="408" t="s">
        <v>2324</v>
      </c>
      <c r="C1707" s="297" t="str">
        <f>IF(LEN(A1707)=0,"",INDEX('[2]Smelter Reference List'!$C$1:$C$65536,MATCH($A1707,'[2]Smelter Reference List'!$E$1:$E$65536,0)))</f>
        <v>PT Timah (Persero) Tbk Kundur</v>
      </c>
      <c r="D1707" s="161" t="s">
        <v>3503</v>
      </c>
      <c r="E1707" s="161" t="s">
        <v>2238</v>
      </c>
      <c r="F1707" s="161" t="s">
        <v>1424</v>
      </c>
      <c r="G1707" s="161" t="s">
        <v>3125</v>
      </c>
      <c r="H1707" s="247">
        <v>0</v>
      </c>
      <c r="I1707" s="248" t="s">
        <v>3504</v>
      </c>
      <c r="J1707" s="248" t="s">
        <v>3505</v>
      </c>
      <c r="K1707" s="245"/>
      <c r="L1707" s="245"/>
      <c r="M1707" s="245"/>
      <c r="N1707" s="245"/>
      <c r="O1707" s="245"/>
      <c r="P1707" s="245"/>
      <c r="Q1707" s="246"/>
      <c r="R1707" s="233"/>
      <c r="S1707" s="234">
        <f>IF(C1707="",NA(),MATCH($B1707&amp;$C1707,'Smelter Reference List'!$J:$J,0))</f>
        <v>431</v>
      </c>
      <c r="T1707" s="235"/>
      <c r="U1707" s="235">
        <f t="shared" si="48"/>
        <v>0</v>
      </c>
      <c r="V1707" s="235"/>
      <c r="W1707" s="235"/>
      <c r="Y1707" s="228" t="str">
        <f t="shared" si="49"/>
        <v>TinPT Timah (Persero) Tbk Kundur</v>
      </c>
    </row>
    <row r="1708" spans="1:25" s="228" customFormat="1" ht="20.25">
      <c r="A1708" s="161" t="s">
        <v>1389</v>
      </c>
      <c r="B1708" s="408" t="s">
        <v>2324</v>
      </c>
      <c r="C1708" s="297" t="str">
        <f>IF(LEN(A1708)=0,"",INDEX('[2]Smelter Reference List'!$C$1:$C$65536,MATCH($A1708,'[2]Smelter Reference List'!$E$1:$E$65536,0)))</f>
        <v>PT Bukit Timah</v>
      </c>
      <c r="D1708" s="161" t="s">
        <v>1194</v>
      </c>
      <c r="E1708" s="161" t="s">
        <v>2238</v>
      </c>
      <c r="F1708" s="161" t="s">
        <v>1389</v>
      </c>
      <c r="G1708" s="161" t="s">
        <v>3125</v>
      </c>
      <c r="H1708" s="247">
        <v>0</v>
      </c>
      <c r="I1708" s="248" t="s">
        <v>3457</v>
      </c>
      <c r="J1708" s="248" t="s">
        <v>3454</v>
      </c>
      <c r="K1708" s="245"/>
      <c r="L1708" s="245"/>
      <c r="M1708" s="245"/>
      <c r="N1708" s="245"/>
      <c r="O1708" s="245"/>
      <c r="P1708" s="245"/>
      <c r="Q1708" s="246"/>
      <c r="R1708" s="233"/>
      <c r="S1708" s="234">
        <f>IF(C1708="",NA(),MATCH($B1708&amp;$C1708,'Smelter Reference List'!$J:$J,0))</f>
        <v>408</v>
      </c>
      <c r="T1708" s="235"/>
      <c r="U1708" s="235">
        <f t="shared" si="48"/>
        <v>0</v>
      </c>
      <c r="V1708" s="235"/>
      <c r="W1708" s="235"/>
      <c r="Y1708" s="228" t="str">
        <f t="shared" si="49"/>
        <v>TinPT Bukit Timah</v>
      </c>
    </row>
    <row r="1709" spans="1:25" s="228" customFormat="1" ht="20.25">
      <c r="A1709" s="161" t="s">
        <v>1407</v>
      </c>
      <c r="B1709" s="408" t="s">
        <v>2324</v>
      </c>
      <c r="C1709" s="297" t="str">
        <f>IF(LEN(A1709)=0,"",INDEX('[2]Smelter Reference List'!$C$1:$C$65536,MATCH($A1709,'[2]Smelter Reference List'!$E$1:$E$65536,0)))</f>
        <v>Yunnan Tin Company Limited</v>
      </c>
      <c r="D1709" s="161" t="s">
        <v>4749</v>
      </c>
      <c r="E1709" s="161" t="s">
        <v>2181</v>
      </c>
      <c r="F1709" s="161" t="s">
        <v>1407</v>
      </c>
      <c r="G1709" s="161" t="s">
        <v>3125</v>
      </c>
      <c r="H1709" s="247">
        <v>0</v>
      </c>
      <c r="I1709" s="248" t="s">
        <v>3468</v>
      </c>
      <c r="J1709" s="248" t="s">
        <v>3161</v>
      </c>
      <c r="K1709" s="245"/>
      <c r="L1709" s="245"/>
      <c r="M1709" s="245"/>
      <c r="N1709" s="245"/>
      <c r="O1709" s="245"/>
      <c r="P1709" s="245"/>
      <c r="Q1709" s="246"/>
      <c r="R1709" s="233"/>
      <c r="S1709" s="234">
        <f>IF(C1709="",NA(),MATCH($B1709&amp;$C1709,'Smelter Reference List'!$J:$J,0))</f>
        <v>462</v>
      </c>
      <c r="T1709" s="235"/>
      <c r="U1709" s="235">
        <f t="shared" si="48"/>
        <v>0</v>
      </c>
      <c r="V1709" s="235"/>
      <c r="W1709" s="235"/>
      <c r="Y1709" s="228" t="str">
        <f t="shared" si="49"/>
        <v>TinYunnan Tin Company Limited</v>
      </c>
    </row>
    <row r="1710" spans="1:25" s="228" customFormat="1" ht="20.25">
      <c r="A1710" s="161"/>
      <c r="B1710" s="408" t="s">
        <v>2323</v>
      </c>
      <c r="C1710" s="297" t="s">
        <v>3604</v>
      </c>
      <c r="D1710" s="228" t="s">
        <v>5933</v>
      </c>
      <c r="E1710" s="228" t="s">
        <v>2181</v>
      </c>
      <c r="F1710" s="161">
        <v>0</v>
      </c>
      <c r="G1710" s="161" t="s">
        <v>5584</v>
      </c>
      <c r="H1710" s="228" t="s">
        <v>5934</v>
      </c>
      <c r="I1710" s="228" t="s">
        <v>5935</v>
      </c>
      <c r="J1710" s="228" t="s">
        <v>5936</v>
      </c>
      <c r="K1710" s="228" t="s">
        <v>5937</v>
      </c>
      <c r="L1710" s="228" t="s">
        <v>5937</v>
      </c>
      <c r="M1710" s="228" t="s">
        <v>5937</v>
      </c>
      <c r="N1710" s="228" t="s">
        <v>5937</v>
      </c>
      <c r="O1710" s="228" t="s">
        <v>5937</v>
      </c>
      <c r="Q1710" s="228" t="s">
        <v>5938</v>
      </c>
      <c r="R1710" s="233"/>
      <c r="S1710" s="234">
        <f>IF(C1710="",NA(),MATCH($B1710&amp;$C1710,'Smelter Reference List'!$J:$J,0))</f>
        <v>238</v>
      </c>
      <c r="T1710" s="235"/>
      <c r="U1710" s="235">
        <f t="shared" si="48"/>
        <v>0</v>
      </c>
      <c r="V1710" s="235"/>
      <c r="W1710" s="235"/>
      <c r="Y1710" s="228" t="str">
        <f t="shared" si="49"/>
        <v>GoldSmelter not listed</v>
      </c>
    </row>
    <row r="1711" spans="1:25" s="228" customFormat="1" ht="20.25">
      <c r="A1711" s="161" t="s">
        <v>1248</v>
      </c>
      <c r="B1711" s="408" t="s">
        <v>2323</v>
      </c>
      <c r="C1711" s="297" t="str">
        <f>IF(LEN(A1711)=0,"",INDEX('[2]Smelter Reference List'!$C$1:$C$65536,MATCH($A1711,'[2]Smelter Reference List'!$E$1:$E$65536,0)))</f>
        <v>CCR Refinery - Glencore Canada Corporation</v>
      </c>
      <c r="D1711" s="161" t="s">
        <v>4323</v>
      </c>
      <c r="E1711" s="161" t="s">
        <v>2177</v>
      </c>
      <c r="F1711" s="161" t="s">
        <v>1248</v>
      </c>
      <c r="G1711" s="161" t="s">
        <v>3125</v>
      </c>
      <c r="H1711" s="247">
        <v>0</v>
      </c>
      <c r="I1711" s="248" t="s">
        <v>3154</v>
      </c>
      <c r="J1711" s="248" t="s">
        <v>3155</v>
      </c>
      <c r="K1711" s="245"/>
      <c r="L1711" s="245"/>
      <c r="M1711" s="245"/>
      <c r="N1711" s="245"/>
      <c r="O1711" s="245"/>
      <c r="P1711" s="245"/>
      <c r="Q1711" s="246"/>
      <c r="R1711" s="233"/>
      <c r="S1711" s="234">
        <f>IF(C1711="",NA(),MATCH($B1711&amp;$C1711,'Smelter Reference List'!$J:$J,0))</f>
        <v>33</v>
      </c>
      <c r="T1711" s="235"/>
      <c r="U1711" s="235">
        <f t="shared" si="48"/>
        <v>0</v>
      </c>
      <c r="V1711" s="235"/>
      <c r="W1711" s="235"/>
      <c r="Y1711" s="228" t="str">
        <f t="shared" si="49"/>
        <v>GoldCCR Refinery - Glencore Canada Corporation</v>
      </c>
    </row>
    <row r="1712" spans="1:25" s="228" customFormat="1" ht="20.25">
      <c r="A1712" s="161" t="s">
        <v>1264</v>
      </c>
      <c r="B1712" s="408" t="s">
        <v>2323</v>
      </c>
      <c r="C1712" s="297" t="str">
        <f>IF(LEN(A1712)=0,"",INDEX('[2]Smelter Reference List'!$C$1:$C$65536,MATCH($A1712,'[2]Smelter Reference List'!$E$1:$E$65536,0)))</f>
        <v>Heraeus Ltd. Hong Kong</v>
      </c>
      <c r="D1712" s="161" t="s">
        <v>72</v>
      </c>
      <c r="E1712" s="161" t="s">
        <v>2181</v>
      </c>
      <c r="F1712" s="161" t="s">
        <v>1264</v>
      </c>
      <c r="G1712" s="161" t="s">
        <v>3125</v>
      </c>
      <c r="H1712" s="247">
        <v>0</v>
      </c>
      <c r="I1712" s="248" t="s">
        <v>3190</v>
      </c>
      <c r="J1712" s="248" t="s">
        <v>3191</v>
      </c>
      <c r="K1712" s="245"/>
      <c r="L1712" s="245"/>
      <c r="M1712" s="245"/>
      <c r="N1712" s="245"/>
      <c r="O1712" s="245"/>
      <c r="P1712" s="245"/>
      <c r="Q1712" s="246"/>
      <c r="R1712" s="233"/>
      <c r="S1712" s="234">
        <f>IF(C1712="",NA(),MATCH($B1712&amp;$C1712,'Smelter Reference List'!$J:$J,0))</f>
        <v>75</v>
      </c>
      <c r="T1712" s="235"/>
      <c r="U1712" s="235">
        <f t="shared" si="48"/>
        <v>0</v>
      </c>
      <c r="V1712" s="235"/>
      <c r="W1712" s="235"/>
      <c r="Y1712" s="228" t="str">
        <f t="shared" si="49"/>
        <v>GoldHeraeus Ltd. Hong Kong</v>
      </c>
    </row>
    <row r="1713" spans="1:25" s="228" customFormat="1" ht="20.25">
      <c r="A1713" s="161" t="s">
        <v>1239</v>
      </c>
      <c r="B1713" s="408" t="s">
        <v>2323</v>
      </c>
      <c r="C1713" s="297" t="str">
        <f>IF(LEN(A1713)=0,"",INDEX('[2]Smelter Reference List'!$C$1:$C$65536,MATCH($A1713,'[2]Smelter Reference List'!$E$1:$E$65536,0)))</f>
        <v>Asahi Pretec Corp.</v>
      </c>
      <c r="D1713" s="161" t="s">
        <v>4670</v>
      </c>
      <c r="E1713" s="161" t="s">
        <v>2249</v>
      </c>
      <c r="F1713" s="161" t="s">
        <v>1239</v>
      </c>
      <c r="G1713" s="161" t="s">
        <v>3125</v>
      </c>
      <c r="H1713" s="247">
        <v>0</v>
      </c>
      <c r="I1713" s="248" t="s">
        <v>3139</v>
      </c>
      <c r="J1713" s="248" t="s">
        <v>3140</v>
      </c>
      <c r="K1713" s="245"/>
      <c r="L1713" s="245"/>
      <c r="M1713" s="245"/>
      <c r="N1713" s="245"/>
      <c r="O1713" s="245"/>
      <c r="P1713" s="245"/>
      <c r="Q1713" s="246"/>
      <c r="R1713" s="233"/>
      <c r="S1713" s="234">
        <f>IF(C1713="",NA(),MATCH($B1713&amp;$C1713,'Smelter Reference List'!$J:$J,0))</f>
        <v>18</v>
      </c>
      <c r="T1713" s="235"/>
      <c r="U1713" s="235">
        <f t="shared" si="48"/>
        <v>0</v>
      </c>
      <c r="V1713" s="235"/>
      <c r="W1713" s="235"/>
      <c r="Y1713" s="228" t="str">
        <f t="shared" si="49"/>
        <v>GoldAsahi Pretec Corp.</v>
      </c>
    </row>
    <row r="1714" spans="1:25" s="228" customFormat="1" ht="20.25">
      <c r="A1714" s="161" t="s">
        <v>1239</v>
      </c>
      <c r="B1714" s="408" t="s">
        <v>2323</v>
      </c>
      <c r="C1714" s="297" t="str">
        <f>IF(LEN(A1714)=0,"",INDEX('[2]Smelter Reference List'!$C$1:$C$65536,MATCH($A1714,'[2]Smelter Reference List'!$E$1:$E$65536,0)))</f>
        <v>Asahi Pretec Corp.</v>
      </c>
      <c r="D1714" s="161" t="s">
        <v>4670</v>
      </c>
      <c r="E1714" s="161" t="s">
        <v>2249</v>
      </c>
      <c r="F1714" s="161" t="s">
        <v>1239</v>
      </c>
      <c r="G1714" s="161" t="s">
        <v>3125</v>
      </c>
      <c r="H1714" s="247">
        <v>0</v>
      </c>
      <c r="I1714" s="248" t="s">
        <v>3139</v>
      </c>
      <c r="J1714" s="248" t="s">
        <v>3140</v>
      </c>
      <c r="K1714" s="245"/>
      <c r="L1714" s="245"/>
      <c r="M1714" s="245"/>
      <c r="N1714" s="245"/>
      <c r="O1714" s="245"/>
      <c r="P1714" s="245"/>
      <c r="Q1714" s="246"/>
      <c r="R1714" s="233"/>
      <c r="S1714" s="234">
        <f>IF(C1714="",NA(),MATCH($B1714&amp;$C1714,'Smelter Reference List'!$J:$J,0))</f>
        <v>18</v>
      </c>
      <c r="T1714" s="235"/>
      <c r="U1714" s="235">
        <f t="shared" si="48"/>
        <v>0</v>
      </c>
      <c r="V1714" s="235"/>
      <c r="W1714" s="235"/>
      <c r="Y1714" s="228" t="str">
        <f t="shared" si="49"/>
        <v>GoldAsahi Pretec Corp.</v>
      </c>
    </row>
    <row r="1715" spans="1:25" s="228" customFormat="1" ht="20.25">
      <c r="A1715" s="161" t="s">
        <v>1258</v>
      </c>
      <c r="B1715" s="408" t="s">
        <v>2323</v>
      </c>
      <c r="C1715" s="297" t="str">
        <f>IF(LEN(A1715)=0,"",INDEX('[2]Smelter Reference List'!$C$1:$C$65536,MATCH($A1715,'[2]Smelter Reference List'!$E$1:$E$65536,0)))</f>
        <v>Dowa</v>
      </c>
      <c r="D1715" s="161" t="s">
        <v>1788</v>
      </c>
      <c r="E1715" s="161" t="s">
        <v>2249</v>
      </c>
      <c r="F1715" s="161" t="s">
        <v>1258</v>
      </c>
      <c r="G1715" s="161" t="s">
        <v>3125</v>
      </c>
      <c r="H1715" s="247">
        <v>0</v>
      </c>
      <c r="I1715" s="248" t="s">
        <v>3173</v>
      </c>
      <c r="J1715" s="248" t="s">
        <v>3174</v>
      </c>
      <c r="K1715" s="245"/>
      <c r="L1715" s="245"/>
      <c r="M1715" s="245"/>
      <c r="N1715" s="245"/>
      <c r="O1715" s="245"/>
      <c r="P1715" s="245"/>
      <c r="Q1715" s="246"/>
      <c r="R1715" s="233"/>
      <c r="S1715" s="234">
        <f>IF(C1715="",NA(),MATCH($B1715&amp;$C1715,'Smelter Reference List'!$J:$J,0))</f>
        <v>49</v>
      </c>
      <c r="T1715" s="235"/>
      <c r="U1715" s="235">
        <f t="shared" si="48"/>
        <v>0</v>
      </c>
      <c r="V1715" s="235"/>
      <c r="W1715" s="235"/>
      <c r="Y1715" s="228" t="str">
        <f t="shared" si="49"/>
        <v>GoldDowa</v>
      </c>
    </row>
    <row r="1716" spans="1:25" s="228" customFormat="1" ht="20.25">
      <c r="A1716" s="161" t="s">
        <v>1269</v>
      </c>
      <c r="B1716" s="408" t="s">
        <v>2323</v>
      </c>
      <c r="C1716" s="297" t="str">
        <f>IF(LEN(A1716)=0,"",INDEX('[2]Smelter Reference List'!$C$1:$C$65536,MATCH($A1716,'[2]Smelter Reference List'!$E$1:$E$65536,0)))</f>
        <v>Ishifuku Metal Industry Co., Ltd.</v>
      </c>
      <c r="D1716" s="161" t="s">
        <v>2452</v>
      </c>
      <c r="E1716" s="161" t="s">
        <v>2249</v>
      </c>
      <c r="F1716" s="161" t="s">
        <v>1269</v>
      </c>
      <c r="G1716" s="161" t="s">
        <v>3125</v>
      </c>
      <c r="H1716" s="247">
        <v>0</v>
      </c>
      <c r="I1716" s="248" t="s">
        <v>3199</v>
      </c>
      <c r="J1716" s="248" t="s">
        <v>3179</v>
      </c>
      <c r="K1716" s="245"/>
      <c r="L1716" s="245"/>
      <c r="M1716" s="245"/>
      <c r="N1716" s="245"/>
      <c r="O1716" s="245"/>
      <c r="P1716" s="245"/>
      <c r="Q1716" s="246"/>
      <c r="R1716" s="233"/>
      <c r="S1716" s="234">
        <f>IF(C1716="",NA(),MATCH($B1716&amp;$C1716,'Smelter Reference List'!$J:$J,0))</f>
        <v>82</v>
      </c>
      <c r="T1716" s="235"/>
      <c r="U1716" s="235">
        <f t="shared" si="48"/>
        <v>0</v>
      </c>
      <c r="V1716" s="235"/>
      <c r="W1716" s="235"/>
      <c r="Y1716" s="228" t="str">
        <f t="shared" si="49"/>
        <v>GoldIshifuku Metal Industry Co., Ltd.</v>
      </c>
    </row>
    <row r="1717" spans="1:25" s="228" customFormat="1" ht="20.25">
      <c r="A1717" s="161" t="s">
        <v>1277</v>
      </c>
      <c r="B1717" s="408" t="s">
        <v>2323</v>
      </c>
      <c r="C1717" s="297" t="str">
        <f>IF(LEN(A1717)=0,"",INDEX('[2]Smelter Reference List'!$C$1:$C$65536,MATCH($A1717,'[2]Smelter Reference List'!$E$1:$E$65536,0)))</f>
        <v>JX Nippon Mining &amp; Metals Co., Ltd.</v>
      </c>
      <c r="D1717" s="161" t="s">
        <v>73</v>
      </c>
      <c r="E1717" s="161" t="s">
        <v>2249</v>
      </c>
      <c r="F1717" s="161" t="s">
        <v>1277</v>
      </c>
      <c r="G1717" s="161" t="s">
        <v>3125</v>
      </c>
      <c r="H1717" s="247">
        <v>0</v>
      </c>
      <c r="I1717" s="248" t="s">
        <v>4844</v>
      </c>
      <c r="J1717" s="248" t="s">
        <v>4844</v>
      </c>
      <c r="K1717" s="245"/>
      <c r="L1717" s="245"/>
      <c r="M1717" s="245"/>
      <c r="N1717" s="245"/>
      <c r="O1717" s="245"/>
      <c r="P1717" s="245"/>
      <c r="Q1717" s="246"/>
      <c r="R1717" s="233"/>
      <c r="S1717" s="234">
        <f>IF(C1717="",NA(),MATCH($B1717&amp;$C1717,'Smelter Reference List'!$J:$J,0))</f>
        <v>93</v>
      </c>
      <c r="T1717" s="235"/>
      <c r="U1717" s="235">
        <f t="shared" si="48"/>
        <v>0</v>
      </c>
      <c r="V1717" s="235"/>
      <c r="W1717" s="235"/>
      <c r="Y1717" s="228" t="str">
        <f t="shared" si="49"/>
        <v>GoldJX Nippon Mining &amp; Metals Co., Ltd.</v>
      </c>
    </row>
    <row r="1718" spans="1:25" s="228" customFormat="1" ht="20.25">
      <c r="A1718" s="161" t="s">
        <v>1290</v>
      </c>
      <c r="B1718" s="408" t="s">
        <v>2323</v>
      </c>
      <c r="C1718" s="297" t="str">
        <f>IF(LEN(A1718)=0,"",INDEX('[2]Smelter Reference List'!$C$1:$C$65536,MATCH($A1718,'[2]Smelter Reference List'!$E$1:$E$65536,0)))</f>
        <v>Matsuda Sangyo Co., Ltd.</v>
      </c>
      <c r="D1718" s="161" t="s">
        <v>75</v>
      </c>
      <c r="E1718" s="161" t="s">
        <v>2249</v>
      </c>
      <c r="F1718" s="161" t="s">
        <v>1290</v>
      </c>
      <c r="G1718" s="161" t="s">
        <v>3125</v>
      </c>
      <c r="H1718" s="247">
        <v>0</v>
      </c>
      <c r="I1718" s="248" t="s">
        <v>3231</v>
      </c>
      <c r="J1718" s="248" t="s">
        <v>3179</v>
      </c>
      <c r="K1718" s="245"/>
      <c r="L1718" s="245"/>
      <c r="M1718" s="245"/>
      <c r="N1718" s="245"/>
      <c r="O1718" s="245"/>
      <c r="P1718" s="245"/>
      <c r="Q1718" s="246"/>
      <c r="R1718" s="233"/>
      <c r="S1718" s="234">
        <f>IF(C1718="",NA(),MATCH($B1718&amp;$C1718,'Smelter Reference List'!$J:$J,0))</f>
        <v>116</v>
      </c>
      <c r="T1718" s="235"/>
      <c r="U1718" s="235">
        <f t="shared" si="48"/>
        <v>0</v>
      </c>
      <c r="V1718" s="235"/>
      <c r="W1718" s="235"/>
      <c r="Y1718" s="228" t="str">
        <f t="shared" si="49"/>
        <v>GoldMatsuda Sangyo Co., Ltd.</v>
      </c>
    </row>
    <row r="1719" spans="1:25" s="228" customFormat="1" ht="20.25">
      <c r="A1719" s="161" t="s">
        <v>1296</v>
      </c>
      <c r="B1719" s="408" t="s">
        <v>2323</v>
      </c>
      <c r="C1719" s="297" t="str">
        <f>IF(LEN(A1719)=0,"",INDEX('[2]Smelter Reference List'!$C$1:$C$65536,MATCH($A1719,'[2]Smelter Reference List'!$E$1:$E$65536,0)))</f>
        <v>Mitsubishi Materials Corporation</v>
      </c>
      <c r="D1719" s="161" t="s">
        <v>2371</v>
      </c>
      <c r="E1719" s="161" t="s">
        <v>2249</v>
      </c>
      <c r="F1719" s="161" t="s">
        <v>1296</v>
      </c>
      <c r="G1719" s="161" t="s">
        <v>3125</v>
      </c>
      <c r="H1719" s="247">
        <v>0</v>
      </c>
      <c r="I1719" s="248" t="s">
        <v>3245</v>
      </c>
      <c r="J1719" s="248" t="s">
        <v>4283</v>
      </c>
      <c r="K1719" s="245"/>
      <c r="L1719" s="245"/>
      <c r="M1719" s="245"/>
      <c r="N1719" s="245"/>
      <c r="O1719" s="245"/>
      <c r="P1719" s="245"/>
      <c r="Q1719" s="246"/>
      <c r="R1719" s="233"/>
      <c r="S1719" s="234">
        <f>IF(C1719="",NA(),MATCH($B1719&amp;$C1719,'Smelter Reference List'!$J:$J,0))</f>
        <v>128</v>
      </c>
      <c r="T1719" s="235"/>
      <c r="U1719" s="235">
        <f t="shared" si="48"/>
        <v>0</v>
      </c>
      <c r="V1719" s="235"/>
      <c r="W1719" s="235"/>
      <c r="Y1719" s="228" t="str">
        <f t="shared" si="49"/>
        <v>GoldMitsubishi Materials Corporation</v>
      </c>
    </row>
    <row r="1720" spans="1:25" s="228" customFormat="1" ht="20.25">
      <c r="A1720" s="161" t="s">
        <v>1297</v>
      </c>
      <c r="B1720" s="408" t="s">
        <v>2323</v>
      </c>
      <c r="C1720" s="297" t="str">
        <f>IF(LEN(A1720)=0,"",INDEX('[2]Smelter Reference List'!$C$1:$C$65536,MATCH($A1720,'[2]Smelter Reference List'!$E$1:$E$65536,0)))</f>
        <v>Mitsui Mining and Smelting Co., Ltd.</v>
      </c>
      <c r="D1720" s="161" t="s">
        <v>2454</v>
      </c>
      <c r="E1720" s="161" t="s">
        <v>2249</v>
      </c>
      <c r="F1720" s="161" t="s">
        <v>1297</v>
      </c>
      <c r="G1720" s="161" t="s">
        <v>3125</v>
      </c>
      <c r="H1720" s="247">
        <v>0</v>
      </c>
      <c r="I1720" s="248" t="s">
        <v>3247</v>
      </c>
      <c r="J1720" s="248" t="s">
        <v>3246</v>
      </c>
      <c r="K1720" s="245"/>
      <c r="L1720" s="245"/>
      <c r="M1720" s="245"/>
      <c r="N1720" s="245"/>
      <c r="O1720" s="245"/>
      <c r="P1720" s="245"/>
      <c r="Q1720" s="246"/>
      <c r="R1720" s="233"/>
      <c r="S1720" s="234">
        <f>IF(C1720="",NA(),MATCH($B1720&amp;$C1720,'Smelter Reference List'!$J:$J,0))</f>
        <v>130</v>
      </c>
      <c r="T1720" s="235"/>
      <c r="U1720" s="235">
        <f t="shared" si="48"/>
        <v>0</v>
      </c>
      <c r="V1720" s="235"/>
      <c r="W1720" s="235"/>
      <c r="Y1720" s="228" t="str">
        <f t="shared" si="49"/>
        <v>GoldMitsui Mining and Smelting Co., Ltd.</v>
      </c>
    </row>
    <row r="1721" spans="1:25" s="228" customFormat="1" ht="20.25">
      <c r="A1721" s="161" t="s">
        <v>1321</v>
      </c>
      <c r="B1721" s="408" t="s">
        <v>2323</v>
      </c>
      <c r="C1721" s="297" t="str">
        <f>IF(LEN(A1721)=0,"",INDEX('[2]Smelter Reference List'!$C$1:$C$65536,MATCH($A1721,'[2]Smelter Reference List'!$E$1:$E$65536,0)))</f>
        <v>Sumitomo Metal Mining Co., Ltd.</v>
      </c>
      <c r="D1721" s="161" t="s">
        <v>77</v>
      </c>
      <c r="E1721" s="161" t="s">
        <v>2249</v>
      </c>
      <c r="F1721" s="161" t="s">
        <v>1321</v>
      </c>
      <c r="G1721" s="161" t="s">
        <v>3125</v>
      </c>
      <c r="H1721" s="247">
        <v>0</v>
      </c>
      <c r="I1721" s="248" t="s">
        <v>3297</v>
      </c>
      <c r="J1721" s="248" t="s">
        <v>4284</v>
      </c>
      <c r="K1721" s="245"/>
      <c r="L1721" s="245"/>
      <c r="M1721" s="245"/>
      <c r="N1721" s="245"/>
      <c r="O1721" s="245"/>
      <c r="P1721" s="245"/>
      <c r="Q1721" s="246"/>
      <c r="R1721" s="233"/>
      <c r="S1721" s="234">
        <f>IF(C1721="",NA(),MATCH($B1721&amp;$C1721,'Smelter Reference List'!$J:$J,0))</f>
        <v>190</v>
      </c>
      <c r="T1721" s="235"/>
      <c r="U1721" s="235">
        <f t="shared" si="48"/>
        <v>0</v>
      </c>
      <c r="V1721" s="235"/>
      <c r="W1721" s="235"/>
      <c r="Y1721" s="228" t="str">
        <f t="shared" si="49"/>
        <v>GoldSumitomo Metal Mining Co., Ltd.</v>
      </c>
    </row>
    <row r="1722" spans="1:25" s="228" customFormat="1" ht="20.25">
      <c r="A1722" s="161" t="s">
        <v>1322</v>
      </c>
      <c r="B1722" s="408" t="s">
        <v>2323</v>
      </c>
      <c r="C1722" s="297" t="str">
        <f>IF(LEN(A1722)=0,"",INDEX('[2]Smelter Reference List'!$C$1:$C$65536,MATCH($A1722,'[2]Smelter Reference List'!$E$1:$E$65536,0)))</f>
        <v>Tanaka Kikinzoku Kogyo K.K.</v>
      </c>
      <c r="D1722" s="161" t="s">
        <v>2457</v>
      </c>
      <c r="E1722" s="161" t="s">
        <v>2249</v>
      </c>
      <c r="F1722" s="161" t="s">
        <v>1322</v>
      </c>
      <c r="G1722" s="161" t="s">
        <v>3125</v>
      </c>
      <c r="H1722" s="247">
        <v>0</v>
      </c>
      <c r="I1722" s="248" t="s">
        <v>3299</v>
      </c>
      <c r="J1722" s="248" t="s">
        <v>3300</v>
      </c>
      <c r="K1722" s="245"/>
      <c r="L1722" s="245"/>
      <c r="M1722" s="245"/>
      <c r="N1722" s="245"/>
      <c r="O1722" s="245"/>
      <c r="P1722" s="245"/>
      <c r="Q1722" s="246"/>
      <c r="R1722" s="233"/>
      <c r="S1722" s="234">
        <f>IF(C1722="",NA(),MATCH($B1722&amp;$C1722,'Smelter Reference List'!$J:$J,0))</f>
        <v>200</v>
      </c>
      <c r="T1722" s="235"/>
      <c r="U1722" s="235">
        <f t="shared" si="48"/>
        <v>0</v>
      </c>
      <c r="V1722" s="235"/>
      <c r="W1722" s="235"/>
      <c r="Y1722" s="228" t="str">
        <f t="shared" si="49"/>
        <v>GoldTanaka Kikinzoku Kogyo K.K.</v>
      </c>
    </row>
    <row r="1723" spans="1:25" s="228" customFormat="1" ht="20.25">
      <c r="A1723" s="161" t="s">
        <v>1322</v>
      </c>
      <c r="B1723" s="408" t="s">
        <v>2323</v>
      </c>
      <c r="C1723" s="297" t="str">
        <f>IF(LEN(A1723)=0,"",INDEX('[2]Smelter Reference List'!$C$1:$C$65536,MATCH($A1723,'[2]Smelter Reference List'!$E$1:$E$65536,0)))</f>
        <v>Tanaka Kikinzoku Kogyo K.K.</v>
      </c>
      <c r="D1723" s="161" t="s">
        <v>2457</v>
      </c>
      <c r="E1723" s="161" t="s">
        <v>2249</v>
      </c>
      <c r="F1723" s="161" t="s">
        <v>1322</v>
      </c>
      <c r="G1723" s="161" t="s">
        <v>3125</v>
      </c>
      <c r="H1723" s="247">
        <v>0</v>
      </c>
      <c r="I1723" s="248" t="s">
        <v>3299</v>
      </c>
      <c r="J1723" s="248" t="s">
        <v>3300</v>
      </c>
      <c r="K1723" s="245"/>
      <c r="L1723" s="245"/>
      <c r="M1723" s="245"/>
      <c r="N1723" s="245"/>
      <c r="O1723" s="245"/>
      <c r="P1723" s="245"/>
      <c r="Q1723" s="246"/>
      <c r="R1723" s="233"/>
      <c r="S1723" s="234">
        <f>IF(C1723="",NA(),MATCH($B1723&amp;$C1723,'Smelter Reference List'!$J:$J,0))</f>
        <v>200</v>
      </c>
      <c r="T1723" s="235"/>
      <c r="U1723" s="235">
        <f t="shared" si="48"/>
        <v>0</v>
      </c>
      <c r="V1723" s="235"/>
      <c r="W1723" s="235"/>
      <c r="Y1723" s="228" t="str">
        <f t="shared" si="49"/>
        <v>GoldTanaka Kikinzoku Kogyo K.K.</v>
      </c>
    </row>
    <row r="1724" spans="1:25" s="228" customFormat="1" ht="20.25">
      <c r="A1724" s="161" t="s">
        <v>1325</v>
      </c>
      <c r="B1724" s="408" t="s">
        <v>2323</v>
      </c>
      <c r="C1724" s="297" t="str">
        <f>IF(LEN(A1724)=0,"",INDEX('[2]Smelter Reference List'!$C$1:$C$65536,MATCH($A1724,'[2]Smelter Reference List'!$E$1:$E$65536,0)))</f>
        <v>Tokuriki Honten Co., Ltd.</v>
      </c>
      <c r="D1724" s="161" t="s">
        <v>4178</v>
      </c>
      <c r="E1724" s="161" t="s">
        <v>2249</v>
      </c>
      <c r="F1724" s="161" t="s">
        <v>1325</v>
      </c>
      <c r="G1724" s="161" t="s">
        <v>3125</v>
      </c>
      <c r="H1724" s="247">
        <v>0</v>
      </c>
      <c r="I1724" s="248" t="s">
        <v>3305</v>
      </c>
      <c r="J1724" s="248" t="s">
        <v>3179</v>
      </c>
      <c r="K1724" s="245"/>
      <c r="L1724" s="245"/>
      <c r="M1724" s="245"/>
      <c r="N1724" s="245"/>
      <c r="O1724" s="245"/>
      <c r="P1724" s="245"/>
      <c r="Q1724" s="246"/>
      <c r="R1724" s="233"/>
      <c r="S1724" s="234">
        <f>IF(C1724="",NA(),MATCH($B1724&amp;$C1724,'Smelter Reference List'!$J:$J,0))</f>
        <v>205</v>
      </c>
      <c r="T1724" s="235"/>
      <c r="U1724" s="235">
        <f t="shared" si="48"/>
        <v>0</v>
      </c>
      <c r="V1724" s="235"/>
      <c r="W1724" s="235"/>
      <c r="Y1724" s="228" t="str">
        <f t="shared" si="49"/>
        <v>GoldTokuriki Honten Co., Ltd.</v>
      </c>
    </row>
    <row r="1725" spans="1:25" s="228" customFormat="1" ht="20.25">
      <c r="A1725" s="161" t="s">
        <v>1301</v>
      </c>
      <c r="B1725" s="408" t="s">
        <v>2323</v>
      </c>
      <c r="C1725" s="297" t="str">
        <f>IF(LEN(A1725)=0,"",INDEX('[2]Smelter Reference List'!$C$1:$C$65536,MATCH($A1725,'[2]Smelter Reference List'!$E$1:$E$65536,0)))</f>
        <v>Nihon Material Co., Ltd.</v>
      </c>
      <c r="D1725" s="161" t="s">
        <v>4166</v>
      </c>
      <c r="E1725" s="161" t="s">
        <v>2249</v>
      </c>
      <c r="F1725" s="161" t="s">
        <v>1301</v>
      </c>
      <c r="G1725" s="161" t="s">
        <v>3125</v>
      </c>
      <c r="H1725" s="247">
        <v>0</v>
      </c>
      <c r="I1725" s="248" t="s">
        <v>3253</v>
      </c>
      <c r="J1725" s="248" t="s">
        <v>3254</v>
      </c>
      <c r="K1725" s="245"/>
      <c r="L1725" s="245"/>
      <c r="M1725" s="245"/>
      <c r="N1725" s="245"/>
      <c r="O1725" s="245"/>
      <c r="P1725" s="245"/>
      <c r="Q1725" s="246"/>
      <c r="R1725" s="233"/>
      <c r="S1725" s="234">
        <f>IF(C1725="",NA(),MATCH($B1725&amp;$C1725,'Smelter Reference List'!$J:$J,0))</f>
        <v>137</v>
      </c>
      <c r="T1725" s="235"/>
      <c r="U1725" s="235">
        <f t="shared" si="48"/>
        <v>0</v>
      </c>
      <c r="V1725" s="235"/>
      <c r="W1725" s="235"/>
      <c r="Y1725" s="228" t="str">
        <f t="shared" si="49"/>
        <v>GoldNihon Material Co., Ltd.</v>
      </c>
    </row>
    <row r="1726" spans="1:25" s="228" customFormat="1" ht="20.25">
      <c r="A1726" s="161" t="s">
        <v>1273</v>
      </c>
      <c r="B1726" s="408" t="s">
        <v>2323</v>
      </c>
      <c r="C1726" s="297" t="str">
        <f>IF(LEN(A1726)=0,"",INDEX('[2]Smelter Reference List'!$C$1:$C$65536,MATCH($A1726,'[2]Smelter Reference List'!$E$1:$E$65536,0)))</f>
        <v>Asahi Refining USA Inc.</v>
      </c>
      <c r="D1726" s="161" t="s">
        <v>4267</v>
      </c>
      <c r="E1726" s="161" t="s">
        <v>1759</v>
      </c>
      <c r="F1726" s="161" t="s">
        <v>1273</v>
      </c>
      <c r="G1726" s="161" t="s">
        <v>3125</v>
      </c>
      <c r="H1726" s="247">
        <v>0</v>
      </c>
      <c r="I1726" s="248" t="s">
        <v>3206</v>
      </c>
      <c r="J1726" s="248" t="s">
        <v>3207</v>
      </c>
      <c r="K1726" s="245"/>
      <c r="L1726" s="245"/>
      <c r="M1726" s="245"/>
      <c r="N1726" s="245"/>
      <c r="O1726" s="245"/>
      <c r="P1726" s="245"/>
      <c r="Q1726" s="246"/>
      <c r="R1726" s="233"/>
      <c r="S1726" s="234">
        <f>IF(C1726="",NA(),MATCH($B1726&amp;$C1726,'Smelter Reference List'!$J:$J,0))</f>
        <v>20</v>
      </c>
      <c r="T1726" s="235"/>
      <c r="U1726" s="235">
        <f t="shared" si="48"/>
        <v>0</v>
      </c>
      <c r="V1726" s="235"/>
      <c r="W1726" s="235"/>
      <c r="Y1726" s="228" t="str">
        <f t="shared" si="49"/>
        <v>GoldAsahi Refining USA Inc.</v>
      </c>
    </row>
    <row r="1727" spans="1:25" s="228" customFormat="1" ht="20.25">
      <c r="A1727" s="161" t="s">
        <v>1300</v>
      </c>
      <c r="B1727" s="408" t="s">
        <v>2323</v>
      </c>
      <c r="C1727" s="297" t="str">
        <f>IF(LEN(A1727)=0,"",INDEX('[2]Smelter Reference List'!$C$1:$C$65536,MATCH($A1727,'[2]Smelter Reference List'!$E$1:$E$65536,0)))</f>
        <v>Navoi Mining and Metallurgical Combinat</v>
      </c>
      <c r="D1727" s="161" t="s">
        <v>2455</v>
      </c>
      <c r="E1727" s="161" t="s">
        <v>1760</v>
      </c>
      <c r="F1727" s="161" t="s">
        <v>1300</v>
      </c>
      <c r="G1727" s="161" t="s">
        <v>3125</v>
      </c>
      <c r="H1727" s="247">
        <v>0</v>
      </c>
      <c r="I1727" s="248" t="s">
        <v>3251</v>
      </c>
      <c r="J1727" s="248" t="s">
        <v>3252</v>
      </c>
      <c r="K1727" s="245"/>
      <c r="L1727" s="245"/>
      <c r="M1727" s="245"/>
      <c r="N1727" s="245"/>
      <c r="O1727" s="245"/>
      <c r="P1727" s="245"/>
      <c r="Q1727" s="246"/>
      <c r="R1727" s="233"/>
      <c r="S1727" s="234">
        <f>IF(C1727="",NA(),MATCH($B1727&amp;$C1727,'Smelter Reference List'!$J:$J,0))</f>
        <v>136</v>
      </c>
      <c r="T1727" s="235"/>
      <c r="U1727" s="235">
        <f t="shared" si="48"/>
        <v>0</v>
      </c>
      <c r="V1727" s="235"/>
      <c r="W1727" s="235"/>
      <c r="Y1727" s="228" t="str">
        <f t="shared" si="49"/>
        <v>GoldNavoi Mining and Metallurgical Combinat</v>
      </c>
    </row>
    <row r="1728" spans="1:25" s="228" customFormat="1" ht="20.25">
      <c r="A1728" s="161" t="s">
        <v>1419</v>
      </c>
      <c r="B1728" s="408" t="s">
        <v>2326</v>
      </c>
      <c r="C1728" s="297" t="str">
        <f>IF(LEN(A1728)=0,"",INDEX('[2]Smelter Reference List'!$C$1:$C$65536,MATCH($A1728,'[2]Smelter Reference List'!$E$1:$E$65536,0)))</f>
        <v>Ganzhou Huaxing Tungsten Products Co., Ltd.</v>
      </c>
      <c r="D1728" s="161" t="s">
        <v>211</v>
      </c>
      <c r="E1728" s="161" t="s">
        <v>2181</v>
      </c>
      <c r="F1728" s="161" t="s">
        <v>1419</v>
      </c>
      <c r="G1728" s="161" t="s">
        <v>3125</v>
      </c>
      <c r="H1728" s="247">
        <v>0</v>
      </c>
      <c r="I1728" s="248" t="s">
        <v>3471</v>
      </c>
      <c r="J1728" s="248" t="s">
        <v>3204</v>
      </c>
      <c r="K1728" s="245"/>
      <c r="L1728" s="245"/>
      <c r="M1728" s="245"/>
      <c r="N1728" s="245"/>
      <c r="O1728" s="245"/>
      <c r="P1728" s="245"/>
      <c r="Q1728" s="246"/>
      <c r="R1728" s="233"/>
      <c r="S1728" s="234">
        <f>IF(C1728="",NA(),MATCH($B1728&amp;$C1728,'Smelter Reference List'!$J:$J,0))</f>
        <v>485</v>
      </c>
      <c r="T1728" s="235"/>
      <c r="U1728" s="235">
        <f t="shared" si="48"/>
        <v>0</v>
      </c>
      <c r="V1728" s="235"/>
      <c r="W1728" s="235"/>
      <c r="Y1728" s="228" t="str">
        <f t="shared" si="49"/>
        <v>TungstenGanzhou Huaxing Tungsten Products Co., Ltd.</v>
      </c>
    </row>
    <row r="1729" spans="1:25" s="228" customFormat="1" ht="20.25">
      <c r="A1729" s="161" t="s">
        <v>1423</v>
      </c>
      <c r="B1729" s="408" t="s">
        <v>2326</v>
      </c>
      <c r="C1729" s="297" t="str">
        <f>IF(LEN(A1729)=0,"",INDEX('[2]Smelter Reference List'!$C$1:$C$65536,MATCH($A1729,'[2]Smelter Reference List'!$E$1:$E$65536,0)))</f>
        <v>Xiamen Tungsten Co., Ltd.</v>
      </c>
      <c r="D1729" s="161" t="s">
        <v>2663</v>
      </c>
      <c r="E1729" s="161" t="s">
        <v>2181</v>
      </c>
      <c r="F1729" s="161" t="s">
        <v>1423</v>
      </c>
      <c r="G1729" s="161" t="s">
        <v>3125</v>
      </c>
      <c r="H1729" s="247">
        <v>0</v>
      </c>
      <c r="I1729" s="248" t="s">
        <v>3569</v>
      </c>
      <c r="J1729" s="248" t="s">
        <v>3332</v>
      </c>
      <c r="K1729" s="245"/>
      <c r="L1729" s="245"/>
      <c r="M1729" s="245"/>
      <c r="N1729" s="245"/>
      <c r="O1729" s="245"/>
      <c r="P1729" s="245"/>
      <c r="Q1729" s="246"/>
      <c r="R1729" s="233"/>
      <c r="S1729" s="234">
        <f>IF(C1729="",NA(),MATCH($B1729&amp;$C1729,'Smelter Reference List'!$J:$J,0))</f>
        <v>532</v>
      </c>
      <c r="T1729" s="235"/>
      <c r="U1729" s="235">
        <f t="shared" si="48"/>
        <v>0</v>
      </c>
      <c r="V1729" s="235"/>
      <c r="W1729" s="235"/>
      <c r="Y1729" s="228" t="str">
        <f t="shared" si="49"/>
        <v>TungstenXiamen Tungsten Co., Ltd.</v>
      </c>
    </row>
    <row r="1730" spans="1:25" s="228" customFormat="1" ht="20.25">
      <c r="A1730" s="161" t="s">
        <v>1381</v>
      </c>
      <c r="B1730" s="408" t="s">
        <v>2324</v>
      </c>
      <c r="C1730" s="297" t="str">
        <f>IF(LEN(A1730)=0,"",INDEX('[2]Smelter Reference List'!$C$1:$C$65536,MATCH($A1730,'[2]Smelter Reference List'!$E$1:$E$65536,0)))</f>
        <v>Mitsubishi Materials Corporation</v>
      </c>
      <c r="D1730" s="161" t="s">
        <v>2371</v>
      </c>
      <c r="E1730" s="161" t="s">
        <v>2249</v>
      </c>
      <c r="F1730" s="161" t="s">
        <v>1381</v>
      </c>
      <c r="G1730" s="161" t="s">
        <v>3125</v>
      </c>
      <c r="H1730" s="247">
        <v>0</v>
      </c>
      <c r="I1730" s="248" t="s">
        <v>3490</v>
      </c>
      <c r="J1730" s="248" t="s">
        <v>3140</v>
      </c>
      <c r="K1730" s="245"/>
      <c r="L1730" s="245"/>
      <c r="M1730" s="245"/>
      <c r="N1730" s="245"/>
      <c r="O1730" s="245"/>
      <c r="P1730" s="245"/>
      <c r="Q1730" s="246"/>
      <c r="R1730" s="233"/>
      <c r="S1730" s="234">
        <f>IF(C1730="",NA(),MATCH($B1730&amp;$C1730,'Smelter Reference List'!$J:$J,0))</f>
        <v>385</v>
      </c>
      <c r="T1730" s="235"/>
      <c r="U1730" s="235">
        <f t="shared" si="48"/>
        <v>0</v>
      </c>
      <c r="V1730" s="235"/>
      <c r="W1730" s="235"/>
      <c r="Y1730" s="228" t="str">
        <f t="shared" si="49"/>
        <v>TinMitsubishi Materials Corporation</v>
      </c>
    </row>
    <row r="1731" spans="1:25" s="228" customFormat="1" ht="20.25">
      <c r="A1731" s="161" t="s">
        <v>1399</v>
      </c>
      <c r="B1731" s="408" t="s">
        <v>2324</v>
      </c>
      <c r="C1731" s="297" t="str">
        <f>IF(LEN(A1731)=0,"",INDEX('[2]Smelter Reference List'!$C$1:$C$65536,MATCH($A1731,'[2]Smelter Reference List'!$E$1:$E$65536,0)))</f>
        <v>PT Timah (Persero) Tbk Mentok</v>
      </c>
      <c r="D1731" s="161" t="s">
        <v>4266</v>
      </c>
      <c r="E1731" s="161" t="s">
        <v>2238</v>
      </c>
      <c r="F1731" s="161" t="s">
        <v>1399</v>
      </c>
      <c r="G1731" s="161" t="s">
        <v>3125</v>
      </c>
      <c r="H1731" s="247">
        <v>0</v>
      </c>
      <c r="I1731" s="248" t="s">
        <v>3507</v>
      </c>
      <c r="J1731" s="248" t="s">
        <v>3454</v>
      </c>
      <c r="K1731" s="245"/>
      <c r="L1731" s="245"/>
      <c r="M1731" s="245"/>
      <c r="N1731" s="245"/>
      <c r="O1731" s="245"/>
      <c r="P1731" s="245"/>
      <c r="Q1731" s="246"/>
      <c r="R1731" s="233"/>
      <c r="S1731" s="234">
        <f>IF(C1731="",NA(),MATCH($B1731&amp;$C1731,'Smelter Reference List'!$J:$J,0))</f>
        <v>432</v>
      </c>
      <c r="T1731" s="235"/>
      <c r="U1731" s="235">
        <f t="shared" si="48"/>
        <v>0</v>
      </c>
      <c r="V1731" s="235"/>
      <c r="W1731" s="235"/>
      <c r="Y1731" s="228" t="str">
        <f t="shared" si="49"/>
        <v>TinPT Timah (Persero) Tbk Mentok</v>
      </c>
    </row>
    <row r="1732" spans="1:25" s="228" customFormat="1" ht="20.25">
      <c r="A1732" s="161" t="s">
        <v>1238</v>
      </c>
      <c r="B1732" s="408" t="s">
        <v>2323</v>
      </c>
      <c r="C1732" s="297" t="str">
        <f>IF(LEN(A1732)=0,"",INDEX('[2]Smelter Reference List'!$C$1:$C$65536,MATCH($A1732,'[2]Smelter Reference List'!$E$1:$E$65536,0)))</f>
        <v>Argor-Heraeus S.A.</v>
      </c>
      <c r="D1732" s="161" t="s">
        <v>4669</v>
      </c>
      <c r="E1732" s="161" t="s">
        <v>2179</v>
      </c>
      <c r="F1732" s="161" t="s">
        <v>1238</v>
      </c>
      <c r="G1732" s="161" t="s">
        <v>3125</v>
      </c>
      <c r="H1732" s="247">
        <v>0</v>
      </c>
      <c r="I1732" s="248" t="s">
        <v>3137</v>
      </c>
      <c r="J1732" s="248" t="s">
        <v>3138</v>
      </c>
      <c r="K1732" s="245"/>
      <c r="L1732" s="245"/>
      <c r="M1732" s="245"/>
      <c r="N1732" s="245"/>
      <c r="O1732" s="245"/>
      <c r="P1732" s="245"/>
      <c r="Q1732" s="246"/>
      <c r="R1732" s="233"/>
      <c r="S1732" s="234">
        <f>IF(C1732="",NA(),MATCH($B1732&amp;$C1732,'Smelter Reference List'!$J:$J,0))</f>
        <v>17</v>
      </c>
      <c r="T1732" s="235"/>
      <c r="U1732" s="235">
        <f t="shared" si="48"/>
        <v>0</v>
      </c>
      <c r="V1732" s="235"/>
      <c r="W1732" s="235"/>
      <c r="Y1732" s="228" t="str">
        <f t="shared" si="49"/>
        <v>GoldArgor-Heraeus S.A.</v>
      </c>
    </row>
    <row r="1733" spans="1:25" s="228" customFormat="1" ht="20.25">
      <c r="A1733" s="161" t="s">
        <v>1239</v>
      </c>
      <c r="B1733" s="408" t="s">
        <v>2323</v>
      </c>
      <c r="C1733" s="297" t="str">
        <f>IF(LEN(A1733)=0,"",INDEX('[2]Smelter Reference List'!$C$1:$C$65536,MATCH($A1733,'[2]Smelter Reference List'!$E$1:$E$65536,0)))</f>
        <v>Asahi Pretec Corp.</v>
      </c>
      <c r="D1733" s="161" t="s">
        <v>4670</v>
      </c>
      <c r="E1733" s="161" t="s">
        <v>2249</v>
      </c>
      <c r="F1733" s="161" t="s">
        <v>1239</v>
      </c>
      <c r="G1733" s="161" t="s">
        <v>3125</v>
      </c>
      <c r="H1733" s="247">
        <v>0</v>
      </c>
      <c r="I1733" s="248" t="s">
        <v>3139</v>
      </c>
      <c r="J1733" s="248" t="s">
        <v>3140</v>
      </c>
      <c r="K1733" s="245"/>
      <c r="L1733" s="245"/>
      <c r="M1733" s="245"/>
      <c r="N1733" s="245"/>
      <c r="O1733" s="245"/>
      <c r="P1733" s="245"/>
      <c r="Q1733" s="246"/>
      <c r="R1733" s="233"/>
      <c r="S1733" s="234">
        <f>IF(C1733="",NA(),MATCH($B1733&amp;$C1733,'Smelter Reference List'!$J:$J,0))</f>
        <v>18</v>
      </c>
      <c r="T1733" s="235"/>
      <c r="U1733" s="235">
        <f t="shared" si="48"/>
        <v>0</v>
      </c>
      <c r="V1733" s="235"/>
      <c r="W1733" s="235"/>
      <c r="Y1733" s="228" t="str">
        <f t="shared" si="49"/>
        <v>GoldAsahi Pretec Corp.</v>
      </c>
    </row>
    <row r="1734" spans="1:25" s="228" customFormat="1" ht="20.25">
      <c r="A1734" s="161" t="s">
        <v>1258</v>
      </c>
      <c r="B1734" s="408" t="s">
        <v>2323</v>
      </c>
      <c r="C1734" s="297" t="str">
        <f>IF(LEN(A1734)=0,"",INDEX('[2]Smelter Reference List'!$C$1:$C$65536,MATCH($A1734,'[2]Smelter Reference List'!$E$1:$E$65536,0)))</f>
        <v>Dowa</v>
      </c>
      <c r="D1734" s="161" t="s">
        <v>1788</v>
      </c>
      <c r="E1734" s="161" t="s">
        <v>2249</v>
      </c>
      <c r="F1734" s="161" t="s">
        <v>1258</v>
      </c>
      <c r="G1734" s="161" t="s">
        <v>3125</v>
      </c>
      <c r="H1734" s="247">
        <v>0</v>
      </c>
      <c r="I1734" s="248" t="s">
        <v>3173</v>
      </c>
      <c r="J1734" s="248" t="s">
        <v>3174</v>
      </c>
      <c r="K1734" s="245"/>
      <c r="L1734" s="245"/>
      <c r="M1734" s="245"/>
      <c r="N1734" s="245"/>
      <c r="O1734" s="245"/>
      <c r="P1734" s="245"/>
      <c r="Q1734" s="246"/>
      <c r="R1734" s="233"/>
      <c r="S1734" s="234">
        <f>IF(C1734="",NA(),MATCH($B1734&amp;$C1734,'Smelter Reference List'!$J:$J,0))</f>
        <v>49</v>
      </c>
      <c r="T1734" s="235"/>
      <c r="U1734" s="235">
        <f t="shared" ref="U1734:U1797" si="50">IF(AND(C1734="Smelter not listed",OR(LEN(D1734)=0,LEN(E1734)=0)),1,0)</f>
        <v>0</v>
      </c>
      <c r="V1734" s="235"/>
      <c r="W1734" s="235"/>
      <c r="Y1734" s="228" t="str">
        <f t="shared" ref="Y1734:Y1797" si="51">B1734&amp;C1734</f>
        <v>GoldDowa</v>
      </c>
    </row>
    <row r="1735" spans="1:25" s="228" customFormat="1" ht="20.25">
      <c r="A1735" s="161" t="s">
        <v>1264</v>
      </c>
      <c r="B1735" s="408" t="s">
        <v>2323</v>
      </c>
      <c r="C1735" s="297" t="str">
        <f>IF(LEN(A1735)=0,"",INDEX('[2]Smelter Reference List'!$C$1:$C$65536,MATCH($A1735,'[2]Smelter Reference List'!$E$1:$E$65536,0)))</f>
        <v>Heraeus Ltd. Hong Kong</v>
      </c>
      <c r="D1735" s="161" t="s">
        <v>72</v>
      </c>
      <c r="E1735" s="161" t="s">
        <v>2181</v>
      </c>
      <c r="F1735" s="161" t="s">
        <v>1264</v>
      </c>
      <c r="G1735" s="161" t="s">
        <v>3125</v>
      </c>
      <c r="H1735" s="247">
        <v>0</v>
      </c>
      <c r="I1735" s="248" t="s">
        <v>3190</v>
      </c>
      <c r="J1735" s="248" t="s">
        <v>3191</v>
      </c>
      <c r="K1735" s="245"/>
      <c r="L1735" s="245"/>
      <c r="M1735" s="245"/>
      <c r="N1735" s="245"/>
      <c r="O1735" s="245"/>
      <c r="P1735" s="245"/>
      <c r="Q1735" s="246"/>
      <c r="R1735" s="233"/>
      <c r="S1735" s="234">
        <f>IF(C1735="",NA(),MATCH($B1735&amp;$C1735,'Smelter Reference List'!$J:$J,0))</f>
        <v>75</v>
      </c>
      <c r="T1735" s="235"/>
      <c r="U1735" s="235">
        <f t="shared" si="50"/>
        <v>0</v>
      </c>
      <c r="V1735" s="235"/>
      <c r="W1735" s="235"/>
      <c r="Y1735" s="228" t="str">
        <f t="shared" si="51"/>
        <v>GoldHeraeus Ltd. Hong Kong</v>
      </c>
    </row>
    <row r="1736" spans="1:25" s="228" customFormat="1" ht="20.25">
      <c r="A1736" s="161" t="s">
        <v>1269</v>
      </c>
      <c r="B1736" s="408" t="s">
        <v>2323</v>
      </c>
      <c r="C1736" s="297" t="str">
        <f>IF(LEN(A1736)=0,"",INDEX('[2]Smelter Reference List'!$C$1:$C$65536,MATCH($A1736,'[2]Smelter Reference List'!$E$1:$E$65536,0)))</f>
        <v>Ishifuku Metal Industry Co., Ltd.</v>
      </c>
      <c r="D1736" s="161" t="s">
        <v>2452</v>
      </c>
      <c r="E1736" s="161" t="s">
        <v>2249</v>
      </c>
      <c r="F1736" s="161" t="s">
        <v>1269</v>
      </c>
      <c r="G1736" s="161" t="s">
        <v>3125</v>
      </c>
      <c r="H1736" s="247">
        <v>0</v>
      </c>
      <c r="I1736" s="248" t="s">
        <v>3199</v>
      </c>
      <c r="J1736" s="248" t="s">
        <v>3179</v>
      </c>
      <c r="K1736" s="245"/>
      <c r="L1736" s="245"/>
      <c r="M1736" s="245"/>
      <c r="N1736" s="245"/>
      <c r="O1736" s="245"/>
      <c r="P1736" s="245"/>
      <c r="Q1736" s="246"/>
      <c r="R1736" s="233"/>
      <c r="S1736" s="234">
        <f>IF(C1736="",NA(),MATCH($B1736&amp;$C1736,'Smelter Reference List'!$J:$J,0))</f>
        <v>82</v>
      </c>
      <c r="T1736" s="235"/>
      <c r="U1736" s="235">
        <f t="shared" si="50"/>
        <v>0</v>
      </c>
      <c r="V1736" s="235"/>
      <c r="W1736" s="235"/>
      <c r="Y1736" s="228" t="str">
        <f t="shared" si="51"/>
        <v>GoldIshifuku Metal Industry Co., Ltd.</v>
      </c>
    </row>
    <row r="1737" spans="1:25" s="228" customFormat="1" ht="20.25">
      <c r="A1737" s="161" t="s">
        <v>1273</v>
      </c>
      <c r="B1737" s="408" t="s">
        <v>2323</v>
      </c>
      <c r="C1737" s="297" t="str">
        <f>IF(LEN(A1737)=0,"",INDEX('[2]Smelter Reference List'!$C$1:$C$65536,MATCH($A1737,'[2]Smelter Reference List'!$E$1:$E$65536,0)))</f>
        <v>Asahi Refining USA Inc.</v>
      </c>
      <c r="D1737" s="161" t="s">
        <v>4267</v>
      </c>
      <c r="E1737" s="161" t="s">
        <v>1759</v>
      </c>
      <c r="F1737" s="161" t="s">
        <v>1273</v>
      </c>
      <c r="G1737" s="161" t="s">
        <v>3125</v>
      </c>
      <c r="H1737" s="247">
        <v>0</v>
      </c>
      <c r="I1737" s="248" t="s">
        <v>3206</v>
      </c>
      <c r="J1737" s="248" t="s">
        <v>3207</v>
      </c>
      <c r="K1737" s="245"/>
      <c r="L1737" s="245"/>
      <c r="M1737" s="245"/>
      <c r="N1737" s="245"/>
      <c r="O1737" s="245"/>
      <c r="P1737" s="245"/>
      <c r="Q1737" s="246"/>
      <c r="R1737" s="233"/>
      <c r="S1737" s="234">
        <f>IF(C1737="",NA(),MATCH($B1737&amp;$C1737,'Smelter Reference List'!$J:$J,0))</f>
        <v>20</v>
      </c>
      <c r="T1737" s="235"/>
      <c r="U1737" s="235">
        <f t="shared" si="50"/>
        <v>0</v>
      </c>
      <c r="V1737" s="235"/>
      <c r="W1737" s="235"/>
      <c r="Y1737" s="228" t="str">
        <f t="shared" si="51"/>
        <v>GoldAsahi Refining USA Inc.</v>
      </c>
    </row>
    <row r="1738" spans="1:25" s="228" customFormat="1" ht="20.25">
      <c r="A1738" s="161" t="s">
        <v>1277</v>
      </c>
      <c r="B1738" s="408" t="s">
        <v>2323</v>
      </c>
      <c r="C1738" s="297" t="str">
        <f>IF(LEN(A1738)=0,"",INDEX('[2]Smelter Reference List'!$C$1:$C$65536,MATCH($A1738,'[2]Smelter Reference List'!$E$1:$E$65536,0)))</f>
        <v>JX Nippon Mining &amp; Metals Co., Ltd.</v>
      </c>
      <c r="D1738" s="161" t="s">
        <v>73</v>
      </c>
      <c r="E1738" s="161" t="s">
        <v>2249</v>
      </c>
      <c r="F1738" s="161" t="s">
        <v>1277</v>
      </c>
      <c r="G1738" s="161" t="s">
        <v>3125</v>
      </c>
      <c r="H1738" s="247">
        <v>0</v>
      </c>
      <c r="I1738" s="248" t="s">
        <v>4844</v>
      </c>
      <c r="J1738" s="248" t="s">
        <v>4844</v>
      </c>
      <c r="K1738" s="245"/>
      <c r="L1738" s="245"/>
      <c r="M1738" s="245"/>
      <c r="N1738" s="245"/>
      <c r="O1738" s="245"/>
      <c r="P1738" s="245"/>
      <c r="Q1738" s="246"/>
      <c r="R1738" s="233"/>
      <c r="S1738" s="234">
        <f>IF(C1738="",NA(),MATCH($B1738&amp;$C1738,'Smelter Reference List'!$J:$J,0))</f>
        <v>93</v>
      </c>
      <c r="T1738" s="235"/>
      <c r="U1738" s="235">
        <f t="shared" si="50"/>
        <v>0</v>
      </c>
      <c r="V1738" s="235"/>
      <c r="W1738" s="235"/>
      <c r="Y1738" s="228" t="str">
        <f t="shared" si="51"/>
        <v>GoldJX Nippon Mining &amp; Metals Co., Ltd.</v>
      </c>
    </row>
    <row r="1739" spans="1:25" s="228" customFormat="1" ht="20.25">
      <c r="A1739" s="161" t="s">
        <v>1281</v>
      </c>
      <c r="B1739" s="408" t="s">
        <v>2323</v>
      </c>
      <c r="C1739" s="297" t="str">
        <f>IF(LEN(A1739)=0,"",INDEX('[2]Smelter Reference List'!$C$1:$C$65536,MATCH($A1739,'[2]Smelter Reference List'!$E$1:$E$65536,0)))</f>
        <v>Kojima Chemicals Co., Ltd.</v>
      </c>
      <c r="D1739" s="161" t="s">
        <v>4158</v>
      </c>
      <c r="E1739" s="161" t="s">
        <v>2249</v>
      </c>
      <c r="F1739" s="161" t="s">
        <v>1281</v>
      </c>
      <c r="G1739" s="161" t="s">
        <v>3125</v>
      </c>
      <c r="H1739" s="247">
        <v>0</v>
      </c>
      <c r="I1739" s="248" t="s">
        <v>3216</v>
      </c>
      <c r="J1739" s="248" t="s">
        <v>3179</v>
      </c>
      <c r="K1739" s="245"/>
      <c r="L1739" s="245"/>
      <c r="M1739" s="245"/>
      <c r="N1739" s="245"/>
      <c r="O1739" s="245"/>
      <c r="P1739" s="245"/>
      <c r="Q1739" s="246"/>
      <c r="R1739" s="233"/>
      <c r="S1739" s="234">
        <f>IF(C1739="",NA(),MATCH($B1739&amp;$C1739,'Smelter Reference List'!$J:$J,0))</f>
        <v>99</v>
      </c>
      <c r="T1739" s="235"/>
      <c r="U1739" s="235">
        <f t="shared" si="50"/>
        <v>0</v>
      </c>
      <c r="V1739" s="235"/>
      <c r="W1739" s="235"/>
      <c r="Y1739" s="228" t="str">
        <f t="shared" si="51"/>
        <v>GoldKojima Chemicals Co., Ltd.</v>
      </c>
    </row>
    <row r="1740" spans="1:25" s="228" customFormat="1" ht="20.25">
      <c r="A1740" s="161" t="s">
        <v>1290</v>
      </c>
      <c r="B1740" s="408" t="s">
        <v>2323</v>
      </c>
      <c r="C1740" s="297" t="str">
        <f>IF(LEN(A1740)=0,"",INDEX('[2]Smelter Reference List'!$C$1:$C$65536,MATCH($A1740,'[2]Smelter Reference List'!$E$1:$E$65536,0)))</f>
        <v>Matsuda Sangyo Co., Ltd.</v>
      </c>
      <c r="D1740" s="161" t="s">
        <v>75</v>
      </c>
      <c r="E1740" s="161" t="s">
        <v>2249</v>
      </c>
      <c r="F1740" s="161" t="s">
        <v>1290</v>
      </c>
      <c r="G1740" s="161" t="s">
        <v>3125</v>
      </c>
      <c r="H1740" s="247">
        <v>0</v>
      </c>
      <c r="I1740" s="248" t="s">
        <v>3231</v>
      </c>
      <c r="J1740" s="248" t="s">
        <v>3179</v>
      </c>
      <c r="K1740" s="245"/>
      <c r="L1740" s="245"/>
      <c r="M1740" s="245"/>
      <c r="N1740" s="245"/>
      <c r="O1740" s="245"/>
      <c r="P1740" s="245"/>
      <c r="Q1740" s="246"/>
      <c r="R1740" s="233"/>
      <c r="S1740" s="234">
        <f>IF(C1740="",NA(),MATCH($B1740&amp;$C1740,'Smelter Reference List'!$J:$J,0))</f>
        <v>116</v>
      </c>
      <c r="T1740" s="235"/>
      <c r="U1740" s="235">
        <f t="shared" si="50"/>
        <v>0</v>
      </c>
      <c r="V1740" s="235"/>
      <c r="W1740" s="235"/>
      <c r="Y1740" s="228" t="str">
        <f t="shared" si="51"/>
        <v>GoldMatsuda Sangyo Co., Ltd.</v>
      </c>
    </row>
    <row r="1741" spans="1:25" s="228" customFormat="1" ht="20.25">
      <c r="A1741" s="161" t="s">
        <v>1294</v>
      </c>
      <c r="B1741" s="408" t="s">
        <v>2323</v>
      </c>
      <c r="C1741" s="297" t="str">
        <f>IF(LEN(A1741)=0,"",INDEX('[2]Smelter Reference List'!$C$1:$C$65536,MATCH($A1741,'[2]Smelter Reference List'!$E$1:$E$65536,0)))</f>
        <v>Metalor USA Refining Corporation</v>
      </c>
      <c r="D1741" s="161" t="s">
        <v>2453</v>
      </c>
      <c r="E1741" s="161" t="s">
        <v>1759</v>
      </c>
      <c r="F1741" s="161" t="s">
        <v>1294</v>
      </c>
      <c r="G1741" s="161" t="s">
        <v>3125</v>
      </c>
      <c r="H1741" s="247">
        <v>0</v>
      </c>
      <c r="I1741" s="248" t="s">
        <v>3241</v>
      </c>
      <c r="J1741" s="248" t="s">
        <v>3242</v>
      </c>
      <c r="K1741" s="245"/>
      <c r="L1741" s="245"/>
      <c r="M1741" s="245"/>
      <c r="N1741" s="245"/>
      <c r="O1741" s="245"/>
      <c r="P1741" s="245"/>
      <c r="Q1741" s="246"/>
      <c r="R1741" s="233"/>
      <c r="S1741" s="234">
        <f>IF(C1741="",NA(),MATCH($B1741&amp;$C1741,'Smelter Reference List'!$J:$J,0))</f>
        <v>124</v>
      </c>
      <c r="T1741" s="235"/>
      <c r="U1741" s="235">
        <f t="shared" si="50"/>
        <v>0</v>
      </c>
      <c r="V1741" s="235"/>
      <c r="W1741" s="235"/>
      <c r="Y1741" s="228" t="str">
        <f t="shared" si="51"/>
        <v>GoldMetalor USA Refining Corporation</v>
      </c>
    </row>
    <row r="1742" spans="1:25" s="228" customFormat="1" ht="20.25">
      <c r="A1742" s="161" t="s">
        <v>1291</v>
      </c>
      <c r="B1742" s="408" t="s">
        <v>2323</v>
      </c>
      <c r="C1742" s="297" t="str">
        <f>IF(LEN(A1742)=0,"",INDEX('[2]Smelter Reference List'!$C$1:$C$65536,MATCH($A1742,'[2]Smelter Reference List'!$E$1:$E$65536,0)))</f>
        <v>Metalor Technologies (Hong Kong) Ltd.</v>
      </c>
      <c r="D1742" s="161" t="s">
        <v>4162</v>
      </c>
      <c r="E1742" s="161" t="s">
        <v>2181</v>
      </c>
      <c r="F1742" s="161" t="s">
        <v>1291</v>
      </c>
      <c r="G1742" s="161" t="s">
        <v>3125</v>
      </c>
      <c r="H1742" s="247">
        <v>0</v>
      </c>
      <c r="I1742" s="248" t="s">
        <v>3236</v>
      </c>
      <c r="J1742" s="248" t="s">
        <v>3191</v>
      </c>
      <c r="K1742" s="245"/>
      <c r="L1742" s="245"/>
      <c r="M1742" s="245"/>
      <c r="N1742" s="245"/>
      <c r="O1742" s="245"/>
      <c r="P1742" s="245"/>
      <c r="Q1742" s="246"/>
      <c r="R1742" s="233"/>
      <c r="S1742" s="234">
        <f>IF(C1742="",NA(),MATCH($B1742&amp;$C1742,'Smelter Reference List'!$J:$J,0))</f>
        <v>120</v>
      </c>
      <c r="T1742" s="235"/>
      <c r="U1742" s="235">
        <f t="shared" si="50"/>
        <v>0</v>
      </c>
      <c r="V1742" s="235"/>
      <c r="W1742" s="235"/>
      <c r="Y1742" s="228" t="str">
        <f t="shared" si="51"/>
        <v>GoldMetalor Technologies (Hong Kong) Ltd.</v>
      </c>
    </row>
    <row r="1743" spans="1:25" s="228" customFormat="1" ht="20.25">
      <c r="A1743" s="161" t="s">
        <v>1293</v>
      </c>
      <c r="B1743" s="408" t="s">
        <v>2323</v>
      </c>
      <c r="C1743" s="297" t="str">
        <f>IF(LEN(A1743)=0,"",INDEX('[2]Smelter Reference List'!$C$1:$C$65536,MATCH($A1743,'[2]Smelter Reference List'!$E$1:$E$65536,0)))</f>
        <v>Metalor Technologies S.A.</v>
      </c>
      <c r="D1743" s="161" t="s">
        <v>4697</v>
      </c>
      <c r="E1743" s="161" t="s">
        <v>2179</v>
      </c>
      <c r="F1743" s="161" t="s">
        <v>1293</v>
      </c>
      <c r="G1743" s="161" t="s">
        <v>3125</v>
      </c>
      <c r="H1743" s="247">
        <v>0</v>
      </c>
      <c r="I1743" s="248" t="s">
        <v>3239</v>
      </c>
      <c r="J1743" s="248" t="s">
        <v>3240</v>
      </c>
      <c r="K1743" s="245"/>
      <c r="L1743" s="245"/>
      <c r="M1743" s="245"/>
      <c r="N1743" s="245"/>
      <c r="O1743" s="245"/>
      <c r="P1743" s="245"/>
      <c r="Q1743" s="246"/>
      <c r="R1743" s="233"/>
      <c r="S1743" s="234">
        <f>IF(C1743="",NA(),MATCH($B1743&amp;$C1743,'Smelter Reference List'!$J:$J,0))</f>
        <v>123</v>
      </c>
      <c r="T1743" s="235"/>
      <c r="U1743" s="235">
        <f t="shared" si="50"/>
        <v>0</v>
      </c>
      <c r="V1743" s="235"/>
      <c r="W1743" s="235"/>
      <c r="Y1743" s="228" t="str">
        <f t="shared" si="51"/>
        <v>GoldMetalor Technologies S.A.</v>
      </c>
    </row>
    <row r="1744" spans="1:25" s="228" customFormat="1" ht="20.25">
      <c r="A1744" s="161" t="s">
        <v>1296</v>
      </c>
      <c r="B1744" s="408" t="s">
        <v>2323</v>
      </c>
      <c r="C1744" s="297" t="str">
        <f>IF(LEN(A1744)=0,"",INDEX('[2]Smelter Reference List'!$C$1:$C$65536,MATCH($A1744,'[2]Smelter Reference List'!$E$1:$E$65536,0)))</f>
        <v>Mitsubishi Materials Corporation</v>
      </c>
      <c r="D1744" s="161" t="s">
        <v>2371</v>
      </c>
      <c r="E1744" s="161" t="s">
        <v>2249</v>
      </c>
      <c r="F1744" s="161" t="s">
        <v>1296</v>
      </c>
      <c r="G1744" s="161" t="s">
        <v>3125</v>
      </c>
      <c r="H1744" s="247">
        <v>0</v>
      </c>
      <c r="I1744" s="248" t="s">
        <v>3245</v>
      </c>
      <c r="J1744" s="248" t="s">
        <v>4283</v>
      </c>
      <c r="K1744" s="245"/>
      <c r="L1744" s="245"/>
      <c r="M1744" s="245"/>
      <c r="N1744" s="245"/>
      <c r="O1744" s="245"/>
      <c r="P1744" s="245"/>
      <c r="Q1744" s="246"/>
      <c r="R1744" s="233"/>
      <c r="S1744" s="234">
        <f>IF(C1744="",NA(),MATCH($B1744&amp;$C1744,'Smelter Reference List'!$J:$J,0))</f>
        <v>128</v>
      </c>
      <c r="T1744" s="235"/>
      <c r="U1744" s="235">
        <f t="shared" si="50"/>
        <v>0</v>
      </c>
      <c r="V1744" s="235"/>
      <c r="W1744" s="235"/>
      <c r="Y1744" s="228" t="str">
        <f t="shared" si="51"/>
        <v>GoldMitsubishi Materials Corporation</v>
      </c>
    </row>
    <row r="1745" spans="1:25" s="228" customFormat="1" ht="20.25">
      <c r="A1745" s="161" t="s">
        <v>1297</v>
      </c>
      <c r="B1745" s="408" t="s">
        <v>2323</v>
      </c>
      <c r="C1745" s="297" t="str">
        <f>IF(LEN(A1745)=0,"",INDEX('[2]Smelter Reference List'!$C$1:$C$65536,MATCH($A1745,'[2]Smelter Reference List'!$E$1:$E$65536,0)))</f>
        <v>Mitsui Mining and Smelting Co., Ltd.</v>
      </c>
      <c r="D1745" s="161" t="s">
        <v>2454</v>
      </c>
      <c r="E1745" s="161" t="s">
        <v>2249</v>
      </c>
      <c r="F1745" s="161" t="s">
        <v>1297</v>
      </c>
      <c r="G1745" s="161" t="s">
        <v>3125</v>
      </c>
      <c r="H1745" s="247">
        <v>0</v>
      </c>
      <c r="I1745" s="248" t="s">
        <v>3247</v>
      </c>
      <c r="J1745" s="248" t="s">
        <v>3246</v>
      </c>
      <c r="K1745" s="245"/>
      <c r="L1745" s="245"/>
      <c r="M1745" s="245"/>
      <c r="N1745" s="245"/>
      <c r="O1745" s="245"/>
      <c r="P1745" s="245"/>
      <c r="Q1745" s="246"/>
      <c r="R1745" s="233"/>
      <c r="S1745" s="234">
        <f>IF(C1745="",NA(),MATCH($B1745&amp;$C1745,'Smelter Reference List'!$J:$J,0))</f>
        <v>130</v>
      </c>
      <c r="T1745" s="235"/>
      <c r="U1745" s="235">
        <f t="shared" si="50"/>
        <v>0</v>
      </c>
      <c r="V1745" s="235"/>
      <c r="W1745" s="235"/>
      <c r="Y1745" s="228" t="str">
        <f t="shared" si="51"/>
        <v>GoldMitsui Mining and Smelting Co., Ltd.</v>
      </c>
    </row>
    <row r="1746" spans="1:25" s="228" customFormat="1" ht="20.25">
      <c r="A1746" s="161" t="s">
        <v>1300</v>
      </c>
      <c r="B1746" s="408" t="s">
        <v>2323</v>
      </c>
      <c r="C1746" s="297" t="str">
        <f>IF(LEN(A1746)=0,"",INDEX('[2]Smelter Reference List'!$C$1:$C$65536,MATCH($A1746,'[2]Smelter Reference List'!$E$1:$E$65536,0)))</f>
        <v>Navoi Mining and Metallurgical Combinat</v>
      </c>
      <c r="D1746" s="161" t="s">
        <v>2455</v>
      </c>
      <c r="E1746" s="161" t="s">
        <v>1760</v>
      </c>
      <c r="F1746" s="161" t="s">
        <v>1300</v>
      </c>
      <c r="G1746" s="161" t="s">
        <v>3125</v>
      </c>
      <c r="H1746" s="247">
        <v>0</v>
      </c>
      <c r="I1746" s="248" t="s">
        <v>3251</v>
      </c>
      <c r="J1746" s="248" t="s">
        <v>3252</v>
      </c>
      <c r="K1746" s="245"/>
      <c r="L1746" s="245"/>
      <c r="M1746" s="245"/>
      <c r="N1746" s="245"/>
      <c r="O1746" s="245"/>
      <c r="P1746" s="245"/>
      <c r="Q1746" s="246"/>
      <c r="R1746" s="233"/>
      <c r="S1746" s="234">
        <f>IF(C1746="",NA(),MATCH($B1746&amp;$C1746,'Smelter Reference List'!$J:$J,0))</f>
        <v>136</v>
      </c>
      <c r="T1746" s="235"/>
      <c r="U1746" s="235">
        <f t="shared" si="50"/>
        <v>0</v>
      </c>
      <c r="V1746" s="235"/>
      <c r="W1746" s="235"/>
      <c r="Y1746" s="228" t="str">
        <f t="shared" si="51"/>
        <v>GoldNavoi Mining and Metallurgical Combinat</v>
      </c>
    </row>
    <row r="1747" spans="1:25" s="228" customFormat="1" ht="20.25">
      <c r="A1747" s="161" t="s">
        <v>1302</v>
      </c>
      <c r="B1747" s="408" t="s">
        <v>2323</v>
      </c>
      <c r="C1747" s="297" t="str">
        <f>IF(LEN(A1747)=0,"",INDEX('[2]Smelter Reference List'!$C$1:$C$65536,MATCH($A1747,'[2]Smelter Reference List'!$E$1:$E$65536,0)))</f>
        <v>Elemetal Refining, LLC</v>
      </c>
      <c r="D1747" s="161" t="s">
        <v>4268</v>
      </c>
      <c r="E1747" s="161" t="s">
        <v>1759</v>
      </c>
      <c r="F1747" s="161" t="s">
        <v>1302</v>
      </c>
      <c r="G1747" s="161" t="s">
        <v>3125</v>
      </c>
      <c r="H1747" s="247">
        <v>0</v>
      </c>
      <c r="I1747" s="248" t="s">
        <v>3255</v>
      </c>
      <c r="J1747" s="248" t="s">
        <v>3256</v>
      </c>
      <c r="K1747" s="245"/>
      <c r="L1747" s="245"/>
      <c r="M1747" s="245"/>
      <c r="N1747" s="245"/>
      <c r="O1747" s="245"/>
      <c r="P1747" s="245"/>
      <c r="Q1747" s="246"/>
      <c r="R1747" s="233"/>
      <c r="S1747" s="234">
        <f>IF(C1747="",NA(),MATCH($B1747&amp;$C1747,'Smelter Reference List'!$J:$J,0))</f>
        <v>55</v>
      </c>
      <c r="T1747" s="235"/>
      <c r="U1747" s="235">
        <f t="shared" si="50"/>
        <v>0</v>
      </c>
      <c r="V1747" s="235"/>
      <c r="W1747" s="235"/>
      <c r="Y1747" s="228" t="str">
        <f t="shared" si="51"/>
        <v>GoldElemetal Refining, LLC</v>
      </c>
    </row>
    <row r="1748" spans="1:25" s="228" customFormat="1" ht="20.25">
      <c r="A1748" s="161" t="s">
        <v>1332</v>
      </c>
      <c r="B1748" s="408" t="s">
        <v>2323</v>
      </c>
      <c r="C1748" s="297" t="str">
        <f>IF(LEN(A1748)=0,"",INDEX('[2]Smelter Reference List'!$C$1:$C$65536,MATCH($A1748,'[2]Smelter Reference List'!$E$1:$E$65536,0)))</f>
        <v>Western Australian Mint trading as The Perth Mint</v>
      </c>
      <c r="D1748" s="161" t="s">
        <v>2322</v>
      </c>
      <c r="E1748" s="161" t="s">
        <v>2154</v>
      </c>
      <c r="F1748" s="161" t="s">
        <v>1332</v>
      </c>
      <c r="G1748" s="161" t="s">
        <v>3125</v>
      </c>
      <c r="H1748" s="247">
        <v>0</v>
      </c>
      <c r="I1748" s="248" t="s">
        <v>3318</v>
      </c>
      <c r="J1748" s="248" t="s">
        <v>3319</v>
      </c>
      <c r="K1748" s="245"/>
      <c r="L1748" s="245"/>
      <c r="M1748" s="245"/>
      <c r="N1748" s="245"/>
      <c r="O1748" s="245"/>
      <c r="P1748" s="245"/>
      <c r="Q1748" s="246"/>
      <c r="R1748" s="233"/>
      <c r="S1748" s="234">
        <f>IF(C1748="",NA(),MATCH($B1748&amp;$C1748,'Smelter Reference List'!$J:$J,0))</f>
        <v>218</v>
      </c>
      <c r="T1748" s="235"/>
      <c r="U1748" s="235">
        <f t="shared" si="50"/>
        <v>0</v>
      </c>
      <c r="V1748" s="235"/>
      <c r="W1748" s="235"/>
      <c r="Y1748" s="228" t="str">
        <f t="shared" si="51"/>
        <v>GoldWestern Australian Mint trading as The Perth Mint</v>
      </c>
    </row>
    <row r="1749" spans="1:25" s="228" customFormat="1" ht="20.25">
      <c r="A1749" s="161" t="s">
        <v>1311</v>
      </c>
      <c r="B1749" s="408" t="s">
        <v>2323</v>
      </c>
      <c r="C1749" s="297" t="str">
        <f>IF(LEN(A1749)=0,"",INDEX('[2]Smelter Reference List'!$C$1:$C$65536,MATCH($A1749,'[2]Smelter Reference List'!$E$1:$E$65536,0)))</f>
        <v>Royal Canadian Mint</v>
      </c>
      <c r="D1749" s="161" t="s">
        <v>1795</v>
      </c>
      <c r="E1749" s="161" t="s">
        <v>2177</v>
      </c>
      <c r="F1749" s="161" t="s">
        <v>1311</v>
      </c>
      <c r="G1749" s="161" t="s">
        <v>3125</v>
      </c>
      <c r="H1749" s="247">
        <v>0</v>
      </c>
      <c r="I1749" s="248" t="s">
        <v>3272</v>
      </c>
      <c r="J1749" s="248" t="s">
        <v>3210</v>
      </c>
      <c r="K1749" s="245"/>
      <c r="L1749" s="245"/>
      <c r="M1749" s="245"/>
      <c r="N1749" s="245"/>
      <c r="O1749" s="245"/>
      <c r="P1749" s="245"/>
      <c r="Q1749" s="246"/>
      <c r="R1749" s="233"/>
      <c r="S1749" s="234">
        <f>IF(C1749="",NA(),MATCH($B1749&amp;$C1749,'Smelter Reference List'!$J:$J,0))</f>
        <v>159</v>
      </c>
      <c r="T1749" s="235"/>
      <c r="U1749" s="235">
        <f t="shared" si="50"/>
        <v>0</v>
      </c>
      <c r="V1749" s="235"/>
      <c r="W1749" s="235"/>
      <c r="Y1749" s="228" t="str">
        <f t="shared" si="51"/>
        <v>GoldRoyal Canadian Mint</v>
      </c>
    </row>
    <row r="1750" spans="1:25" s="228" customFormat="1" ht="20.25">
      <c r="A1750" s="161" t="s">
        <v>1321</v>
      </c>
      <c r="B1750" s="408" t="s">
        <v>2323</v>
      </c>
      <c r="C1750" s="297" t="str">
        <f>IF(LEN(A1750)=0,"",INDEX('[2]Smelter Reference List'!$C$1:$C$65536,MATCH($A1750,'[2]Smelter Reference List'!$E$1:$E$65536,0)))</f>
        <v>Sumitomo Metal Mining Co., Ltd.</v>
      </c>
      <c r="D1750" s="161" t="s">
        <v>77</v>
      </c>
      <c r="E1750" s="161" t="s">
        <v>2249</v>
      </c>
      <c r="F1750" s="161" t="s">
        <v>1321</v>
      </c>
      <c r="G1750" s="161" t="s">
        <v>3125</v>
      </c>
      <c r="H1750" s="247">
        <v>0</v>
      </c>
      <c r="I1750" s="248" t="s">
        <v>3297</v>
      </c>
      <c r="J1750" s="248" t="s">
        <v>4284</v>
      </c>
      <c r="K1750" s="245"/>
      <c r="L1750" s="245"/>
      <c r="M1750" s="245"/>
      <c r="N1750" s="245"/>
      <c r="O1750" s="245"/>
      <c r="P1750" s="245"/>
      <c r="Q1750" s="246"/>
      <c r="R1750" s="233"/>
      <c r="S1750" s="234">
        <f>IF(C1750="",NA(),MATCH($B1750&amp;$C1750,'Smelter Reference List'!$J:$J,0))</f>
        <v>190</v>
      </c>
      <c r="T1750" s="235"/>
      <c r="U1750" s="235">
        <f t="shared" si="50"/>
        <v>0</v>
      </c>
      <c r="V1750" s="235"/>
      <c r="W1750" s="235"/>
      <c r="Y1750" s="228" t="str">
        <f t="shared" si="51"/>
        <v>GoldSumitomo Metal Mining Co., Ltd.</v>
      </c>
    </row>
    <row r="1751" spans="1:25" s="228" customFormat="1" ht="20.25">
      <c r="A1751" s="161" t="s">
        <v>1322</v>
      </c>
      <c r="B1751" s="408" t="s">
        <v>2323</v>
      </c>
      <c r="C1751" s="297" t="str">
        <f>IF(LEN(A1751)=0,"",INDEX('[2]Smelter Reference List'!$C$1:$C$65536,MATCH($A1751,'[2]Smelter Reference List'!$E$1:$E$65536,0)))</f>
        <v>Tanaka Kikinzoku Kogyo K.K.</v>
      </c>
      <c r="D1751" s="161" t="s">
        <v>2457</v>
      </c>
      <c r="E1751" s="161" t="s">
        <v>2249</v>
      </c>
      <c r="F1751" s="161" t="s">
        <v>1322</v>
      </c>
      <c r="G1751" s="161" t="s">
        <v>3125</v>
      </c>
      <c r="H1751" s="247">
        <v>0</v>
      </c>
      <c r="I1751" s="248" t="s">
        <v>3299</v>
      </c>
      <c r="J1751" s="248" t="s">
        <v>3300</v>
      </c>
      <c r="K1751" s="245"/>
      <c r="L1751" s="245"/>
      <c r="M1751" s="245"/>
      <c r="N1751" s="245"/>
      <c r="O1751" s="245"/>
      <c r="P1751" s="245"/>
      <c r="Q1751" s="246"/>
      <c r="R1751" s="233"/>
      <c r="S1751" s="234">
        <f>IF(C1751="",NA(),MATCH($B1751&amp;$C1751,'Smelter Reference List'!$J:$J,0))</f>
        <v>200</v>
      </c>
      <c r="T1751" s="235"/>
      <c r="U1751" s="235">
        <f t="shared" si="50"/>
        <v>0</v>
      </c>
      <c r="V1751" s="235"/>
      <c r="W1751" s="235"/>
      <c r="Y1751" s="228" t="str">
        <f t="shared" si="51"/>
        <v>GoldTanaka Kikinzoku Kogyo K.K.</v>
      </c>
    </row>
    <row r="1752" spans="1:25" s="228" customFormat="1" ht="20.25">
      <c r="A1752" s="161" t="s">
        <v>1325</v>
      </c>
      <c r="B1752" s="408" t="s">
        <v>2323</v>
      </c>
      <c r="C1752" s="297" t="str">
        <f>IF(LEN(A1752)=0,"",INDEX('[2]Smelter Reference List'!$C$1:$C$65536,MATCH($A1752,'[2]Smelter Reference List'!$E$1:$E$65536,0)))</f>
        <v>Tokuriki Honten Co., Ltd.</v>
      </c>
      <c r="D1752" s="161" t="s">
        <v>4178</v>
      </c>
      <c r="E1752" s="161" t="s">
        <v>2249</v>
      </c>
      <c r="F1752" s="161" t="s">
        <v>1325</v>
      </c>
      <c r="G1752" s="161" t="s">
        <v>3125</v>
      </c>
      <c r="H1752" s="247">
        <v>0</v>
      </c>
      <c r="I1752" s="248" t="s">
        <v>3305</v>
      </c>
      <c r="J1752" s="248" t="s">
        <v>3179</v>
      </c>
      <c r="K1752" s="245"/>
      <c r="L1752" s="245"/>
      <c r="M1752" s="245"/>
      <c r="N1752" s="245"/>
      <c r="O1752" s="245"/>
      <c r="P1752" s="245"/>
      <c r="Q1752" s="246"/>
      <c r="R1752" s="233"/>
      <c r="S1752" s="234">
        <f>IF(C1752="",NA(),MATCH($B1752&amp;$C1752,'Smelter Reference List'!$J:$J,0))</f>
        <v>205</v>
      </c>
      <c r="T1752" s="235"/>
      <c r="U1752" s="235">
        <f t="shared" si="50"/>
        <v>0</v>
      </c>
      <c r="V1752" s="235"/>
      <c r="W1752" s="235"/>
      <c r="Y1752" s="228" t="str">
        <f t="shared" si="51"/>
        <v>GoldTokuriki Honten Co., Ltd.</v>
      </c>
    </row>
    <row r="1753" spans="1:25" s="228" customFormat="1" ht="20.25">
      <c r="A1753" s="161" t="s">
        <v>1248</v>
      </c>
      <c r="B1753" s="408" t="s">
        <v>2323</v>
      </c>
      <c r="C1753" s="297" t="str">
        <f>IF(LEN(A1753)=0,"",INDEX('[2]Smelter Reference List'!$C$1:$C$65536,MATCH($A1753,'[2]Smelter Reference List'!$E$1:$E$65536,0)))</f>
        <v>CCR Refinery - Glencore Canada Corporation</v>
      </c>
      <c r="D1753" s="161" t="s">
        <v>4323</v>
      </c>
      <c r="E1753" s="161" t="s">
        <v>2177</v>
      </c>
      <c r="F1753" s="161" t="s">
        <v>1248</v>
      </c>
      <c r="G1753" s="161" t="s">
        <v>3125</v>
      </c>
      <c r="H1753" s="247">
        <v>0</v>
      </c>
      <c r="I1753" s="248" t="s">
        <v>3154</v>
      </c>
      <c r="J1753" s="248" t="s">
        <v>3155</v>
      </c>
      <c r="K1753" s="245"/>
      <c r="L1753" s="245"/>
      <c r="M1753" s="245"/>
      <c r="N1753" s="245"/>
      <c r="O1753" s="245"/>
      <c r="P1753" s="245"/>
      <c r="Q1753" s="246"/>
      <c r="R1753" s="233"/>
      <c r="S1753" s="234">
        <f>IF(C1753="",NA(),MATCH($B1753&amp;$C1753,'Smelter Reference List'!$J:$J,0))</f>
        <v>33</v>
      </c>
      <c r="T1753" s="235"/>
      <c r="U1753" s="235">
        <f t="shared" si="50"/>
        <v>0</v>
      </c>
      <c r="V1753" s="235"/>
      <c r="W1753" s="235"/>
      <c r="Y1753" s="228" t="str">
        <f t="shared" si="51"/>
        <v>GoldCCR Refinery - Glencore Canada Corporation</v>
      </c>
    </row>
    <row r="1754" spans="1:25" s="228" customFormat="1" ht="20.25">
      <c r="A1754" s="161" t="s">
        <v>1367</v>
      </c>
      <c r="B1754" s="408" t="s">
        <v>2324</v>
      </c>
      <c r="C1754" s="297" t="str">
        <f>IF(LEN(A1754)=0,"",INDEX('[2]Smelter Reference List'!$C$1:$C$65536,MATCH($A1754,'[2]Smelter Reference List'!$E$1:$E$65536,0)))</f>
        <v>CV United Smelting</v>
      </c>
      <c r="D1754" s="161" t="s">
        <v>1505</v>
      </c>
      <c r="E1754" s="161" t="s">
        <v>2238</v>
      </c>
      <c r="F1754" s="161" t="s">
        <v>1367</v>
      </c>
      <c r="G1754" s="161" t="s">
        <v>3125</v>
      </c>
      <c r="H1754" s="247">
        <v>0</v>
      </c>
      <c r="I1754" s="248" t="s">
        <v>3457</v>
      </c>
      <c r="J1754" s="248" t="s">
        <v>3454</v>
      </c>
      <c r="K1754" s="245"/>
      <c r="L1754" s="245"/>
      <c r="M1754" s="245"/>
      <c r="N1754" s="245"/>
      <c r="O1754" s="245"/>
      <c r="P1754" s="245"/>
      <c r="Q1754" s="246"/>
      <c r="R1754" s="233"/>
      <c r="S1754" s="234">
        <f>IF(C1754="",NA(),MATCH($B1754&amp;$C1754,'Smelter Reference List'!$J:$J,0))</f>
        <v>335</v>
      </c>
      <c r="T1754" s="235"/>
      <c r="U1754" s="235">
        <f t="shared" si="50"/>
        <v>0</v>
      </c>
      <c r="V1754" s="235"/>
      <c r="W1754" s="235"/>
      <c r="Y1754" s="228" t="str">
        <f t="shared" si="51"/>
        <v>TinCV United Smelting</v>
      </c>
    </row>
    <row r="1755" spans="1:25" s="228" customFormat="1" ht="20.25">
      <c r="A1755" s="161" t="s">
        <v>1368</v>
      </c>
      <c r="B1755" s="408" t="s">
        <v>2324</v>
      </c>
      <c r="C1755" s="297" t="str">
        <f>IF(LEN(A1755)=0,"",INDEX('[2]Smelter Reference List'!$C$1:$C$65536,MATCH($A1755,'[2]Smelter Reference List'!$E$1:$E$65536,0)))</f>
        <v>EM Vinto</v>
      </c>
      <c r="D1755" s="161" t="s">
        <v>1506</v>
      </c>
      <c r="E1755" s="161" t="s">
        <v>2169</v>
      </c>
      <c r="F1755" s="161" t="s">
        <v>1368</v>
      </c>
      <c r="G1755" s="161" t="s">
        <v>3125</v>
      </c>
      <c r="H1755" s="247">
        <v>0</v>
      </c>
      <c r="I1755" s="248" t="s">
        <v>3459</v>
      </c>
      <c r="J1755" s="248" t="s">
        <v>3460</v>
      </c>
      <c r="K1755" s="245"/>
      <c r="L1755" s="245"/>
      <c r="M1755" s="245"/>
      <c r="N1755" s="245"/>
      <c r="O1755" s="245"/>
      <c r="P1755" s="245"/>
      <c r="Q1755" s="246"/>
      <c r="R1755" s="233"/>
      <c r="S1755" s="234">
        <f>IF(C1755="",NA(),MATCH($B1755&amp;$C1755,'Smelter Reference List'!$J:$J,0))</f>
        <v>341</v>
      </c>
      <c r="T1755" s="235"/>
      <c r="U1755" s="235">
        <f t="shared" si="50"/>
        <v>0</v>
      </c>
      <c r="V1755" s="235"/>
      <c r="W1755" s="235"/>
      <c r="Y1755" s="228" t="str">
        <f t="shared" si="51"/>
        <v>TinEM Vinto</v>
      </c>
    </row>
    <row r="1756" spans="1:25" s="228" customFormat="1" ht="20.25">
      <c r="A1756" s="161" t="s">
        <v>1375</v>
      </c>
      <c r="B1756" s="408" t="s">
        <v>2324</v>
      </c>
      <c r="C1756" s="297" t="str">
        <f>IF(LEN(A1756)=0,"",INDEX('[2]Smelter Reference List'!$C$1:$C$65536,MATCH($A1756,'[2]Smelter Reference List'!$E$1:$E$65536,0)))</f>
        <v>Gejiu Kai Meng Industry and Trade LLC</v>
      </c>
      <c r="D1756" s="161" t="s">
        <v>2757</v>
      </c>
      <c r="E1756" s="161" t="s">
        <v>2181</v>
      </c>
      <c r="F1756" s="161" t="s">
        <v>1375</v>
      </c>
      <c r="G1756" s="161" t="s">
        <v>3125</v>
      </c>
      <c r="H1756" s="247">
        <v>0</v>
      </c>
      <c r="I1756" s="248" t="s">
        <v>3472</v>
      </c>
      <c r="J1756" s="248" t="s">
        <v>3473</v>
      </c>
      <c r="K1756" s="245"/>
      <c r="L1756" s="245"/>
      <c r="M1756" s="245"/>
      <c r="N1756" s="245"/>
      <c r="O1756" s="245"/>
      <c r="P1756" s="245"/>
      <c r="Q1756" s="246"/>
      <c r="R1756" s="233"/>
      <c r="S1756" s="234">
        <f>IF(C1756="",NA(),MATCH($B1756&amp;$C1756,'Smelter Reference List'!$J:$J,0))</f>
        <v>352</v>
      </c>
      <c r="T1756" s="235"/>
      <c r="U1756" s="235">
        <f t="shared" si="50"/>
        <v>0</v>
      </c>
      <c r="V1756" s="235"/>
      <c r="W1756" s="235"/>
      <c r="Y1756" s="228" t="str">
        <f t="shared" si="51"/>
        <v>TinGejiu Kai Meng Industry and Trade LLC</v>
      </c>
    </row>
    <row r="1757" spans="1:25" s="228" customFormat="1" ht="20.25">
      <c r="A1757" s="161" t="s">
        <v>1378</v>
      </c>
      <c r="B1757" s="408" t="s">
        <v>2324</v>
      </c>
      <c r="C1757" s="297" t="str">
        <f>IF(LEN(A1757)=0,"",INDEX('[2]Smelter Reference List'!$C$1:$C$65536,MATCH($A1757,'[2]Smelter Reference List'!$E$1:$E$65536,0)))</f>
        <v>Malaysia Smelting Corporation (MSC)</v>
      </c>
      <c r="D1757" s="161" t="s">
        <v>1471</v>
      </c>
      <c r="E1757" s="161" t="s">
        <v>2289</v>
      </c>
      <c r="F1757" s="161" t="s">
        <v>1378</v>
      </c>
      <c r="G1757" s="161" t="s">
        <v>3125</v>
      </c>
      <c r="H1757" s="247">
        <v>0</v>
      </c>
      <c r="I1757" s="248" t="s">
        <v>3481</v>
      </c>
      <c r="J1757" s="248" t="s">
        <v>3482</v>
      </c>
      <c r="K1757" s="245"/>
      <c r="L1757" s="245"/>
      <c r="M1757" s="245"/>
      <c r="N1757" s="245"/>
      <c r="O1757" s="245"/>
      <c r="P1757" s="245"/>
      <c r="Q1757" s="246"/>
      <c r="R1757" s="233"/>
      <c r="S1757" s="234">
        <f>IF(C1757="",NA(),MATCH($B1757&amp;$C1757,'Smelter Reference List'!$J:$J,0))</f>
        <v>377</v>
      </c>
      <c r="T1757" s="235"/>
      <c r="U1757" s="235">
        <f t="shared" si="50"/>
        <v>0</v>
      </c>
      <c r="V1757" s="235"/>
      <c r="W1757" s="235"/>
      <c r="Y1757" s="228" t="str">
        <f t="shared" si="51"/>
        <v>TinMalaysia Smelting Corporation (MSC)</v>
      </c>
    </row>
    <row r="1758" spans="1:25" s="228" customFormat="1" ht="20.25">
      <c r="A1758" s="161"/>
      <c r="B1758" s="408" t="s">
        <v>2324</v>
      </c>
      <c r="C1758" s="297" t="s">
        <v>3604</v>
      </c>
      <c r="D1758" s="228" t="s">
        <v>3604</v>
      </c>
      <c r="E1758" s="228" t="s">
        <v>5676</v>
      </c>
      <c r="F1758" s="228" t="s">
        <v>2158</v>
      </c>
      <c r="G1758" s="161" t="s">
        <v>5584</v>
      </c>
      <c r="H1758" s="228" t="s">
        <v>5512</v>
      </c>
      <c r="K1758" s="228" t="s">
        <v>5858</v>
      </c>
      <c r="L1758" s="228" t="s">
        <v>5859</v>
      </c>
      <c r="M1758" s="228" t="s">
        <v>5885</v>
      </c>
      <c r="N1758" s="228" t="s">
        <v>5937</v>
      </c>
      <c r="O1758" s="228" t="s">
        <v>5061</v>
      </c>
      <c r="Q1758" s="228" t="s">
        <v>5061</v>
      </c>
      <c r="R1758" s="233"/>
      <c r="S1758" s="234">
        <f>IF(C1758="",NA(),MATCH($B1758&amp;$C1758,'Smelter Reference List'!$J:$J,0))</f>
        <v>467</v>
      </c>
      <c r="T1758" s="235"/>
      <c r="U1758" s="235">
        <f t="shared" si="50"/>
        <v>0</v>
      </c>
      <c r="V1758" s="235"/>
      <c r="W1758" s="235"/>
      <c r="Y1758" s="228" t="str">
        <f t="shared" si="51"/>
        <v>TinSmelter not listed</v>
      </c>
    </row>
    <row r="1759" spans="1:25" s="228" customFormat="1" ht="20.25">
      <c r="A1759" s="161" t="s">
        <v>1379</v>
      </c>
      <c r="B1759" s="408" t="s">
        <v>2324</v>
      </c>
      <c r="C1759" s="297" t="str">
        <f>IF(LEN(A1759)=0,"",INDEX('[2]Smelter Reference List'!$C$1:$C$65536,MATCH($A1759,'[2]Smelter Reference List'!$E$1:$E$65536,0)))</f>
        <v>Mineração Taboca S.A.</v>
      </c>
      <c r="D1759" s="161" t="s">
        <v>1953</v>
      </c>
      <c r="E1759" s="161" t="s">
        <v>2170</v>
      </c>
      <c r="F1759" s="161" t="s">
        <v>1379</v>
      </c>
      <c r="G1759" s="161" t="s">
        <v>3125</v>
      </c>
      <c r="H1759" s="247">
        <v>0</v>
      </c>
      <c r="I1759" s="248" t="s">
        <v>3485</v>
      </c>
      <c r="J1759" s="248" t="s">
        <v>3313</v>
      </c>
      <c r="K1759" s="245"/>
      <c r="L1759" s="245"/>
      <c r="M1759" s="245"/>
      <c r="N1759" s="245"/>
      <c r="O1759" s="245"/>
      <c r="P1759" s="245"/>
      <c r="Q1759" s="246"/>
      <c r="R1759" s="233"/>
      <c r="S1759" s="234">
        <f>IF(C1759="",NA(),MATCH($B1759&amp;$C1759,'Smelter Reference List'!$J:$J,0))</f>
        <v>383</v>
      </c>
      <c r="T1759" s="235"/>
      <c r="U1759" s="235">
        <f t="shared" si="50"/>
        <v>0</v>
      </c>
      <c r="V1759" s="235"/>
      <c r="W1759" s="235"/>
      <c r="Y1759" s="228" t="str">
        <f t="shared" si="51"/>
        <v>TinMineração Taboca S.A.</v>
      </c>
    </row>
    <row r="1760" spans="1:25" s="228" customFormat="1" ht="20.25">
      <c r="A1760" s="161" t="s">
        <v>1380</v>
      </c>
      <c r="B1760" s="408" t="s">
        <v>2324</v>
      </c>
      <c r="C1760" s="297" t="str">
        <f>IF(LEN(A1760)=0,"",INDEX('[2]Smelter Reference List'!$C$1:$C$65536,MATCH($A1760,'[2]Smelter Reference List'!$E$1:$E$65536,0)))</f>
        <v>Minsur</v>
      </c>
      <c r="D1760" s="161" t="s">
        <v>1954</v>
      </c>
      <c r="E1760" s="161" t="s">
        <v>1704</v>
      </c>
      <c r="F1760" s="161" t="s">
        <v>1380</v>
      </c>
      <c r="G1760" s="161" t="s">
        <v>3125</v>
      </c>
      <c r="H1760" s="247">
        <v>0</v>
      </c>
      <c r="I1760" s="248" t="s">
        <v>3487</v>
      </c>
      <c r="J1760" s="248" t="s">
        <v>3488</v>
      </c>
      <c r="K1760" s="245"/>
      <c r="L1760" s="245"/>
      <c r="M1760" s="245"/>
      <c r="N1760" s="245"/>
      <c r="O1760" s="245"/>
      <c r="P1760" s="245"/>
      <c r="Q1760" s="246"/>
      <c r="R1760" s="233"/>
      <c r="S1760" s="234">
        <f>IF(C1760="",NA(),MATCH($B1760&amp;$C1760,'Smelter Reference List'!$J:$J,0))</f>
        <v>384</v>
      </c>
      <c r="T1760" s="235"/>
      <c r="U1760" s="235">
        <f t="shared" si="50"/>
        <v>0</v>
      </c>
      <c r="V1760" s="235"/>
      <c r="W1760" s="235"/>
      <c r="Y1760" s="228" t="str">
        <f t="shared" si="51"/>
        <v>TinMinsur</v>
      </c>
    </row>
    <row r="1761" spans="1:25" s="228" customFormat="1" ht="20.25">
      <c r="A1761" s="161" t="s">
        <v>1384</v>
      </c>
      <c r="B1761" s="408" t="s">
        <v>2324</v>
      </c>
      <c r="C1761" s="297" t="str">
        <f>IF(LEN(A1761)=0,"",INDEX('[2]Smelter Reference List'!$C$1:$C$65536,MATCH($A1761,'[2]Smelter Reference List'!$E$1:$E$65536,0)))</f>
        <v>Operaciones Metalurgical S.A.</v>
      </c>
      <c r="D1761" s="161" t="s">
        <v>3494</v>
      </c>
      <c r="E1761" s="161" t="s">
        <v>2169</v>
      </c>
      <c r="F1761" s="161" t="s">
        <v>1384</v>
      </c>
      <c r="G1761" s="161" t="s">
        <v>3125</v>
      </c>
      <c r="H1761" s="247">
        <v>0</v>
      </c>
      <c r="I1761" s="248" t="s">
        <v>3459</v>
      </c>
      <c r="J1761" s="248" t="s">
        <v>3460</v>
      </c>
      <c r="K1761" s="245"/>
      <c r="L1761" s="245"/>
      <c r="M1761" s="245"/>
      <c r="N1761" s="245"/>
      <c r="O1761" s="245"/>
      <c r="P1761" s="245"/>
      <c r="Q1761" s="246"/>
      <c r="R1761" s="233"/>
      <c r="S1761" s="234">
        <f>IF(C1761="",NA(),MATCH($B1761&amp;$C1761,'Smelter Reference List'!$J:$J,0))</f>
        <v>394</v>
      </c>
      <c r="T1761" s="235"/>
      <c r="U1761" s="235">
        <f t="shared" si="50"/>
        <v>0</v>
      </c>
      <c r="V1761" s="235"/>
      <c r="W1761" s="235"/>
      <c r="Y1761" s="228" t="str">
        <f t="shared" si="51"/>
        <v>TinOperaciones Metalurgical S.A.</v>
      </c>
    </row>
    <row r="1762" spans="1:25" s="228" customFormat="1" ht="20.25">
      <c r="A1762" s="161" t="s">
        <v>1387</v>
      </c>
      <c r="B1762" s="408" t="s">
        <v>2324</v>
      </c>
      <c r="C1762" s="297" t="str">
        <f>IF(LEN(A1762)=0,"",INDEX('[2]Smelter Reference List'!$C$1:$C$65536,MATCH($A1762,'[2]Smelter Reference List'!$E$1:$E$65536,0)))</f>
        <v>PT Bangka Tin Industry</v>
      </c>
      <c r="D1762" s="161" t="s">
        <v>1173</v>
      </c>
      <c r="E1762" s="161" t="s">
        <v>2238</v>
      </c>
      <c r="F1762" s="161" t="s">
        <v>1387</v>
      </c>
      <c r="G1762" s="161" t="s">
        <v>3125</v>
      </c>
      <c r="H1762" s="247">
        <v>0</v>
      </c>
      <c r="I1762" s="248" t="s">
        <v>3453</v>
      </c>
      <c r="J1762" s="248" t="s">
        <v>3454</v>
      </c>
      <c r="K1762" s="245"/>
      <c r="L1762" s="245"/>
      <c r="M1762" s="245"/>
      <c r="N1762" s="245"/>
      <c r="O1762" s="245"/>
      <c r="P1762" s="245"/>
      <c r="Q1762" s="246"/>
      <c r="R1762" s="233"/>
      <c r="S1762" s="234">
        <f>IF(C1762="",NA(),MATCH($B1762&amp;$C1762,'Smelter Reference List'!$J:$J,0))</f>
        <v>405</v>
      </c>
      <c r="T1762" s="235"/>
      <c r="U1762" s="235">
        <f t="shared" si="50"/>
        <v>0</v>
      </c>
      <c r="V1762" s="235"/>
      <c r="W1762" s="235"/>
      <c r="Y1762" s="228" t="str">
        <f t="shared" si="51"/>
        <v>TinPT Bangka Tin Industry</v>
      </c>
    </row>
    <row r="1763" spans="1:25" s="228" customFormat="1" ht="20.25">
      <c r="A1763" s="161"/>
      <c r="B1763" s="408" t="s">
        <v>2324</v>
      </c>
      <c r="C1763" s="297" t="s">
        <v>3604</v>
      </c>
      <c r="D1763" s="228" t="s">
        <v>5698</v>
      </c>
      <c r="E1763" s="228" t="s">
        <v>2238</v>
      </c>
      <c r="F1763" s="161">
        <v>0</v>
      </c>
      <c r="G1763" s="161" t="s">
        <v>5584</v>
      </c>
      <c r="H1763" s="228" t="s">
        <v>5939</v>
      </c>
      <c r="K1763" s="228" t="s">
        <v>5862</v>
      </c>
      <c r="L1763" s="228" t="s">
        <v>5863</v>
      </c>
      <c r="M1763" s="228" t="s">
        <v>5885</v>
      </c>
      <c r="N1763" s="228" t="s">
        <v>5937</v>
      </c>
      <c r="O1763" s="228" t="s">
        <v>5937</v>
      </c>
      <c r="R1763" s="233"/>
      <c r="S1763" s="234">
        <f>IF(C1763="",NA(),MATCH($B1763&amp;$C1763,'Smelter Reference List'!$J:$J,0))</f>
        <v>467</v>
      </c>
      <c r="T1763" s="235"/>
      <c r="U1763" s="235">
        <f t="shared" si="50"/>
        <v>0</v>
      </c>
      <c r="V1763" s="235"/>
      <c r="W1763" s="235"/>
      <c r="Y1763" s="228" t="str">
        <f t="shared" si="51"/>
        <v>TinSmelter not listed</v>
      </c>
    </row>
    <row r="1764" spans="1:25" s="228" customFormat="1" ht="20.25">
      <c r="A1764" s="161"/>
      <c r="B1764" s="408" t="s">
        <v>2324</v>
      </c>
      <c r="C1764" s="297" t="s">
        <v>3604</v>
      </c>
      <c r="D1764" s="228" t="s">
        <v>5940</v>
      </c>
      <c r="E1764" s="228" t="s">
        <v>2238</v>
      </c>
      <c r="F1764" s="161">
        <v>0</v>
      </c>
      <c r="G1764" s="161" t="s">
        <v>5584</v>
      </c>
      <c r="H1764" s="228" t="s">
        <v>5937</v>
      </c>
      <c r="I1764" s="228" t="s">
        <v>5937</v>
      </c>
      <c r="J1764" s="228" t="s">
        <v>5937</v>
      </c>
      <c r="K1764" s="228" t="s">
        <v>5937</v>
      </c>
      <c r="L1764" s="228" t="s">
        <v>5937</v>
      </c>
      <c r="M1764" s="228" t="s">
        <v>5937</v>
      </c>
      <c r="N1764" s="228" t="s">
        <v>5937</v>
      </c>
      <c r="O1764" s="228" t="s">
        <v>5937</v>
      </c>
      <c r="R1764" s="233"/>
      <c r="S1764" s="234">
        <f>IF(C1764="",NA(),MATCH($B1764&amp;$C1764,'Smelter Reference List'!$J:$J,0))</f>
        <v>467</v>
      </c>
      <c r="T1764" s="235"/>
      <c r="U1764" s="235">
        <f t="shared" si="50"/>
        <v>0</v>
      </c>
      <c r="V1764" s="235"/>
      <c r="W1764" s="235"/>
      <c r="Y1764" s="228" t="str">
        <f t="shared" si="51"/>
        <v>TinSmelter not listed</v>
      </c>
    </row>
    <row r="1765" spans="1:25" s="228" customFormat="1" ht="20.25">
      <c r="A1765" s="161"/>
      <c r="B1765" s="408" t="s">
        <v>2324</v>
      </c>
      <c r="C1765" s="297" t="s">
        <v>3604</v>
      </c>
      <c r="D1765" s="228" t="s">
        <v>5941</v>
      </c>
      <c r="E1765" s="228" t="s">
        <v>2238</v>
      </c>
      <c r="F1765" s="161">
        <v>0</v>
      </c>
      <c r="G1765" s="161" t="s">
        <v>5584</v>
      </c>
      <c r="H1765" s="228" t="s">
        <v>5937</v>
      </c>
      <c r="I1765" s="228" t="s">
        <v>5937</v>
      </c>
      <c r="J1765" s="228" t="s">
        <v>5937</v>
      </c>
      <c r="K1765" s="228" t="s">
        <v>5937</v>
      </c>
      <c r="L1765" s="228" t="s">
        <v>5937</v>
      </c>
      <c r="M1765" s="228" t="s">
        <v>5937</v>
      </c>
      <c r="N1765" s="228" t="s">
        <v>5937</v>
      </c>
      <c r="O1765" s="228" t="s">
        <v>5937</v>
      </c>
      <c r="R1765" s="233"/>
      <c r="S1765" s="234">
        <f>IF(C1765="",NA(),MATCH($B1765&amp;$C1765,'Smelter Reference List'!$J:$J,0))</f>
        <v>467</v>
      </c>
      <c r="T1765" s="235"/>
      <c r="U1765" s="235">
        <f t="shared" si="50"/>
        <v>0</v>
      </c>
      <c r="V1765" s="235"/>
      <c r="W1765" s="235"/>
      <c r="Y1765" s="228" t="str">
        <f t="shared" si="51"/>
        <v>TinSmelter not listed</v>
      </c>
    </row>
    <row r="1766" spans="1:25" s="228" customFormat="1" ht="20.25">
      <c r="A1766" s="161" t="s">
        <v>1389</v>
      </c>
      <c r="B1766" s="408" t="s">
        <v>2324</v>
      </c>
      <c r="C1766" s="297" t="str">
        <f>IF(LEN(A1766)=0,"",INDEX('[2]Smelter Reference List'!$C$1:$C$65536,MATCH($A1766,'[2]Smelter Reference List'!$E$1:$E$65536,0)))</f>
        <v>PT Bukit Timah</v>
      </c>
      <c r="D1766" s="161" t="s">
        <v>1194</v>
      </c>
      <c r="E1766" s="161" t="s">
        <v>2238</v>
      </c>
      <c r="F1766" s="161" t="s">
        <v>1389</v>
      </c>
      <c r="G1766" s="161" t="s">
        <v>3125</v>
      </c>
      <c r="H1766" s="247">
        <v>0</v>
      </c>
      <c r="I1766" s="248" t="s">
        <v>3457</v>
      </c>
      <c r="J1766" s="248" t="s">
        <v>3454</v>
      </c>
      <c r="K1766" s="245"/>
      <c r="L1766" s="245"/>
      <c r="M1766" s="245"/>
      <c r="N1766" s="245"/>
      <c r="O1766" s="245"/>
      <c r="P1766" s="245"/>
      <c r="Q1766" s="246"/>
      <c r="R1766" s="233"/>
      <c r="S1766" s="234">
        <f>IF(C1766="",NA(),MATCH($B1766&amp;$C1766,'Smelter Reference List'!$J:$J,0))</f>
        <v>408</v>
      </c>
      <c r="T1766" s="235"/>
      <c r="U1766" s="235">
        <f t="shared" si="50"/>
        <v>0</v>
      </c>
      <c r="V1766" s="235"/>
      <c r="W1766" s="235"/>
      <c r="Y1766" s="228" t="str">
        <f t="shared" si="51"/>
        <v>TinPT Bukit Timah</v>
      </c>
    </row>
    <row r="1767" spans="1:25" s="228" customFormat="1" ht="20.25">
      <c r="A1767" s="161"/>
      <c r="B1767" s="408" t="s">
        <v>2324</v>
      </c>
      <c r="C1767" s="297" t="s">
        <v>3604</v>
      </c>
      <c r="D1767" s="228" t="s">
        <v>5942</v>
      </c>
      <c r="E1767" s="228" t="s">
        <v>2238</v>
      </c>
      <c r="F1767" s="161">
        <v>0</v>
      </c>
      <c r="G1767" s="161" t="s">
        <v>5584</v>
      </c>
      <c r="H1767" s="228" t="s">
        <v>5943</v>
      </c>
      <c r="K1767" s="228" t="s">
        <v>5918</v>
      </c>
      <c r="L1767" s="228" t="s">
        <v>5919</v>
      </c>
      <c r="M1767" s="228" t="s">
        <v>5944</v>
      </c>
      <c r="N1767" s="228" t="s">
        <v>5937</v>
      </c>
      <c r="O1767" s="228" t="s">
        <v>5937</v>
      </c>
      <c r="R1767" s="233"/>
      <c r="S1767" s="234">
        <f>IF(C1767="",NA(),MATCH($B1767&amp;$C1767,'Smelter Reference List'!$J:$J,0))</f>
        <v>467</v>
      </c>
      <c r="T1767" s="235"/>
      <c r="U1767" s="235">
        <f t="shared" si="50"/>
        <v>0</v>
      </c>
      <c r="V1767" s="235"/>
      <c r="W1767" s="235"/>
      <c r="Y1767" s="228" t="str">
        <f t="shared" si="51"/>
        <v>TinSmelter not listed</v>
      </c>
    </row>
    <row r="1768" spans="1:25" s="228" customFormat="1" ht="20.25">
      <c r="A1768" s="161" t="s">
        <v>1396</v>
      </c>
      <c r="B1768" s="408" t="s">
        <v>2324</v>
      </c>
      <c r="C1768" s="297" t="str">
        <f>IF(LEN(A1768)=0,"",INDEX('[2]Smelter Reference List'!$C$1:$C$65536,MATCH($A1768,'[2]Smelter Reference List'!$E$1:$E$65536,0)))</f>
        <v>PT Refined Bangka Tin</v>
      </c>
      <c r="D1768" s="161" t="s">
        <v>4169</v>
      </c>
      <c r="E1768" s="161" t="s">
        <v>2238</v>
      </c>
      <c r="F1768" s="161" t="s">
        <v>1396</v>
      </c>
      <c r="G1768" s="161" t="s">
        <v>3125</v>
      </c>
      <c r="H1768" s="247">
        <v>0</v>
      </c>
      <c r="I1768" s="248" t="s">
        <v>3453</v>
      </c>
      <c r="J1768" s="248" t="s">
        <v>3454</v>
      </c>
      <c r="K1768" s="245"/>
      <c r="L1768" s="245"/>
      <c r="M1768" s="245"/>
      <c r="N1768" s="245"/>
      <c r="O1768" s="245"/>
      <c r="P1768" s="245"/>
      <c r="Q1768" s="246"/>
      <c r="R1768" s="233"/>
      <c r="S1768" s="234">
        <f>IF(C1768="",NA(),MATCH($B1768&amp;$C1768,'Smelter Reference List'!$J:$J,0))</f>
        <v>424</v>
      </c>
      <c r="T1768" s="235"/>
      <c r="U1768" s="235">
        <f t="shared" si="50"/>
        <v>0</v>
      </c>
      <c r="V1768" s="235"/>
      <c r="W1768" s="235"/>
      <c r="Y1768" s="228" t="str">
        <f t="shared" si="51"/>
        <v>TinPT Refined Bangka Tin</v>
      </c>
    </row>
    <row r="1769" spans="1:25" s="228" customFormat="1" ht="20.25">
      <c r="A1769" s="161" t="s">
        <v>1398</v>
      </c>
      <c r="B1769" s="408" t="s">
        <v>2324</v>
      </c>
      <c r="C1769" s="297" t="str">
        <f>IF(LEN(A1769)=0,"",INDEX('[2]Smelter Reference List'!$C$1:$C$65536,MATCH($A1769,'[2]Smelter Reference List'!$E$1:$E$65536,0)))</f>
        <v>PT Stanindo Inti Perkasa</v>
      </c>
      <c r="D1769" s="161" t="s">
        <v>2369</v>
      </c>
      <c r="E1769" s="161" t="s">
        <v>2238</v>
      </c>
      <c r="F1769" s="161" t="s">
        <v>1398</v>
      </c>
      <c r="G1769" s="161" t="s">
        <v>3125</v>
      </c>
      <c r="H1769" s="247">
        <v>0</v>
      </c>
      <c r="I1769" s="248" t="s">
        <v>3457</v>
      </c>
      <c r="J1769" s="248" t="s">
        <v>3454</v>
      </c>
      <c r="K1769" s="245"/>
      <c r="L1769" s="245"/>
      <c r="M1769" s="245"/>
      <c r="N1769" s="245"/>
      <c r="O1769" s="245"/>
      <c r="P1769" s="245"/>
      <c r="Q1769" s="246"/>
      <c r="R1769" s="233"/>
      <c r="S1769" s="234">
        <f>IF(C1769="",NA(),MATCH($B1769&amp;$C1769,'Smelter Reference List'!$J:$J,0))</f>
        <v>427</v>
      </c>
      <c r="T1769" s="235"/>
      <c r="U1769" s="235">
        <f t="shared" si="50"/>
        <v>0</v>
      </c>
      <c r="V1769" s="235"/>
      <c r="W1769" s="235"/>
      <c r="Y1769" s="228" t="str">
        <f t="shared" si="51"/>
        <v>TinPT Stanindo Inti Perkasa</v>
      </c>
    </row>
    <row r="1770" spans="1:25" s="228" customFormat="1" ht="20.25">
      <c r="A1770" s="161" t="s">
        <v>1424</v>
      </c>
      <c r="B1770" s="408" t="s">
        <v>2324</v>
      </c>
      <c r="C1770" s="297" t="str">
        <f>IF(LEN(A1770)=0,"",INDEX('[2]Smelter Reference List'!$C$1:$C$65536,MATCH($A1770,'[2]Smelter Reference List'!$E$1:$E$65536,0)))</f>
        <v>PT Timah (Persero) Tbk Kundur</v>
      </c>
      <c r="D1770" s="161" t="s">
        <v>3503</v>
      </c>
      <c r="E1770" s="161" t="s">
        <v>2238</v>
      </c>
      <c r="F1770" s="161" t="s">
        <v>1424</v>
      </c>
      <c r="G1770" s="161" t="s">
        <v>3125</v>
      </c>
      <c r="H1770" s="247">
        <v>0</v>
      </c>
      <c r="I1770" s="248" t="s">
        <v>3504</v>
      </c>
      <c r="J1770" s="248" t="s">
        <v>3505</v>
      </c>
      <c r="K1770" s="245"/>
      <c r="L1770" s="245"/>
      <c r="M1770" s="245"/>
      <c r="N1770" s="245"/>
      <c r="O1770" s="245"/>
      <c r="P1770" s="245"/>
      <c r="Q1770" s="246"/>
      <c r="R1770" s="233"/>
      <c r="S1770" s="234">
        <f>IF(C1770="",NA(),MATCH($B1770&amp;$C1770,'Smelter Reference List'!$J:$J,0))</f>
        <v>431</v>
      </c>
      <c r="T1770" s="235"/>
      <c r="U1770" s="235">
        <f t="shared" si="50"/>
        <v>0</v>
      </c>
      <c r="V1770" s="235"/>
      <c r="W1770" s="235"/>
      <c r="Y1770" s="228" t="str">
        <f t="shared" si="51"/>
        <v>TinPT Timah (Persero) Tbk Kundur</v>
      </c>
    </row>
    <row r="1771" spans="1:25" s="228" customFormat="1" ht="20.25">
      <c r="A1771" s="161" t="s">
        <v>1399</v>
      </c>
      <c r="B1771" s="408" t="s">
        <v>2324</v>
      </c>
      <c r="C1771" s="297" t="str">
        <f>IF(LEN(A1771)=0,"",INDEX('[2]Smelter Reference List'!$C$1:$C$65536,MATCH($A1771,'[2]Smelter Reference List'!$E$1:$E$65536,0)))</f>
        <v>PT Timah (Persero) Tbk Mentok</v>
      </c>
      <c r="D1771" s="161" t="s">
        <v>4266</v>
      </c>
      <c r="E1771" s="161" t="s">
        <v>2238</v>
      </c>
      <c r="F1771" s="161" t="s">
        <v>1399</v>
      </c>
      <c r="G1771" s="161" t="s">
        <v>3125</v>
      </c>
      <c r="H1771" s="247">
        <v>0</v>
      </c>
      <c r="I1771" s="248" t="s">
        <v>3507</v>
      </c>
      <c r="J1771" s="248" t="s">
        <v>3454</v>
      </c>
      <c r="K1771" s="245"/>
      <c r="L1771" s="245"/>
      <c r="M1771" s="245"/>
      <c r="N1771" s="245"/>
      <c r="O1771" s="245"/>
      <c r="P1771" s="245"/>
      <c r="Q1771" s="246"/>
      <c r="R1771" s="233"/>
      <c r="S1771" s="234">
        <f>IF(C1771="",NA(),MATCH($B1771&amp;$C1771,'Smelter Reference List'!$J:$J,0))</f>
        <v>432</v>
      </c>
      <c r="T1771" s="235"/>
      <c r="U1771" s="235">
        <f t="shared" si="50"/>
        <v>0</v>
      </c>
      <c r="V1771" s="235"/>
      <c r="W1771" s="235"/>
      <c r="Y1771" s="228" t="str">
        <f t="shared" si="51"/>
        <v>TinPT Timah (Persero) Tbk Mentok</v>
      </c>
    </row>
    <row r="1772" spans="1:25" s="228" customFormat="1" ht="20.25">
      <c r="A1772" s="161" t="s">
        <v>1404</v>
      </c>
      <c r="B1772" s="408" t="s">
        <v>2324</v>
      </c>
      <c r="C1772" s="297" t="str">
        <f>IF(LEN(A1772)=0,"",INDEX('[2]Smelter Reference List'!$C$1:$C$65536,MATCH($A1772,'[2]Smelter Reference List'!$E$1:$E$65536,0)))</f>
        <v>Thaisarco</v>
      </c>
      <c r="D1772" s="161" t="s">
        <v>1951</v>
      </c>
      <c r="E1772" s="161" t="s">
        <v>1743</v>
      </c>
      <c r="F1772" s="161" t="s">
        <v>1404</v>
      </c>
      <c r="G1772" s="161" t="s">
        <v>3125</v>
      </c>
      <c r="H1772" s="247">
        <v>0</v>
      </c>
      <c r="I1772" s="248" t="s">
        <v>3510</v>
      </c>
      <c r="J1772" s="248" t="s">
        <v>3511</v>
      </c>
      <c r="K1772" s="245"/>
      <c r="L1772" s="245"/>
      <c r="M1772" s="245"/>
      <c r="N1772" s="245"/>
      <c r="O1772" s="245"/>
      <c r="P1772" s="245"/>
      <c r="Q1772" s="246"/>
      <c r="R1772" s="233"/>
      <c r="S1772" s="234">
        <f>IF(C1772="",NA(),MATCH($B1772&amp;$C1772,'Smelter Reference List'!$J:$J,0))</f>
        <v>445</v>
      </c>
      <c r="T1772" s="235"/>
      <c r="U1772" s="235">
        <f t="shared" si="50"/>
        <v>0</v>
      </c>
      <c r="V1772" s="235"/>
      <c r="W1772" s="235"/>
      <c r="Y1772" s="228" t="str">
        <f t="shared" si="51"/>
        <v>TinThaisarco</v>
      </c>
    </row>
    <row r="1773" spans="1:25" s="228" customFormat="1" ht="20.25">
      <c r="A1773" s="161" t="s">
        <v>1406</v>
      </c>
      <c r="B1773" s="408" t="s">
        <v>2324</v>
      </c>
      <c r="C1773" s="297" t="str">
        <f>IF(LEN(A1773)=0,"",INDEX('[2]Smelter Reference List'!$C$1:$C$65536,MATCH($A1773,'[2]Smelter Reference List'!$E$1:$E$65536,0)))</f>
        <v>Yunnan Chengfeng Non-ferrous Metals Co., Ltd.</v>
      </c>
      <c r="D1773" s="161" t="s">
        <v>4183</v>
      </c>
      <c r="E1773" s="161" t="s">
        <v>2181</v>
      </c>
      <c r="F1773" s="161" t="s">
        <v>1406</v>
      </c>
      <c r="G1773" s="161" t="s">
        <v>3125</v>
      </c>
      <c r="H1773" s="247">
        <v>0</v>
      </c>
      <c r="I1773" s="248" t="s">
        <v>3468</v>
      </c>
      <c r="J1773" s="248" t="s">
        <v>3161</v>
      </c>
      <c r="K1773" s="245"/>
      <c r="L1773" s="245"/>
      <c r="M1773" s="245"/>
      <c r="N1773" s="245"/>
      <c r="O1773" s="245"/>
      <c r="P1773" s="245"/>
      <c r="Q1773" s="246"/>
      <c r="R1773" s="233"/>
      <c r="S1773" s="234">
        <f>IF(C1773="",NA(),MATCH($B1773&amp;$C1773,'Smelter Reference List'!$J:$J,0))</f>
        <v>459</v>
      </c>
      <c r="T1773" s="235"/>
      <c r="U1773" s="235">
        <f t="shared" si="50"/>
        <v>0</v>
      </c>
      <c r="V1773" s="235"/>
      <c r="W1773" s="235"/>
      <c r="Y1773" s="228" t="str">
        <f t="shared" si="51"/>
        <v>TinYunnan Chengfeng Non-ferrous Metals Co., Ltd.</v>
      </c>
    </row>
    <row r="1774" spans="1:25" s="228" customFormat="1" ht="20.25">
      <c r="A1774" s="161" t="s">
        <v>1407</v>
      </c>
      <c r="B1774" s="408" t="s">
        <v>2324</v>
      </c>
      <c r="C1774" s="297" t="str">
        <f>IF(LEN(A1774)=0,"",INDEX('[2]Smelter Reference List'!$C$1:$C$65536,MATCH($A1774,'[2]Smelter Reference List'!$E$1:$E$65536,0)))</f>
        <v>Yunnan Tin Company Limited</v>
      </c>
      <c r="D1774" s="161" t="s">
        <v>4749</v>
      </c>
      <c r="E1774" s="161" t="s">
        <v>2181</v>
      </c>
      <c r="F1774" s="161" t="s">
        <v>1407</v>
      </c>
      <c r="G1774" s="161" t="s">
        <v>3125</v>
      </c>
      <c r="H1774" s="247">
        <v>0</v>
      </c>
      <c r="I1774" s="248" t="s">
        <v>3468</v>
      </c>
      <c r="J1774" s="248" t="s">
        <v>3161</v>
      </c>
      <c r="K1774" s="245"/>
      <c r="L1774" s="245"/>
      <c r="M1774" s="245"/>
      <c r="N1774" s="245"/>
      <c r="O1774" s="245"/>
      <c r="P1774" s="245"/>
      <c r="Q1774" s="246"/>
      <c r="R1774" s="233"/>
      <c r="S1774" s="234">
        <f>IF(C1774="",NA(),MATCH($B1774&amp;$C1774,'Smelter Reference List'!$J:$J,0))</f>
        <v>462</v>
      </c>
      <c r="T1774" s="235"/>
      <c r="U1774" s="235">
        <f t="shared" si="50"/>
        <v>0</v>
      </c>
      <c r="V1774" s="235"/>
      <c r="W1774" s="235"/>
      <c r="Y1774" s="228" t="str">
        <f t="shared" si="51"/>
        <v>TinYunnan Tin Company Limited</v>
      </c>
    </row>
    <row r="1775" spans="1:25" s="228" customFormat="1" ht="20.25">
      <c r="A1775" s="161" t="s">
        <v>1352</v>
      </c>
      <c r="B1775" s="408" t="s">
        <v>2325</v>
      </c>
      <c r="C1775" s="297" t="str">
        <f>IF(LEN(A1775)=0,"",INDEX('[2]Smelter Reference List'!$C$1:$C$65536,MATCH($A1775,'[2]Smelter Reference List'!$E$1:$E$65536,0)))</f>
        <v>Mitsui Mining &amp; Smelting</v>
      </c>
      <c r="D1775" s="161" t="s">
        <v>2308</v>
      </c>
      <c r="E1775" s="161" t="s">
        <v>2249</v>
      </c>
      <c r="F1775" s="161" t="s">
        <v>1352</v>
      </c>
      <c r="G1775" s="161" t="s">
        <v>3125</v>
      </c>
      <c r="H1775" s="247">
        <v>0</v>
      </c>
      <c r="I1775" s="248" t="s">
        <v>3387</v>
      </c>
      <c r="J1775" s="248" t="s">
        <v>3388</v>
      </c>
      <c r="K1775" s="245"/>
      <c r="L1775" s="245"/>
      <c r="M1775" s="245"/>
      <c r="N1775" s="245"/>
      <c r="O1775" s="245"/>
      <c r="P1775" s="245"/>
      <c r="Q1775" s="246"/>
      <c r="R1775" s="233"/>
      <c r="S1775" s="234">
        <f>IF(C1775="",NA(),MATCH($B1775&amp;$C1775,'Smelter Reference List'!$J:$J,0))</f>
        <v>276</v>
      </c>
      <c r="T1775" s="235"/>
      <c r="U1775" s="235">
        <f t="shared" si="50"/>
        <v>0</v>
      </c>
      <c r="V1775" s="235"/>
      <c r="W1775" s="235"/>
      <c r="Y1775" s="228" t="str">
        <f t="shared" si="51"/>
        <v>TantalumMitsui Mining &amp; Smelting</v>
      </c>
    </row>
    <row r="1776" spans="1:25" s="228" customFormat="1" ht="20.25">
      <c r="A1776" s="161" t="s">
        <v>1358</v>
      </c>
      <c r="B1776" s="408" t="s">
        <v>2325</v>
      </c>
      <c r="C1776" s="297" t="str">
        <f>IF(LEN(A1776)=0,"",INDEX('[2]Smelter Reference List'!$C$1:$C$65536,MATCH($A1776,'[2]Smelter Reference List'!$E$1:$E$65536,0)))</f>
        <v>Taki Chemicals</v>
      </c>
      <c r="D1776" s="161" t="s">
        <v>1468</v>
      </c>
      <c r="E1776" s="161" t="s">
        <v>2249</v>
      </c>
      <c r="F1776" s="161" t="s">
        <v>1358</v>
      </c>
      <c r="G1776" s="161" t="s">
        <v>3125</v>
      </c>
      <c r="H1776" s="247">
        <v>0</v>
      </c>
      <c r="I1776" s="248" t="s">
        <v>3398</v>
      </c>
      <c r="J1776" s="248" t="s">
        <v>3140</v>
      </c>
      <c r="K1776" s="245"/>
      <c r="L1776" s="245"/>
      <c r="M1776" s="245"/>
      <c r="N1776" s="245"/>
      <c r="O1776" s="245"/>
      <c r="P1776" s="245"/>
      <c r="Q1776" s="246"/>
      <c r="R1776" s="233"/>
      <c r="S1776" s="234">
        <f>IF(C1776="",NA(),MATCH($B1776&amp;$C1776,'Smelter Reference List'!$J:$J,0))</f>
        <v>290</v>
      </c>
      <c r="T1776" s="235"/>
      <c r="U1776" s="235">
        <f t="shared" si="50"/>
        <v>0</v>
      </c>
      <c r="V1776" s="235"/>
      <c r="W1776" s="235"/>
      <c r="Y1776" s="228" t="str">
        <f t="shared" si="51"/>
        <v>TantalumTaki Chemicals</v>
      </c>
    </row>
    <row r="1777" spans="1:25" s="228" customFormat="1" ht="20.25">
      <c r="A1777" s="161" t="s">
        <v>1423</v>
      </c>
      <c r="B1777" s="408" t="s">
        <v>2326</v>
      </c>
      <c r="C1777" s="297" t="str">
        <f>IF(LEN(A1777)=0,"",INDEX('[2]Smelter Reference List'!$C$1:$C$65536,MATCH($A1777,'[2]Smelter Reference List'!$E$1:$E$65536,0)))</f>
        <v>Xiamen Tungsten Co., Ltd.</v>
      </c>
      <c r="D1777" s="161" t="s">
        <v>2663</v>
      </c>
      <c r="E1777" s="161" t="s">
        <v>2181</v>
      </c>
      <c r="F1777" s="161" t="s">
        <v>1423</v>
      </c>
      <c r="G1777" s="161" t="s">
        <v>3125</v>
      </c>
      <c r="H1777" s="247">
        <v>0</v>
      </c>
      <c r="I1777" s="248" t="s">
        <v>3569</v>
      </c>
      <c r="J1777" s="248" t="s">
        <v>3332</v>
      </c>
      <c r="K1777" s="245"/>
      <c r="L1777" s="245"/>
      <c r="M1777" s="245"/>
      <c r="N1777" s="245"/>
      <c r="O1777" s="245"/>
      <c r="P1777" s="245"/>
      <c r="Q1777" s="246"/>
      <c r="R1777" s="233"/>
      <c r="S1777" s="234">
        <f>IF(C1777="",NA(),MATCH($B1777&amp;$C1777,'Smelter Reference List'!$J:$J,0))</f>
        <v>532</v>
      </c>
      <c r="T1777" s="235"/>
      <c r="U1777" s="235">
        <f t="shared" si="50"/>
        <v>0</v>
      </c>
      <c r="V1777" s="235"/>
      <c r="W1777" s="235"/>
      <c r="Y1777" s="228" t="str">
        <f t="shared" si="51"/>
        <v>TungstenXiamen Tungsten Co., Ltd.</v>
      </c>
    </row>
    <row r="1778" spans="1:25" s="228" customFormat="1" ht="20.25">
      <c r="A1778" s="161"/>
      <c r="B1778" s="408" t="s">
        <v>2326</v>
      </c>
      <c r="C1778" s="297" t="s">
        <v>3604</v>
      </c>
      <c r="D1778" s="228" t="s">
        <v>5929</v>
      </c>
      <c r="E1778" s="228" t="s">
        <v>2181</v>
      </c>
      <c r="F1778" s="161">
        <v>0</v>
      </c>
      <c r="G1778" s="161" t="s">
        <v>5584</v>
      </c>
      <c r="H1778" s="228" t="s">
        <v>5945</v>
      </c>
      <c r="J1778" s="228" t="s">
        <v>5946</v>
      </c>
      <c r="K1778" s="228" t="s">
        <v>5579</v>
      </c>
      <c r="L1778" s="228" t="s">
        <v>5580</v>
      </c>
      <c r="M1778" s="228" t="s">
        <v>5937</v>
      </c>
      <c r="N1778" s="228" t="s">
        <v>5937</v>
      </c>
      <c r="O1778" s="228" t="s">
        <v>5648</v>
      </c>
      <c r="R1778" s="233"/>
      <c r="S1778" s="234">
        <f>IF(C1778="",NA(),MATCH($B1778&amp;$C1778,'Smelter Reference List'!$J:$J,0))</f>
        <v>536</v>
      </c>
      <c r="T1778" s="235"/>
      <c r="U1778" s="235">
        <f t="shared" si="50"/>
        <v>0</v>
      </c>
      <c r="V1778" s="235"/>
      <c r="W1778" s="235"/>
      <c r="Y1778" s="228" t="str">
        <f t="shared" si="51"/>
        <v>TungstenSmelter not listed</v>
      </c>
    </row>
    <row r="1779" spans="1:25" s="228" customFormat="1" ht="20.25">
      <c r="A1779" s="161" t="s">
        <v>1332</v>
      </c>
      <c r="B1779" s="408" t="s">
        <v>2323</v>
      </c>
      <c r="C1779" s="297" t="str">
        <f>IF(LEN(A1779)=0,"",INDEX('[2]Smelter Reference List'!$C$1:$C$65536,MATCH($A1779,'[2]Smelter Reference List'!$E$1:$E$65536,0)))</f>
        <v>Western Australian Mint trading as The Perth Mint</v>
      </c>
      <c r="D1779" s="161" t="s">
        <v>2322</v>
      </c>
      <c r="E1779" s="161" t="s">
        <v>2154</v>
      </c>
      <c r="F1779" s="161" t="s">
        <v>1332</v>
      </c>
      <c r="G1779" s="161" t="s">
        <v>3125</v>
      </c>
      <c r="H1779" s="247">
        <v>0</v>
      </c>
      <c r="I1779" s="248" t="s">
        <v>3318</v>
      </c>
      <c r="J1779" s="248" t="s">
        <v>3319</v>
      </c>
      <c r="K1779" s="245"/>
      <c r="L1779" s="245"/>
      <c r="M1779" s="245"/>
      <c r="N1779" s="245"/>
      <c r="O1779" s="245"/>
      <c r="P1779" s="245"/>
      <c r="Q1779" s="246"/>
      <c r="R1779" s="233"/>
      <c r="S1779" s="234">
        <f>IF(C1779="",NA(),MATCH($B1779&amp;$C1779,'Smelter Reference List'!$J:$J,0))</f>
        <v>218</v>
      </c>
      <c r="T1779" s="235"/>
      <c r="U1779" s="235">
        <f t="shared" si="50"/>
        <v>0</v>
      </c>
      <c r="V1779" s="235"/>
      <c r="W1779" s="235"/>
      <c r="Y1779" s="228" t="str">
        <f t="shared" si="51"/>
        <v>GoldWestern Australian Mint trading as The Perth Mint</v>
      </c>
    </row>
    <row r="1780" spans="1:25" s="228" customFormat="1" ht="20.25">
      <c r="A1780" s="161" t="s">
        <v>1286</v>
      </c>
      <c r="B1780" s="408" t="s">
        <v>2323</v>
      </c>
      <c r="C1780" s="297" t="str">
        <f>IF(LEN(A1780)=0,"",INDEX('[2]Smelter Reference List'!$C$1:$C$65536,MATCH($A1780,'[2]Smelter Reference List'!$E$1:$E$65536,0)))</f>
        <v>LS-NIKKO Copper Inc.</v>
      </c>
      <c r="D1780" s="161" t="s">
        <v>74</v>
      </c>
      <c r="E1780" s="161" t="s">
        <v>2256</v>
      </c>
      <c r="F1780" s="161" t="s">
        <v>1286</v>
      </c>
      <c r="G1780" s="161" t="s">
        <v>3125</v>
      </c>
      <c r="H1780" s="247">
        <v>0</v>
      </c>
      <c r="I1780" s="248" t="s">
        <v>3225</v>
      </c>
      <c r="J1780" s="248" t="s">
        <v>3226</v>
      </c>
      <c r="K1780" s="245"/>
      <c r="L1780" s="245"/>
      <c r="M1780" s="245"/>
      <c r="N1780" s="245"/>
      <c r="O1780" s="245"/>
      <c r="P1780" s="245"/>
      <c r="Q1780" s="246"/>
      <c r="R1780" s="233"/>
      <c r="S1780" s="234">
        <f>IF(C1780="",NA(),MATCH($B1780&amp;$C1780,'Smelter Reference List'!$J:$J,0))</f>
        <v>111</v>
      </c>
      <c r="T1780" s="235"/>
      <c r="U1780" s="235">
        <f t="shared" si="50"/>
        <v>0</v>
      </c>
      <c r="V1780" s="235"/>
      <c r="W1780" s="235"/>
      <c r="Y1780" s="228" t="str">
        <f t="shared" si="51"/>
        <v>GoldLS-NIKKO Copper Inc.</v>
      </c>
    </row>
    <row r="1781" spans="1:25" s="228" customFormat="1" ht="20.25">
      <c r="A1781" s="161" t="s">
        <v>1322</v>
      </c>
      <c r="B1781" s="408" t="s">
        <v>2323</v>
      </c>
      <c r="C1781" s="297" t="str">
        <f>IF(LEN(A1781)=0,"",INDEX('[2]Smelter Reference List'!$C$1:$C$65536,MATCH($A1781,'[2]Smelter Reference List'!$E$1:$E$65536,0)))</f>
        <v>Tanaka Kikinzoku Kogyo K.K.</v>
      </c>
      <c r="D1781" s="161" t="s">
        <v>2457</v>
      </c>
      <c r="E1781" s="161" t="s">
        <v>2249</v>
      </c>
      <c r="F1781" s="161" t="s">
        <v>1322</v>
      </c>
      <c r="G1781" s="161" t="s">
        <v>3125</v>
      </c>
      <c r="H1781" s="247">
        <v>0</v>
      </c>
      <c r="I1781" s="248" t="s">
        <v>3299</v>
      </c>
      <c r="J1781" s="248" t="s">
        <v>3300</v>
      </c>
      <c r="K1781" s="245"/>
      <c r="L1781" s="245"/>
      <c r="M1781" s="245"/>
      <c r="N1781" s="245"/>
      <c r="O1781" s="245"/>
      <c r="P1781" s="245"/>
      <c r="Q1781" s="246"/>
      <c r="R1781" s="233"/>
      <c r="S1781" s="234">
        <f>IF(C1781="",NA(),MATCH($B1781&amp;$C1781,'Smelter Reference List'!$J:$J,0))</f>
        <v>200</v>
      </c>
      <c r="T1781" s="235"/>
      <c r="U1781" s="235">
        <f t="shared" si="50"/>
        <v>0</v>
      </c>
      <c r="V1781" s="235"/>
      <c r="W1781" s="235"/>
      <c r="Y1781" s="228" t="str">
        <f t="shared" si="51"/>
        <v>GoldTanaka Kikinzoku Kogyo K.K.</v>
      </c>
    </row>
    <row r="1782" spans="1:25" s="228" customFormat="1" ht="20.25">
      <c r="A1782" s="161" t="s">
        <v>1248</v>
      </c>
      <c r="B1782" s="408" t="s">
        <v>2323</v>
      </c>
      <c r="C1782" s="297" t="str">
        <f>IF(LEN(A1782)=0,"",INDEX('[2]Smelter Reference List'!$C$1:$C$65536,MATCH($A1782,'[2]Smelter Reference List'!$E$1:$E$65536,0)))</f>
        <v>CCR Refinery - Glencore Canada Corporation</v>
      </c>
      <c r="D1782" s="161" t="s">
        <v>4323</v>
      </c>
      <c r="E1782" s="161" t="s">
        <v>2177</v>
      </c>
      <c r="F1782" s="161" t="s">
        <v>1248</v>
      </c>
      <c r="G1782" s="161" t="s">
        <v>3125</v>
      </c>
      <c r="H1782" s="247">
        <v>0</v>
      </c>
      <c r="I1782" s="248" t="s">
        <v>3154</v>
      </c>
      <c r="J1782" s="248" t="s">
        <v>3155</v>
      </c>
      <c r="K1782" s="245"/>
      <c r="L1782" s="245"/>
      <c r="M1782" s="245"/>
      <c r="N1782" s="245"/>
      <c r="O1782" s="245"/>
      <c r="P1782" s="245"/>
      <c r="Q1782" s="246"/>
      <c r="R1782" s="233"/>
      <c r="S1782" s="234">
        <f>IF(C1782="",NA(),MATCH($B1782&amp;$C1782,'Smelter Reference List'!$J:$J,0))</f>
        <v>33</v>
      </c>
      <c r="T1782" s="235"/>
      <c r="U1782" s="235">
        <f t="shared" si="50"/>
        <v>0</v>
      </c>
      <c r="V1782" s="235"/>
      <c r="W1782" s="235"/>
      <c r="Y1782" s="228" t="str">
        <f t="shared" si="51"/>
        <v>GoldCCR Refinery - Glencore Canada Corporation</v>
      </c>
    </row>
    <row r="1783" spans="1:25" s="228" customFormat="1" ht="20.25">
      <c r="A1783" s="161" t="s">
        <v>1322</v>
      </c>
      <c r="B1783" s="408" t="s">
        <v>2323</v>
      </c>
      <c r="C1783" s="297" t="str">
        <f>IF(LEN(A1783)=0,"",INDEX('[2]Smelter Reference List'!$C$1:$C$65536,MATCH($A1783,'[2]Smelter Reference List'!$E$1:$E$65536,0)))</f>
        <v>Tanaka Kikinzoku Kogyo K.K.</v>
      </c>
      <c r="D1783" s="161" t="s">
        <v>2457</v>
      </c>
      <c r="E1783" s="161" t="s">
        <v>2249</v>
      </c>
      <c r="F1783" s="161" t="s">
        <v>1322</v>
      </c>
      <c r="G1783" s="161" t="s">
        <v>3125</v>
      </c>
      <c r="H1783" s="247">
        <v>0</v>
      </c>
      <c r="I1783" s="248" t="s">
        <v>3299</v>
      </c>
      <c r="J1783" s="248" t="s">
        <v>3300</v>
      </c>
      <c r="K1783" s="245"/>
      <c r="L1783" s="245"/>
      <c r="M1783" s="245"/>
      <c r="N1783" s="245"/>
      <c r="O1783" s="245"/>
      <c r="P1783" s="245"/>
      <c r="Q1783" s="246"/>
      <c r="R1783" s="233"/>
      <c r="S1783" s="234">
        <f>IF(C1783="",NA(),MATCH($B1783&amp;$C1783,'Smelter Reference List'!$J:$J,0))</f>
        <v>200</v>
      </c>
      <c r="T1783" s="235"/>
      <c r="U1783" s="235">
        <f t="shared" si="50"/>
        <v>0</v>
      </c>
      <c r="V1783" s="235"/>
      <c r="W1783" s="235"/>
      <c r="Y1783" s="228" t="str">
        <f t="shared" si="51"/>
        <v>GoldTanaka Kikinzoku Kogyo K.K.</v>
      </c>
    </row>
    <row r="1784" spans="1:25" s="228" customFormat="1" ht="20.25">
      <c r="A1784" s="161" t="s">
        <v>1264</v>
      </c>
      <c r="B1784" s="408" t="s">
        <v>2323</v>
      </c>
      <c r="C1784" s="297" t="str">
        <f>IF(LEN(A1784)=0,"",INDEX('[2]Smelter Reference List'!$C$1:$C$65536,MATCH($A1784,'[2]Smelter Reference List'!$E$1:$E$65536,0)))</f>
        <v>Heraeus Ltd. Hong Kong</v>
      </c>
      <c r="D1784" s="161" t="s">
        <v>72</v>
      </c>
      <c r="E1784" s="161" t="s">
        <v>2181</v>
      </c>
      <c r="F1784" s="161" t="s">
        <v>1264</v>
      </c>
      <c r="G1784" s="161" t="s">
        <v>3125</v>
      </c>
      <c r="H1784" s="247">
        <v>0</v>
      </c>
      <c r="I1784" s="248" t="s">
        <v>3190</v>
      </c>
      <c r="J1784" s="248" t="s">
        <v>3191</v>
      </c>
      <c r="K1784" s="245"/>
      <c r="L1784" s="245"/>
      <c r="M1784" s="245"/>
      <c r="N1784" s="245"/>
      <c r="O1784" s="245"/>
      <c r="P1784" s="245"/>
      <c r="Q1784" s="246"/>
      <c r="R1784" s="233"/>
      <c r="S1784" s="234">
        <f>IF(C1784="",NA(),MATCH($B1784&amp;$C1784,'Smelter Reference List'!$J:$J,0))</f>
        <v>75</v>
      </c>
      <c r="T1784" s="235"/>
      <c r="U1784" s="235">
        <f t="shared" si="50"/>
        <v>0</v>
      </c>
      <c r="V1784" s="235"/>
      <c r="W1784" s="235"/>
      <c r="Y1784" s="228" t="str">
        <f t="shared" si="51"/>
        <v>GoldHeraeus Ltd. Hong Kong</v>
      </c>
    </row>
    <row r="1785" spans="1:25" s="228" customFormat="1" ht="20.25">
      <c r="A1785" s="161" t="s">
        <v>1273</v>
      </c>
      <c r="B1785" s="408" t="s">
        <v>2323</v>
      </c>
      <c r="C1785" s="297" t="str">
        <f>IF(LEN(A1785)=0,"",INDEX('[2]Smelter Reference List'!$C$1:$C$65536,MATCH($A1785,'[2]Smelter Reference List'!$E$1:$E$65536,0)))</f>
        <v>Asahi Refining USA Inc.</v>
      </c>
      <c r="D1785" s="161" t="s">
        <v>4267</v>
      </c>
      <c r="E1785" s="161" t="s">
        <v>1759</v>
      </c>
      <c r="F1785" s="161" t="s">
        <v>1273</v>
      </c>
      <c r="G1785" s="161" t="s">
        <v>3125</v>
      </c>
      <c r="H1785" s="247">
        <v>0</v>
      </c>
      <c r="I1785" s="248" t="s">
        <v>3206</v>
      </c>
      <c r="J1785" s="248" t="s">
        <v>3207</v>
      </c>
      <c r="K1785" s="245"/>
      <c r="L1785" s="245"/>
      <c r="M1785" s="245"/>
      <c r="N1785" s="245"/>
      <c r="O1785" s="245"/>
      <c r="P1785" s="245"/>
      <c r="Q1785" s="246"/>
      <c r="R1785" s="233"/>
      <c r="S1785" s="234">
        <f>IF(C1785="",NA(),MATCH($B1785&amp;$C1785,'Smelter Reference List'!$J:$J,0))</f>
        <v>20</v>
      </c>
      <c r="T1785" s="235"/>
      <c r="U1785" s="235">
        <f t="shared" si="50"/>
        <v>0</v>
      </c>
      <c r="V1785" s="235"/>
      <c r="W1785" s="235"/>
      <c r="Y1785" s="228" t="str">
        <f t="shared" si="51"/>
        <v>GoldAsahi Refining USA Inc.</v>
      </c>
    </row>
    <row r="1786" spans="1:25" s="228" customFormat="1" ht="20.25">
      <c r="A1786" s="161" t="s">
        <v>1269</v>
      </c>
      <c r="B1786" s="408" t="s">
        <v>2323</v>
      </c>
      <c r="C1786" s="297" t="str">
        <f>IF(LEN(A1786)=0,"",INDEX('[2]Smelter Reference List'!$C$1:$C$65536,MATCH($A1786,'[2]Smelter Reference List'!$E$1:$E$65536,0)))</f>
        <v>Ishifuku Metal Industry Co., Ltd.</v>
      </c>
      <c r="D1786" s="161" t="s">
        <v>2452</v>
      </c>
      <c r="E1786" s="161" t="s">
        <v>2249</v>
      </c>
      <c r="F1786" s="161" t="s">
        <v>1269</v>
      </c>
      <c r="G1786" s="161" t="s">
        <v>3125</v>
      </c>
      <c r="H1786" s="247">
        <v>0</v>
      </c>
      <c r="I1786" s="248" t="s">
        <v>3199</v>
      </c>
      <c r="J1786" s="248" t="s">
        <v>3179</v>
      </c>
      <c r="K1786" s="245"/>
      <c r="L1786" s="245"/>
      <c r="M1786" s="245"/>
      <c r="N1786" s="245"/>
      <c r="O1786" s="245"/>
      <c r="P1786" s="245"/>
      <c r="Q1786" s="246"/>
      <c r="R1786" s="233"/>
      <c r="S1786" s="234">
        <f>IF(C1786="",NA(),MATCH($B1786&amp;$C1786,'Smelter Reference List'!$J:$J,0))</f>
        <v>82</v>
      </c>
      <c r="T1786" s="235"/>
      <c r="U1786" s="235">
        <f t="shared" si="50"/>
        <v>0</v>
      </c>
      <c r="V1786" s="235"/>
      <c r="W1786" s="235"/>
      <c r="Y1786" s="228" t="str">
        <f t="shared" si="51"/>
        <v>GoldIshifuku Metal Industry Co., Ltd.</v>
      </c>
    </row>
    <row r="1787" spans="1:25" s="228" customFormat="1" ht="20.25">
      <c r="A1787" s="161" t="s">
        <v>1277</v>
      </c>
      <c r="B1787" s="408" t="s">
        <v>2323</v>
      </c>
      <c r="C1787" s="297" t="str">
        <f>IF(LEN(A1787)=0,"",INDEX('[2]Smelter Reference List'!$C$1:$C$65536,MATCH($A1787,'[2]Smelter Reference List'!$E$1:$E$65536,0)))</f>
        <v>JX Nippon Mining &amp; Metals Co., Ltd.</v>
      </c>
      <c r="D1787" s="161" t="s">
        <v>73</v>
      </c>
      <c r="E1787" s="161" t="s">
        <v>2249</v>
      </c>
      <c r="F1787" s="161" t="s">
        <v>1277</v>
      </c>
      <c r="G1787" s="161" t="s">
        <v>3125</v>
      </c>
      <c r="H1787" s="247">
        <v>0</v>
      </c>
      <c r="I1787" s="248" t="s">
        <v>4844</v>
      </c>
      <c r="J1787" s="248" t="s">
        <v>4844</v>
      </c>
      <c r="K1787" s="245"/>
      <c r="L1787" s="245"/>
      <c r="M1787" s="245"/>
      <c r="N1787" s="245"/>
      <c r="O1787" s="245"/>
      <c r="P1787" s="245"/>
      <c r="Q1787" s="246"/>
      <c r="R1787" s="233"/>
      <c r="S1787" s="234">
        <f>IF(C1787="",NA(),MATCH($B1787&amp;$C1787,'Smelter Reference List'!$J:$J,0))</f>
        <v>93</v>
      </c>
      <c r="T1787" s="235"/>
      <c r="U1787" s="235">
        <f t="shared" si="50"/>
        <v>0</v>
      </c>
      <c r="V1787" s="235"/>
      <c r="W1787" s="235"/>
      <c r="Y1787" s="228" t="str">
        <f t="shared" si="51"/>
        <v>GoldJX Nippon Mining &amp; Metals Co., Ltd.</v>
      </c>
    </row>
    <row r="1788" spans="1:25" s="228" customFormat="1" ht="20.25">
      <c r="A1788" s="161" t="s">
        <v>1321</v>
      </c>
      <c r="B1788" s="408" t="s">
        <v>2323</v>
      </c>
      <c r="C1788" s="297" t="str">
        <f>IF(LEN(A1788)=0,"",INDEX('[2]Smelter Reference List'!$C$1:$C$65536,MATCH($A1788,'[2]Smelter Reference List'!$E$1:$E$65536,0)))</f>
        <v>Sumitomo Metal Mining Co., Ltd.</v>
      </c>
      <c r="D1788" s="161" t="s">
        <v>77</v>
      </c>
      <c r="E1788" s="161" t="s">
        <v>2249</v>
      </c>
      <c r="F1788" s="161" t="s">
        <v>1321</v>
      </c>
      <c r="G1788" s="161" t="s">
        <v>3125</v>
      </c>
      <c r="H1788" s="247">
        <v>0</v>
      </c>
      <c r="I1788" s="248" t="s">
        <v>3297</v>
      </c>
      <c r="J1788" s="248" t="s">
        <v>4284</v>
      </c>
      <c r="K1788" s="245"/>
      <c r="L1788" s="245"/>
      <c r="M1788" s="245"/>
      <c r="N1788" s="245"/>
      <c r="O1788" s="245"/>
      <c r="P1788" s="245"/>
      <c r="Q1788" s="246"/>
      <c r="R1788" s="233"/>
      <c r="S1788" s="234">
        <f>IF(C1788="",NA(),MATCH($B1788&amp;$C1788,'Smelter Reference List'!$J:$J,0))</f>
        <v>190</v>
      </c>
      <c r="T1788" s="235"/>
      <c r="U1788" s="235">
        <f t="shared" si="50"/>
        <v>0</v>
      </c>
      <c r="V1788" s="235"/>
      <c r="W1788" s="235"/>
      <c r="Y1788" s="228" t="str">
        <f t="shared" si="51"/>
        <v>GoldSumitomo Metal Mining Co., Ltd.</v>
      </c>
    </row>
    <row r="1789" spans="1:25" s="228" customFormat="1" ht="20.25">
      <c r="A1789" s="161" t="s">
        <v>1258</v>
      </c>
      <c r="B1789" s="408" t="s">
        <v>2323</v>
      </c>
      <c r="C1789" s="297" t="str">
        <f>IF(LEN(A1789)=0,"",INDEX('[2]Smelter Reference List'!$C$1:$C$65536,MATCH($A1789,'[2]Smelter Reference List'!$E$1:$E$65536,0)))</f>
        <v>Dowa</v>
      </c>
      <c r="D1789" s="161" t="s">
        <v>1788</v>
      </c>
      <c r="E1789" s="161" t="s">
        <v>2249</v>
      </c>
      <c r="F1789" s="161" t="s">
        <v>1258</v>
      </c>
      <c r="G1789" s="161" t="s">
        <v>3125</v>
      </c>
      <c r="H1789" s="247">
        <v>0</v>
      </c>
      <c r="I1789" s="248" t="s">
        <v>3173</v>
      </c>
      <c r="J1789" s="248" t="s">
        <v>3174</v>
      </c>
      <c r="K1789" s="245"/>
      <c r="L1789" s="245"/>
      <c r="M1789" s="245"/>
      <c r="N1789" s="245"/>
      <c r="O1789" s="245"/>
      <c r="P1789" s="245"/>
      <c r="Q1789" s="246"/>
      <c r="R1789" s="233"/>
      <c r="S1789" s="234">
        <f>IF(C1789="",NA(),MATCH($B1789&amp;$C1789,'Smelter Reference List'!$J:$J,0))</f>
        <v>49</v>
      </c>
      <c r="T1789" s="235"/>
      <c r="U1789" s="235">
        <f t="shared" si="50"/>
        <v>0</v>
      </c>
      <c r="V1789" s="235"/>
      <c r="W1789" s="235"/>
      <c r="Y1789" s="228" t="str">
        <f t="shared" si="51"/>
        <v>GoldDowa</v>
      </c>
    </row>
    <row r="1790" spans="1:25" s="228" customFormat="1" ht="20.25">
      <c r="A1790" s="161" t="s">
        <v>1239</v>
      </c>
      <c r="B1790" s="408" t="s">
        <v>2323</v>
      </c>
      <c r="C1790" s="297" t="str">
        <f>IF(LEN(A1790)=0,"",INDEX('[2]Smelter Reference List'!$C$1:$C$65536,MATCH($A1790,'[2]Smelter Reference List'!$E$1:$E$65536,0)))</f>
        <v>Asahi Pretec Corp.</v>
      </c>
      <c r="D1790" s="161" t="s">
        <v>4670</v>
      </c>
      <c r="E1790" s="161" t="s">
        <v>2249</v>
      </c>
      <c r="F1790" s="161" t="s">
        <v>1239</v>
      </c>
      <c r="G1790" s="161" t="s">
        <v>3125</v>
      </c>
      <c r="H1790" s="247">
        <v>0</v>
      </c>
      <c r="I1790" s="248" t="s">
        <v>3139</v>
      </c>
      <c r="J1790" s="248" t="s">
        <v>3140</v>
      </c>
      <c r="K1790" s="245"/>
      <c r="L1790" s="245"/>
      <c r="M1790" s="245"/>
      <c r="N1790" s="245"/>
      <c r="O1790" s="245"/>
      <c r="P1790" s="245"/>
      <c r="Q1790" s="246"/>
      <c r="R1790" s="233"/>
      <c r="S1790" s="234">
        <f>IF(C1790="",NA(),MATCH($B1790&amp;$C1790,'Smelter Reference List'!$J:$J,0))</f>
        <v>18</v>
      </c>
      <c r="T1790" s="235"/>
      <c r="U1790" s="235">
        <f t="shared" si="50"/>
        <v>0</v>
      </c>
      <c r="V1790" s="235"/>
      <c r="W1790" s="235"/>
      <c r="Y1790" s="228" t="str">
        <f t="shared" si="51"/>
        <v>GoldAsahi Pretec Corp.</v>
      </c>
    </row>
    <row r="1791" spans="1:25" s="228" customFormat="1" ht="20.25">
      <c r="A1791" s="161" t="s">
        <v>1296</v>
      </c>
      <c r="B1791" s="408" t="s">
        <v>2323</v>
      </c>
      <c r="C1791" s="297" t="str">
        <f>IF(LEN(A1791)=0,"",INDEX('[2]Smelter Reference List'!$C$1:$C$65536,MATCH($A1791,'[2]Smelter Reference List'!$E$1:$E$65536,0)))</f>
        <v>Mitsubishi Materials Corporation</v>
      </c>
      <c r="D1791" s="161" t="s">
        <v>2371</v>
      </c>
      <c r="E1791" s="161" t="s">
        <v>2249</v>
      </c>
      <c r="F1791" s="161" t="s">
        <v>1296</v>
      </c>
      <c r="G1791" s="161" t="s">
        <v>3125</v>
      </c>
      <c r="H1791" s="247">
        <v>0</v>
      </c>
      <c r="I1791" s="248" t="s">
        <v>3245</v>
      </c>
      <c r="J1791" s="248" t="s">
        <v>4283</v>
      </c>
      <c r="K1791" s="245"/>
      <c r="L1791" s="245"/>
      <c r="M1791" s="245"/>
      <c r="N1791" s="245"/>
      <c r="O1791" s="245"/>
      <c r="P1791" s="245"/>
      <c r="Q1791" s="246"/>
      <c r="R1791" s="233"/>
      <c r="S1791" s="234">
        <f>IF(C1791="",NA(),MATCH($B1791&amp;$C1791,'Smelter Reference List'!$J:$J,0))</f>
        <v>128</v>
      </c>
      <c r="T1791" s="235"/>
      <c r="U1791" s="235">
        <f t="shared" si="50"/>
        <v>0</v>
      </c>
      <c r="V1791" s="235"/>
      <c r="W1791" s="235"/>
      <c r="Y1791" s="228" t="str">
        <f t="shared" si="51"/>
        <v>GoldMitsubishi Materials Corporation</v>
      </c>
    </row>
    <row r="1792" spans="1:25" s="228" customFormat="1" ht="20.25">
      <c r="A1792" s="161" t="s">
        <v>1316</v>
      </c>
      <c r="B1792" s="408" t="s">
        <v>2323</v>
      </c>
      <c r="C1792" s="297" t="str">
        <f>IF(LEN(A1792)=0,"",INDEX('[2]Smelter Reference List'!$C$1:$C$65536,MATCH($A1792,'[2]Smelter Reference List'!$E$1:$E$65536,0)))</f>
        <v>Shandong Zhaojin Gold &amp; Silver Refinery Co., Ltd.</v>
      </c>
      <c r="D1792" s="161" t="s">
        <v>4174</v>
      </c>
      <c r="E1792" s="161" t="s">
        <v>2181</v>
      </c>
      <c r="F1792" s="161" t="s">
        <v>1316</v>
      </c>
      <c r="G1792" s="161" t="s">
        <v>3125</v>
      </c>
      <c r="H1792" s="247">
        <v>0</v>
      </c>
      <c r="I1792" s="248" t="s">
        <v>3185</v>
      </c>
      <c r="J1792" s="248" t="s">
        <v>3264</v>
      </c>
      <c r="K1792" s="245"/>
      <c r="L1792" s="245"/>
      <c r="M1792" s="245"/>
      <c r="N1792" s="245"/>
      <c r="O1792" s="245"/>
      <c r="P1792" s="245"/>
      <c r="Q1792" s="246"/>
      <c r="R1792" s="233"/>
      <c r="S1792" s="234">
        <f>IF(C1792="",NA(),MATCH($B1792&amp;$C1792,'Smelter Reference List'!$J:$J,0))</f>
        <v>176</v>
      </c>
      <c r="T1792" s="235"/>
      <c r="U1792" s="235">
        <f t="shared" si="50"/>
        <v>0</v>
      </c>
      <c r="V1792" s="235"/>
      <c r="W1792" s="235"/>
      <c r="Y1792" s="228" t="str">
        <f t="shared" si="51"/>
        <v>GoldShandong Zhaojin Gold &amp; Silver Refinery Co., Ltd.</v>
      </c>
    </row>
    <row r="1793" spans="1:25" s="228" customFormat="1" ht="20.25">
      <c r="A1793" s="161" t="s">
        <v>1290</v>
      </c>
      <c r="B1793" s="408" t="s">
        <v>2323</v>
      </c>
      <c r="C1793" s="297" t="str">
        <f>IF(LEN(A1793)=0,"",INDEX('[2]Smelter Reference List'!$C$1:$C$65536,MATCH($A1793,'[2]Smelter Reference List'!$E$1:$E$65536,0)))</f>
        <v>Matsuda Sangyo Co., Ltd.</v>
      </c>
      <c r="D1793" s="161" t="s">
        <v>75</v>
      </c>
      <c r="E1793" s="161" t="s">
        <v>2249</v>
      </c>
      <c r="F1793" s="161" t="s">
        <v>1290</v>
      </c>
      <c r="G1793" s="161" t="s">
        <v>3125</v>
      </c>
      <c r="H1793" s="247">
        <v>0</v>
      </c>
      <c r="I1793" s="248" t="s">
        <v>3231</v>
      </c>
      <c r="J1793" s="248" t="s">
        <v>3179</v>
      </c>
      <c r="K1793" s="245"/>
      <c r="L1793" s="245"/>
      <c r="M1793" s="245"/>
      <c r="N1793" s="245"/>
      <c r="O1793" s="245"/>
      <c r="P1793" s="245"/>
      <c r="Q1793" s="246"/>
      <c r="R1793" s="233"/>
      <c r="S1793" s="234">
        <f>IF(C1793="",NA(),MATCH($B1793&amp;$C1793,'Smelter Reference List'!$J:$J,0))</f>
        <v>116</v>
      </c>
      <c r="T1793" s="235"/>
      <c r="U1793" s="235">
        <f t="shared" si="50"/>
        <v>0</v>
      </c>
      <c r="V1793" s="235"/>
      <c r="W1793" s="235"/>
      <c r="Y1793" s="228" t="str">
        <f t="shared" si="51"/>
        <v>GoldMatsuda Sangyo Co., Ltd.</v>
      </c>
    </row>
    <row r="1794" spans="1:25" s="228" customFormat="1" ht="20.25">
      <c r="A1794" s="161" t="s">
        <v>1264</v>
      </c>
      <c r="B1794" s="408" t="s">
        <v>2323</v>
      </c>
      <c r="C1794" s="297" t="str">
        <f>IF(LEN(A1794)=0,"",INDEX('[2]Smelter Reference List'!$C$1:$C$65536,MATCH($A1794,'[2]Smelter Reference List'!$E$1:$E$65536,0)))</f>
        <v>Heraeus Ltd. Hong Kong</v>
      </c>
      <c r="D1794" s="161" t="s">
        <v>72</v>
      </c>
      <c r="E1794" s="161" t="s">
        <v>2181</v>
      </c>
      <c r="F1794" s="161" t="s">
        <v>1264</v>
      </c>
      <c r="G1794" s="161" t="s">
        <v>3125</v>
      </c>
      <c r="H1794" s="247">
        <v>0</v>
      </c>
      <c r="I1794" s="248" t="s">
        <v>3190</v>
      </c>
      <c r="J1794" s="248" t="s">
        <v>3191</v>
      </c>
      <c r="K1794" s="245"/>
      <c r="L1794" s="245"/>
      <c r="M1794" s="245"/>
      <c r="N1794" s="245"/>
      <c r="O1794" s="245"/>
      <c r="P1794" s="245"/>
      <c r="Q1794" s="246"/>
      <c r="R1794" s="233"/>
      <c r="S1794" s="234">
        <f>IF(C1794="",NA(),MATCH($B1794&amp;$C1794,'Smelter Reference List'!$J:$J,0))</f>
        <v>75</v>
      </c>
      <c r="T1794" s="235"/>
      <c r="U1794" s="235">
        <f t="shared" si="50"/>
        <v>0</v>
      </c>
      <c r="V1794" s="235"/>
      <c r="W1794" s="235"/>
      <c r="Y1794" s="228" t="str">
        <f t="shared" si="51"/>
        <v>GoldHeraeus Ltd. Hong Kong</v>
      </c>
    </row>
    <row r="1795" spans="1:25" s="228" customFormat="1" ht="20.25">
      <c r="A1795" s="161" t="s">
        <v>1297</v>
      </c>
      <c r="B1795" s="408" t="s">
        <v>2323</v>
      </c>
      <c r="C1795" s="297" t="str">
        <f>IF(LEN(A1795)=0,"",INDEX('[2]Smelter Reference List'!$C$1:$C$65536,MATCH($A1795,'[2]Smelter Reference List'!$E$1:$E$65536,0)))</f>
        <v>Mitsui Mining and Smelting Co., Ltd.</v>
      </c>
      <c r="D1795" s="161" t="s">
        <v>2454</v>
      </c>
      <c r="E1795" s="161" t="s">
        <v>2249</v>
      </c>
      <c r="F1795" s="161" t="s">
        <v>1297</v>
      </c>
      <c r="G1795" s="161" t="s">
        <v>3125</v>
      </c>
      <c r="H1795" s="247">
        <v>0</v>
      </c>
      <c r="I1795" s="248" t="s">
        <v>3247</v>
      </c>
      <c r="J1795" s="248" t="s">
        <v>3246</v>
      </c>
      <c r="K1795" s="245"/>
      <c r="L1795" s="245"/>
      <c r="M1795" s="245"/>
      <c r="N1795" s="245"/>
      <c r="O1795" s="245"/>
      <c r="P1795" s="245"/>
      <c r="Q1795" s="246"/>
      <c r="R1795" s="233"/>
      <c r="S1795" s="234">
        <f>IF(C1795="",NA(),MATCH($B1795&amp;$C1795,'Smelter Reference List'!$J:$J,0))</f>
        <v>130</v>
      </c>
      <c r="T1795" s="235"/>
      <c r="U1795" s="235">
        <f t="shared" si="50"/>
        <v>0</v>
      </c>
      <c r="V1795" s="235"/>
      <c r="W1795" s="235"/>
      <c r="Y1795" s="228" t="str">
        <f t="shared" si="51"/>
        <v>GoldMitsui Mining and Smelting Co., Ltd.</v>
      </c>
    </row>
    <row r="1796" spans="1:25" s="228" customFormat="1" ht="20.25">
      <c r="A1796" s="161" t="s">
        <v>1325</v>
      </c>
      <c r="B1796" s="408" t="s">
        <v>2323</v>
      </c>
      <c r="C1796" s="297" t="str">
        <f>IF(LEN(A1796)=0,"",INDEX('[2]Smelter Reference List'!$C$1:$C$65536,MATCH($A1796,'[2]Smelter Reference List'!$E$1:$E$65536,0)))</f>
        <v>Tokuriki Honten Co., Ltd.</v>
      </c>
      <c r="D1796" s="161" t="s">
        <v>4178</v>
      </c>
      <c r="E1796" s="161" t="s">
        <v>2249</v>
      </c>
      <c r="F1796" s="161" t="s">
        <v>1325</v>
      </c>
      <c r="G1796" s="161" t="s">
        <v>3125</v>
      </c>
      <c r="H1796" s="247">
        <v>0</v>
      </c>
      <c r="I1796" s="248" t="s">
        <v>3305</v>
      </c>
      <c r="J1796" s="248" t="s">
        <v>3179</v>
      </c>
      <c r="K1796" s="245"/>
      <c r="L1796" s="245"/>
      <c r="M1796" s="245"/>
      <c r="N1796" s="245"/>
      <c r="O1796" s="245"/>
      <c r="P1796" s="245"/>
      <c r="Q1796" s="246"/>
      <c r="R1796" s="233"/>
      <c r="S1796" s="234">
        <f>IF(C1796="",NA(),MATCH($B1796&amp;$C1796,'Smelter Reference List'!$J:$J,0))</f>
        <v>205</v>
      </c>
      <c r="T1796" s="235"/>
      <c r="U1796" s="235">
        <f t="shared" si="50"/>
        <v>0</v>
      </c>
      <c r="V1796" s="235"/>
      <c r="W1796" s="235"/>
      <c r="Y1796" s="228" t="str">
        <f t="shared" si="51"/>
        <v>GoldTokuriki Honten Co., Ltd.</v>
      </c>
    </row>
    <row r="1797" spans="1:25" s="228" customFormat="1" ht="20.25">
      <c r="A1797" s="161" t="s">
        <v>1322</v>
      </c>
      <c r="B1797" s="408" t="s">
        <v>2323</v>
      </c>
      <c r="C1797" s="297" t="str">
        <f>IF(LEN(A1797)=0,"",INDEX('[2]Smelter Reference List'!$C$1:$C$65536,MATCH($A1797,'[2]Smelter Reference List'!$E$1:$E$65536,0)))</f>
        <v>Tanaka Kikinzoku Kogyo K.K.</v>
      </c>
      <c r="D1797" s="161" t="s">
        <v>2457</v>
      </c>
      <c r="E1797" s="161" t="s">
        <v>2249</v>
      </c>
      <c r="F1797" s="161" t="s">
        <v>1322</v>
      </c>
      <c r="G1797" s="161" t="s">
        <v>3125</v>
      </c>
      <c r="H1797" s="247">
        <v>0</v>
      </c>
      <c r="I1797" s="248" t="s">
        <v>3299</v>
      </c>
      <c r="J1797" s="248" t="s">
        <v>3300</v>
      </c>
      <c r="K1797" s="245"/>
      <c r="L1797" s="245"/>
      <c r="M1797" s="245"/>
      <c r="N1797" s="245"/>
      <c r="O1797" s="245"/>
      <c r="P1797" s="245"/>
      <c r="Q1797" s="246"/>
      <c r="R1797" s="233"/>
      <c r="S1797" s="234">
        <f>IF(C1797="",NA(),MATCH($B1797&amp;$C1797,'Smelter Reference List'!$J:$J,0))</f>
        <v>200</v>
      </c>
      <c r="T1797" s="235"/>
      <c r="U1797" s="235">
        <f t="shared" si="50"/>
        <v>0</v>
      </c>
      <c r="V1797" s="235"/>
      <c r="W1797" s="235"/>
      <c r="Y1797" s="228" t="str">
        <f t="shared" si="51"/>
        <v>GoldTanaka Kikinzoku Kogyo K.K.</v>
      </c>
    </row>
    <row r="1798" spans="1:25" s="228" customFormat="1" ht="20.25">
      <c r="A1798" s="161" t="s">
        <v>1238</v>
      </c>
      <c r="B1798" s="408" t="s">
        <v>2323</v>
      </c>
      <c r="C1798" s="297" t="str">
        <f>IF(LEN(A1798)=0,"",INDEX('[2]Smelter Reference List'!$C$1:$C$65536,MATCH($A1798,'[2]Smelter Reference List'!$E$1:$E$65536,0)))</f>
        <v>Argor-Heraeus S.A.</v>
      </c>
      <c r="D1798" s="161" t="s">
        <v>4669</v>
      </c>
      <c r="E1798" s="161" t="s">
        <v>2179</v>
      </c>
      <c r="F1798" s="161" t="s">
        <v>1238</v>
      </c>
      <c r="G1798" s="161" t="s">
        <v>3125</v>
      </c>
      <c r="H1798" s="247">
        <v>0</v>
      </c>
      <c r="I1798" s="248" t="s">
        <v>3137</v>
      </c>
      <c r="J1798" s="248" t="s">
        <v>3138</v>
      </c>
      <c r="K1798" s="245"/>
      <c r="L1798" s="245"/>
      <c r="M1798" s="245"/>
      <c r="N1798" s="245"/>
      <c r="O1798" s="245"/>
      <c r="P1798" s="245"/>
      <c r="Q1798" s="246"/>
      <c r="R1798" s="233"/>
      <c r="S1798" s="234">
        <f>IF(C1798="",NA(),MATCH($B1798&amp;$C1798,'Smelter Reference List'!$J:$J,0))</f>
        <v>17</v>
      </c>
      <c r="T1798" s="235"/>
      <c r="U1798" s="235">
        <f t="shared" ref="U1798:U1861" si="52">IF(AND(C1798="Smelter not listed",OR(LEN(D1798)=0,LEN(E1798)=0)),1,0)</f>
        <v>0</v>
      </c>
      <c r="V1798" s="235"/>
      <c r="W1798" s="235"/>
      <c r="Y1798" s="228" t="str">
        <f t="shared" ref="Y1798:Y1861" si="53">B1798&amp;C1798</f>
        <v>GoldArgor-Heraeus S.A.</v>
      </c>
    </row>
    <row r="1799" spans="1:25" s="228" customFormat="1" ht="20.25">
      <c r="A1799" s="161" t="s">
        <v>1331</v>
      </c>
      <c r="B1799" s="408" t="s">
        <v>2323</v>
      </c>
      <c r="C1799" s="297" t="str">
        <f>IF(LEN(A1799)=0,"",INDEX('[2]Smelter Reference List'!$C$1:$C$65536,MATCH($A1799,'[2]Smelter Reference List'!$E$1:$E$65536,0)))</f>
        <v>Valcambi S.A.</v>
      </c>
      <c r="D1799" s="161" t="s">
        <v>4728</v>
      </c>
      <c r="E1799" s="161" t="s">
        <v>2179</v>
      </c>
      <c r="F1799" s="161" t="s">
        <v>1331</v>
      </c>
      <c r="G1799" s="161" t="s">
        <v>3125</v>
      </c>
      <c r="H1799" s="247">
        <v>0</v>
      </c>
      <c r="I1799" s="248" t="s">
        <v>3317</v>
      </c>
      <c r="J1799" s="248" t="s">
        <v>3138</v>
      </c>
      <c r="K1799" s="245"/>
      <c r="L1799" s="245"/>
      <c r="M1799" s="245"/>
      <c r="N1799" s="245"/>
      <c r="O1799" s="245"/>
      <c r="P1799" s="245"/>
      <c r="Q1799" s="246"/>
      <c r="R1799" s="233"/>
      <c r="S1799" s="234">
        <f>IF(C1799="",NA(),MATCH($B1799&amp;$C1799,'Smelter Reference List'!$J:$J,0))</f>
        <v>217</v>
      </c>
      <c r="T1799" s="235"/>
      <c r="U1799" s="235">
        <f t="shared" si="52"/>
        <v>0</v>
      </c>
      <c r="V1799" s="235"/>
      <c r="W1799" s="235"/>
      <c r="Y1799" s="228" t="str">
        <f t="shared" si="53"/>
        <v>GoldValcambi S.A.</v>
      </c>
    </row>
    <row r="1800" spans="1:25" s="228" customFormat="1" ht="20.25">
      <c r="A1800" s="161" t="s">
        <v>1300</v>
      </c>
      <c r="B1800" s="408" t="s">
        <v>2323</v>
      </c>
      <c r="C1800" s="297" t="str">
        <f>IF(LEN(A1800)=0,"",INDEX('[2]Smelter Reference List'!$C$1:$C$65536,MATCH($A1800,'[2]Smelter Reference List'!$E$1:$E$65536,0)))</f>
        <v>Navoi Mining and Metallurgical Combinat</v>
      </c>
      <c r="D1800" s="161" t="s">
        <v>2455</v>
      </c>
      <c r="E1800" s="161" t="s">
        <v>1760</v>
      </c>
      <c r="F1800" s="161" t="s">
        <v>1300</v>
      </c>
      <c r="G1800" s="161" t="s">
        <v>3125</v>
      </c>
      <c r="H1800" s="247">
        <v>0</v>
      </c>
      <c r="I1800" s="248" t="s">
        <v>3251</v>
      </c>
      <c r="J1800" s="248" t="s">
        <v>3252</v>
      </c>
      <c r="K1800" s="245"/>
      <c r="L1800" s="245"/>
      <c r="M1800" s="245"/>
      <c r="N1800" s="245"/>
      <c r="O1800" s="245"/>
      <c r="P1800" s="245"/>
      <c r="Q1800" s="246"/>
      <c r="R1800" s="233"/>
      <c r="S1800" s="234">
        <f>IF(C1800="",NA(),MATCH($B1800&amp;$C1800,'Smelter Reference List'!$J:$J,0))</f>
        <v>136</v>
      </c>
      <c r="T1800" s="235"/>
      <c r="U1800" s="235">
        <f t="shared" si="52"/>
        <v>0</v>
      </c>
      <c r="V1800" s="235"/>
      <c r="W1800" s="235"/>
      <c r="Y1800" s="228" t="str">
        <f t="shared" si="53"/>
        <v>GoldNavoi Mining and Metallurgical Combinat</v>
      </c>
    </row>
    <row r="1801" spans="1:25" s="228" customFormat="1" ht="20.25">
      <c r="A1801" s="161" t="s">
        <v>1293</v>
      </c>
      <c r="B1801" s="408" t="s">
        <v>2323</v>
      </c>
      <c r="C1801" s="297" t="str">
        <f>IF(LEN(A1801)=0,"",INDEX('[2]Smelter Reference List'!$C$1:$C$65536,MATCH($A1801,'[2]Smelter Reference List'!$E$1:$E$65536,0)))</f>
        <v>Metalor Technologies S.A.</v>
      </c>
      <c r="D1801" s="161" t="s">
        <v>4697</v>
      </c>
      <c r="E1801" s="161" t="s">
        <v>2179</v>
      </c>
      <c r="F1801" s="161" t="s">
        <v>1293</v>
      </c>
      <c r="G1801" s="161" t="s">
        <v>3125</v>
      </c>
      <c r="H1801" s="247">
        <v>0</v>
      </c>
      <c r="I1801" s="248" t="s">
        <v>3239</v>
      </c>
      <c r="J1801" s="248" t="s">
        <v>3240</v>
      </c>
      <c r="K1801" s="245"/>
      <c r="L1801" s="245"/>
      <c r="M1801" s="245"/>
      <c r="N1801" s="245"/>
      <c r="O1801" s="245"/>
      <c r="P1801" s="245"/>
      <c r="Q1801" s="246"/>
      <c r="R1801" s="233"/>
      <c r="S1801" s="234">
        <f>IF(C1801="",NA(),MATCH($B1801&amp;$C1801,'Smelter Reference List'!$J:$J,0))</f>
        <v>123</v>
      </c>
      <c r="T1801" s="235"/>
      <c r="U1801" s="235">
        <f t="shared" si="52"/>
        <v>0</v>
      </c>
      <c r="V1801" s="235"/>
      <c r="W1801" s="235"/>
      <c r="Y1801" s="228" t="str">
        <f t="shared" si="53"/>
        <v>GoldMetalor Technologies S.A.</v>
      </c>
    </row>
    <row r="1802" spans="1:25" s="228" customFormat="1" ht="20.25">
      <c r="A1802" s="161" t="s">
        <v>1341</v>
      </c>
      <c r="B1802" s="408" t="s">
        <v>2325</v>
      </c>
      <c r="C1802" s="297" t="str">
        <f>IF(LEN(A1802)=0,"",INDEX('[2]Smelter Reference List'!$C$1:$C$65536,MATCH($A1802,'[2]Smelter Reference List'!$E$1:$E$65536,0)))</f>
        <v>Exotech Inc.</v>
      </c>
      <c r="D1802" s="161" t="s">
        <v>2307</v>
      </c>
      <c r="E1802" s="161" t="s">
        <v>1759</v>
      </c>
      <c r="F1802" s="161" t="s">
        <v>1341</v>
      </c>
      <c r="G1802" s="161" t="s">
        <v>3125</v>
      </c>
      <c r="H1802" s="247">
        <v>0</v>
      </c>
      <c r="I1802" s="248" t="s">
        <v>3373</v>
      </c>
      <c r="J1802" s="248" t="s">
        <v>3348</v>
      </c>
      <c r="K1802" s="245"/>
      <c r="L1802" s="245"/>
      <c r="M1802" s="245"/>
      <c r="N1802" s="245"/>
      <c r="O1802" s="245"/>
      <c r="P1802" s="245"/>
      <c r="Q1802" s="246"/>
      <c r="R1802" s="233"/>
      <c r="S1802" s="234">
        <f>IF(C1802="",NA(),MATCH($B1802&amp;$C1802,'Smelter Reference List'!$J:$J,0))</f>
        <v>247</v>
      </c>
      <c r="T1802" s="235"/>
      <c r="U1802" s="235">
        <f t="shared" si="52"/>
        <v>0</v>
      </c>
      <c r="V1802" s="235"/>
      <c r="W1802" s="235"/>
      <c r="Y1802" s="228" t="str">
        <f t="shared" si="53"/>
        <v>TantalumExotech Inc.</v>
      </c>
    </row>
    <row r="1803" spans="1:25" s="228" customFormat="1" ht="20.25">
      <c r="A1803" s="161"/>
      <c r="B1803" s="408" t="s">
        <v>2325</v>
      </c>
      <c r="C1803" s="297" t="s">
        <v>3604</v>
      </c>
      <c r="D1803" s="228" t="s">
        <v>5947</v>
      </c>
      <c r="E1803" s="228" t="s">
        <v>1759</v>
      </c>
      <c r="F1803" s="161">
        <v>0</v>
      </c>
      <c r="G1803" s="161" t="s">
        <v>5584</v>
      </c>
      <c r="H1803" s="228" t="s">
        <v>5341</v>
      </c>
      <c r="I1803" s="228" t="s">
        <v>5948</v>
      </c>
      <c r="J1803" s="228" t="s">
        <v>5949</v>
      </c>
      <c r="K1803" s="228" t="s">
        <v>5342</v>
      </c>
      <c r="L1803" s="228" t="s">
        <v>5343</v>
      </c>
      <c r="M1803" s="228" t="s">
        <v>5937</v>
      </c>
      <c r="N1803" s="228" t="s">
        <v>5950</v>
      </c>
      <c r="O1803" s="228" t="s">
        <v>5951</v>
      </c>
      <c r="R1803" s="233"/>
      <c r="S1803" s="234">
        <f>IF(C1803="",NA(),MATCH($B1803&amp;$C1803,'Smelter Reference List'!$J:$J,0))</f>
        <v>301</v>
      </c>
      <c r="T1803" s="235"/>
      <c r="U1803" s="235">
        <f t="shared" si="52"/>
        <v>0</v>
      </c>
      <c r="V1803" s="235"/>
      <c r="W1803" s="235"/>
      <c r="Y1803" s="228" t="str">
        <f t="shared" si="53"/>
        <v>TantalumSmelter not listed</v>
      </c>
    </row>
    <row r="1804" spans="1:25" s="228" customFormat="1" ht="20.25">
      <c r="A1804" s="161" t="s">
        <v>2746</v>
      </c>
      <c r="B1804" s="408" t="s">
        <v>2325</v>
      </c>
      <c r="C1804" s="297" t="str">
        <f>IF(LEN(A1804)=0,"",INDEX('[2]Smelter Reference List'!$C$1:$C$65536,MATCH($A1804,'[2]Smelter Reference List'!$E$1:$E$65536,0)))</f>
        <v>H.C. Starck Inc.</v>
      </c>
      <c r="D1804" s="161" t="s">
        <v>2745</v>
      </c>
      <c r="E1804" s="161" t="s">
        <v>1759</v>
      </c>
      <c r="F1804" s="161" t="s">
        <v>2746</v>
      </c>
      <c r="G1804" s="161" t="s">
        <v>3125</v>
      </c>
      <c r="H1804" s="247">
        <v>0</v>
      </c>
      <c r="I1804" s="248" t="s">
        <v>3423</v>
      </c>
      <c r="J1804" s="248" t="s">
        <v>3242</v>
      </c>
      <c r="K1804" s="245"/>
      <c r="L1804" s="245"/>
      <c r="M1804" s="245"/>
      <c r="N1804" s="245"/>
      <c r="O1804" s="245"/>
      <c r="P1804" s="245"/>
      <c r="Q1804" s="246"/>
      <c r="R1804" s="233"/>
      <c r="S1804" s="234">
        <f>IF(C1804="",NA(),MATCH($B1804&amp;$C1804,'Smelter Reference List'!$J:$J,0))</f>
        <v>258</v>
      </c>
      <c r="T1804" s="235"/>
      <c r="U1804" s="235">
        <f t="shared" si="52"/>
        <v>0</v>
      </c>
      <c r="V1804" s="235"/>
      <c r="W1804" s="235"/>
      <c r="Y1804" s="228" t="str">
        <f t="shared" si="53"/>
        <v>TantalumH.C. Starck Inc.</v>
      </c>
    </row>
    <row r="1805" spans="1:25" s="228" customFormat="1" ht="20.25">
      <c r="A1805" s="161" t="s">
        <v>1360</v>
      </c>
      <c r="B1805" s="408" t="s">
        <v>2325</v>
      </c>
      <c r="C1805" s="297" t="str">
        <f>IF(LEN(A1805)=0,"",INDEX('[2]Smelter Reference List'!$C$1:$C$65536,MATCH($A1805,'[2]Smelter Reference List'!$E$1:$E$65536,0)))</f>
        <v>Ulba Metallurgical Plant JSC</v>
      </c>
      <c r="D1805" s="161" t="s">
        <v>3402</v>
      </c>
      <c r="E1805" s="161" t="s">
        <v>2250</v>
      </c>
      <c r="F1805" s="161" t="s">
        <v>1360</v>
      </c>
      <c r="G1805" s="161" t="s">
        <v>3125</v>
      </c>
      <c r="H1805" s="247">
        <v>0</v>
      </c>
      <c r="I1805" s="248" t="s">
        <v>3214</v>
      </c>
      <c r="J1805" s="248" t="s">
        <v>3403</v>
      </c>
      <c r="K1805" s="245"/>
      <c r="L1805" s="245"/>
      <c r="M1805" s="245"/>
      <c r="N1805" s="245"/>
      <c r="O1805" s="245"/>
      <c r="P1805" s="245"/>
      <c r="Q1805" s="246"/>
      <c r="R1805" s="233"/>
      <c r="S1805" s="234">
        <f>IF(C1805="",NA(),MATCH($B1805&amp;$C1805,'Smelter Reference List'!$J:$J,0))</f>
        <v>294</v>
      </c>
      <c r="T1805" s="235"/>
      <c r="U1805" s="235">
        <f t="shared" si="52"/>
        <v>0</v>
      </c>
      <c r="V1805" s="235"/>
      <c r="W1805" s="235"/>
      <c r="Y1805" s="228" t="str">
        <f t="shared" si="53"/>
        <v>TantalumUlba Metallurgical Plant JSC</v>
      </c>
    </row>
    <row r="1806" spans="1:25" s="228" customFormat="1" ht="20.25">
      <c r="A1806" s="161" t="s">
        <v>1361</v>
      </c>
      <c r="B1806" s="408" t="s">
        <v>2325</v>
      </c>
      <c r="C1806" s="297" t="s">
        <v>3404</v>
      </c>
      <c r="D1806" s="161" t="s">
        <v>4184</v>
      </c>
      <c r="E1806" s="161" t="s">
        <v>2181</v>
      </c>
      <c r="F1806" s="161" t="s">
        <v>1361</v>
      </c>
      <c r="G1806" s="161" t="s">
        <v>3125</v>
      </c>
      <c r="H1806" s="247">
        <v>0</v>
      </c>
      <c r="I1806" s="248" t="s">
        <v>3395</v>
      </c>
      <c r="J1806" s="248" t="s">
        <v>3186</v>
      </c>
      <c r="K1806" s="245"/>
      <c r="L1806" s="245"/>
      <c r="M1806" s="245"/>
      <c r="N1806" s="245"/>
      <c r="O1806" s="245"/>
      <c r="P1806" s="245"/>
      <c r="Q1806" s="246"/>
      <c r="R1806" s="233"/>
      <c r="S1806" s="234">
        <f>IF(C1806="",NA(),MATCH($B1806&amp;$C1806,'Smelter Reference List'!$J:$J,0))</f>
        <v>299</v>
      </c>
      <c r="T1806" s="235"/>
      <c r="U1806" s="235">
        <f t="shared" si="52"/>
        <v>0</v>
      </c>
      <c r="V1806" s="235"/>
      <c r="W1806" s="235"/>
      <c r="Y1806" s="228" t="str">
        <f t="shared" si="53"/>
        <v>TantalumZhuzhou Cemented Carbide Group</v>
      </c>
    </row>
    <row r="1807" spans="1:25" s="228" customFormat="1" ht="20.25">
      <c r="A1807" s="161" t="s">
        <v>1354</v>
      </c>
      <c r="B1807" s="408" t="s">
        <v>2325</v>
      </c>
      <c r="C1807" s="297" t="str">
        <f>IF(LEN(A1807)=0,"",INDEX('[2]Smelter Reference List'!$C$1:$C$65536,MATCH($A1807,'[2]Smelter Reference List'!$E$1:$E$65536,0)))</f>
        <v>Ningxia Orient Tantalum Industry Co., Ltd.</v>
      </c>
      <c r="D1807" s="161" t="s">
        <v>1950</v>
      </c>
      <c r="E1807" s="161" t="s">
        <v>2181</v>
      </c>
      <c r="F1807" s="161" t="s">
        <v>1354</v>
      </c>
      <c r="G1807" s="161" t="s">
        <v>3125</v>
      </c>
      <c r="H1807" s="247">
        <v>0</v>
      </c>
      <c r="I1807" s="248" t="s">
        <v>3391</v>
      </c>
      <c r="J1807" s="248" t="s">
        <v>3392</v>
      </c>
      <c r="K1807" s="245"/>
      <c r="L1807" s="245"/>
      <c r="M1807" s="245"/>
      <c r="N1807" s="245"/>
      <c r="O1807" s="245"/>
      <c r="P1807" s="245"/>
      <c r="Q1807" s="246"/>
      <c r="R1807" s="233"/>
      <c r="S1807" s="234">
        <f>IF(C1807="",NA(),MATCH($B1807&amp;$C1807,'Smelter Reference List'!$J:$J,0))</f>
        <v>278</v>
      </c>
      <c r="T1807" s="235"/>
      <c r="U1807" s="235">
        <f t="shared" si="52"/>
        <v>0</v>
      </c>
      <c r="V1807" s="235"/>
      <c r="W1807" s="235"/>
      <c r="Y1807" s="228" t="str">
        <f t="shared" si="53"/>
        <v>TantalumNingxia Orient Tantalum Industry Co., Ltd.</v>
      </c>
    </row>
    <row r="1808" spans="1:25" s="228" customFormat="1" ht="20.25">
      <c r="A1808" s="161" t="s">
        <v>1407</v>
      </c>
      <c r="B1808" s="408" t="s">
        <v>2324</v>
      </c>
      <c r="C1808" s="297" t="str">
        <f>IF(LEN(A1808)=0,"",INDEX('[2]Smelter Reference List'!$C$1:$C$65536,MATCH($A1808,'[2]Smelter Reference List'!$E$1:$E$65536,0)))</f>
        <v>Yunnan Tin Company Limited</v>
      </c>
      <c r="D1808" s="161" t="s">
        <v>4749</v>
      </c>
      <c r="E1808" s="161" t="s">
        <v>2181</v>
      </c>
      <c r="F1808" s="161" t="s">
        <v>1407</v>
      </c>
      <c r="G1808" s="161" t="s">
        <v>3125</v>
      </c>
      <c r="H1808" s="247">
        <v>0</v>
      </c>
      <c r="I1808" s="248" t="s">
        <v>3468</v>
      </c>
      <c r="J1808" s="248" t="s">
        <v>3161</v>
      </c>
      <c r="K1808" s="245"/>
      <c r="L1808" s="245"/>
      <c r="M1808" s="245"/>
      <c r="N1808" s="245"/>
      <c r="O1808" s="245"/>
      <c r="P1808" s="245"/>
      <c r="Q1808" s="246"/>
      <c r="R1808" s="233"/>
      <c r="S1808" s="234">
        <f>IF(C1808="",NA(),MATCH($B1808&amp;$C1808,'Smelter Reference List'!$J:$J,0))</f>
        <v>462</v>
      </c>
      <c r="T1808" s="235"/>
      <c r="U1808" s="235">
        <f t="shared" si="52"/>
        <v>0</v>
      </c>
      <c r="V1808" s="235"/>
      <c r="W1808" s="235"/>
      <c r="Y1808" s="228" t="str">
        <f t="shared" si="53"/>
        <v>TinYunnan Tin Company Limited</v>
      </c>
    </row>
    <row r="1809" spans="1:25" s="228" customFormat="1" ht="20.25">
      <c r="A1809" s="161" t="s">
        <v>1378</v>
      </c>
      <c r="B1809" s="408" t="s">
        <v>2324</v>
      </c>
      <c r="C1809" s="297" t="str">
        <f>IF(LEN(A1809)=0,"",INDEX('[2]Smelter Reference List'!$C$1:$C$65536,MATCH($A1809,'[2]Smelter Reference List'!$E$1:$E$65536,0)))</f>
        <v>Malaysia Smelting Corporation (MSC)</v>
      </c>
      <c r="D1809" s="161" t="s">
        <v>1471</v>
      </c>
      <c r="E1809" s="161" t="s">
        <v>2289</v>
      </c>
      <c r="F1809" s="161" t="s">
        <v>1378</v>
      </c>
      <c r="G1809" s="161" t="s">
        <v>3125</v>
      </c>
      <c r="H1809" s="247">
        <v>0</v>
      </c>
      <c r="I1809" s="248" t="s">
        <v>3481</v>
      </c>
      <c r="J1809" s="248" t="s">
        <v>3482</v>
      </c>
      <c r="K1809" s="245"/>
      <c r="L1809" s="245"/>
      <c r="M1809" s="245"/>
      <c r="N1809" s="245"/>
      <c r="O1809" s="245"/>
      <c r="P1809" s="245"/>
      <c r="Q1809" s="246"/>
      <c r="R1809" s="233"/>
      <c r="S1809" s="234">
        <f>IF(C1809="",NA(),MATCH($B1809&amp;$C1809,'Smelter Reference List'!$J:$J,0))</f>
        <v>377</v>
      </c>
      <c r="T1809" s="235"/>
      <c r="U1809" s="235">
        <f t="shared" si="52"/>
        <v>0</v>
      </c>
      <c r="V1809" s="235"/>
      <c r="W1809" s="235"/>
      <c r="Y1809" s="228" t="str">
        <f t="shared" si="53"/>
        <v>TinMalaysia Smelting Corporation (MSC)</v>
      </c>
    </row>
    <row r="1810" spans="1:25" s="228" customFormat="1" ht="20.25">
      <c r="A1810" s="161" t="s">
        <v>1404</v>
      </c>
      <c r="B1810" s="408" t="s">
        <v>2324</v>
      </c>
      <c r="C1810" s="297" t="str">
        <f>IF(LEN(A1810)=0,"",INDEX('[2]Smelter Reference List'!$C$1:$C$65536,MATCH($A1810,'[2]Smelter Reference List'!$E$1:$E$65536,0)))</f>
        <v>Thaisarco</v>
      </c>
      <c r="D1810" s="161" t="s">
        <v>1951</v>
      </c>
      <c r="E1810" s="161" t="s">
        <v>1743</v>
      </c>
      <c r="F1810" s="161" t="s">
        <v>1404</v>
      </c>
      <c r="G1810" s="161" t="s">
        <v>3125</v>
      </c>
      <c r="H1810" s="247">
        <v>0</v>
      </c>
      <c r="I1810" s="248" t="s">
        <v>3510</v>
      </c>
      <c r="J1810" s="248" t="s">
        <v>3511</v>
      </c>
      <c r="K1810" s="245"/>
      <c r="L1810" s="245"/>
      <c r="M1810" s="245"/>
      <c r="N1810" s="245"/>
      <c r="O1810" s="245"/>
      <c r="P1810" s="245"/>
      <c r="Q1810" s="246"/>
      <c r="R1810" s="233"/>
      <c r="S1810" s="234">
        <f>IF(C1810="",NA(),MATCH($B1810&amp;$C1810,'Smelter Reference List'!$J:$J,0))</f>
        <v>445</v>
      </c>
      <c r="T1810" s="235"/>
      <c r="U1810" s="235">
        <f t="shared" si="52"/>
        <v>0</v>
      </c>
      <c r="V1810" s="235"/>
      <c r="W1810" s="235"/>
      <c r="Y1810" s="228" t="str">
        <f t="shared" si="53"/>
        <v>TinThaisarco</v>
      </c>
    </row>
    <row r="1811" spans="1:25" s="228" customFormat="1" ht="20.25">
      <c r="A1811" s="161" t="s">
        <v>1387</v>
      </c>
      <c r="B1811" s="408" t="s">
        <v>2324</v>
      </c>
      <c r="C1811" s="297" t="str">
        <f>IF(LEN(A1811)=0,"",INDEX('[2]Smelter Reference List'!$C$1:$C$65536,MATCH($A1811,'[2]Smelter Reference List'!$E$1:$E$65536,0)))</f>
        <v>PT Bangka Tin Industry</v>
      </c>
      <c r="D1811" s="161" t="s">
        <v>1173</v>
      </c>
      <c r="E1811" s="161" t="s">
        <v>2238</v>
      </c>
      <c r="F1811" s="161" t="s">
        <v>1387</v>
      </c>
      <c r="G1811" s="161" t="s">
        <v>3125</v>
      </c>
      <c r="H1811" s="247">
        <v>0</v>
      </c>
      <c r="I1811" s="248" t="s">
        <v>3453</v>
      </c>
      <c r="J1811" s="248" t="s">
        <v>3454</v>
      </c>
      <c r="K1811" s="245"/>
      <c r="L1811" s="245"/>
      <c r="M1811" s="245"/>
      <c r="N1811" s="245"/>
      <c r="O1811" s="245"/>
      <c r="P1811" s="245"/>
      <c r="Q1811" s="246"/>
      <c r="R1811" s="233"/>
      <c r="S1811" s="234">
        <f>IF(C1811="",NA(),MATCH($B1811&amp;$C1811,'Smelter Reference List'!$J:$J,0))</f>
        <v>405</v>
      </c>
      <c r="T1811" s="235"/>
      <c r="U1811" s="235">
        <f t="shared" si="52"/>
        <v>0</v>
      </c>
      <c r="V1811" s="235"/>
      <c r="W1811" s="235"/>
      <c r="Y1811" s="228" t="str">
        <f t="shared" si="53"/>
        <v>TinPT Bangka Tin Industry</v>
      </c>
    </row>
    <row r="1812" spans="1:25" s="228" customFormat="1" ht="20.25">
      <c r="A1812" s="161" t="s">
        <v>1399</v>
      </c>
      <c r="B1812" s="408" t="s">
        <v>2324</v>
      </c>
      <c r="C1812" s="297" t="str">
        <f>IF(LEN(A1812)=0,"",INDEX('[2]Smelter Reference List'!$C$1:$C$65536,MATCH($A1812,'[2]Smelter Reference List'!$E$1:$E$65536,0)))</f>
        <v>PT Timah (Persero) Tbk Mentok</v>
      </c>
      <c r="D1812" s="161" t="s">
        <v>4266</v>
      </c>
      <c r="E1812" s="161" t="s">
        <v>2238</v>
      </c>
      <c r="F1812" s="161" t="s">
        <v>1399</v>
      </c>
      <c r="G1812" s="161" t="s">
        <v>3125</v>
      </c>
      <c r="H1812" s="247">
        <v>0</v>
      </c>
      <c r="I1812" s="248" t="s">
        <v>3507</v>
      </c>
      <c r="J1812" s="248" t="s">
        <v>3454</v>
      </c>
      <c r="K1812" s="245"/>
      <c r="L1812" s="245"/>
      <c r="M1812" s="245"/>
      <c r="N1812" s="245"/>
      <c r="O1812" s="245"/>
      <c r="P1812" s="245"/>
      <c r="Q1812" s="246"/>
      <c r="R1812" s="233"/>
      <c r="S1812" s="234">
        <f>IF(C1812="",NA(),MATCH($B1812&amp;$C1812,'Smelter Reference List'!$J:$J,0))</f>
        <v>432</v>
      </c>
      <c r="T1812" s="235"/>
      <c r="U1812" s="235">
        <f t="shared" si="52"/>
        <v>0</v>
      </c>
      <c r="V1812" s="235"/>
      <c r="W1812" s="235"/>
      <c r="Y1812" s="228" t="str">
        <f t="shared" si="53"/>
        <v>TinPT Timah (Persero) Tbk Mentok</v>
      </c>
    </row>
    <row r="1813" spans="1:25" s="228" customFormat="1" ht="20.25">
      <c r="A1813" s="161" t="s">
        <v>1398</v>
      </c>
      <c r="B1813" s="408" t="s">
        <v>2324</v>
      </c>
      <c r="C1813" s="297" t="str">
        <f>IF(LEN(A1813)=0,"",INDEX('[2]Smelter Reference List'!$C$1:$C$65536,MATCH($A1813,'[2]Smelter Reference List'!$E$1:$E$65536,0)))</f>
        <v>PT Stanindo Inti Perkasa</v>
      </c>
      <c r="D1813" s="161" t="s">
        <v>2369</v>
      </c>
      <c r="E1813" s="161" t="s">
        <v>2238</v>
      </c>
      <c r="F1813" s="161" t="s">
        <v>1398</v>
      </c>
      <c r="G1813" s="161" t="s">
        <v>3125</v>
      </c>
      <c r="H1813" s="247">
        <v>0</v>
      </c>
      <c r="I1813" s="248" t="s">
        <v>3457</v>
      </c>
      <c r="J1813" s="248" t="s">
        <v>3454</v>
      </c>
      <c r="K1813" s="245"/>
      <c r="L1813" s="245"/>
      <c r="M1813" s="245"/>
      <c r="N1813" s="245"/>
      <c r="O1813" s="245"/>
      <c r="P1813" s="245"/>
      <c r="Q1813" s="246"/>
      <c r="R1813" s="233"/>
      <c r="S1813" s="234">
        <f>IF(C1813="",NA(),MATCH($B1813&amp;$C1813,'Smelter Reference List'!$J:$J,0))</f>
        <v>427</v>
      </c>
      <c r="T1813" s="235"/>
      <c r="U1813" s="235">
        <f t="shared" si="52"/>
        <v>0</v>
      </c>
      <c r="V1813" s="235"/>
      <c r="W1813" s="235"/>
      <c r="Y1813" s="228" t="str">
        <f t="shared" si="53"/>
        <v>TinPT Stanindo Inti Perkasa</v>
      </c>
    </row>
    <row r="1814" spans="1:25" s="228" customFormat="1" ht="20.25">
      <c r="A1814" s="161" t="s">
        <v>1399</v>
      </c>
      <c r="B1814" s="408" t="s">
        <v>2324</v>
      </c>
      <c r="C1814" s="297" t="str">
        <f>IF(LEN(A1814)=0,"",INDEX('[2]Smelter Reference List'!$C$1:$C$65536,MATCH($A1814,'[2]Smelter Reference List'!$E$1:$E$65536,0)))</f>
        <v>PT Timah (Persero) Tbk Mentok</v>
      </c>
      <c r="D1814" s="161" t="s">
        <v>4266</v>
      </c>
      <c r="E1814" s="161" t="s">
        <v>2238</v>
      </c>
      <c r="F1814" s="161" t="s">
        <v>1399</v>
      </c>
      <c r="G1814" s="161" t="s">
        <v>3125</v>
      </c>
      <c r="H1814" s="247">
        <v>0</v>
      </c>
      <c r="I1814" s="248" t="s">
        <v>3507</v>
      </c>
      <c r="J1814" s="248" t="s">
        <v>3454</v>
      </c>
      <c r="K1814" s="245"/>
      <c r="L1814" s="245"/>
      <c r="M1814" s="245"/>
      <c r="N1814" s="245"/>
      <c r="O1814" s="245"/>
      <c r="P1814" s="245"/>
      <c r="Q1814" s="246"/>
      <c r="R1814" s="233"/>
      <c r="S1814" s="234">
        <f>IF(C1814="",NA(),MATCH($B1814&amp;$C1814,'Smelter Reference List'!$J:$J,0))</f>
        <v>432</v>
      </c>
      <c r="T1814" s="235"/>
      <c r="U1814" s="235">
        <f t="shared" si="52"/>
        <v>0</v>
      </c>
      <c r="V1814" s="235"/>
      <c r="W1814" s="235"/>
      <c r="Y1814" s="228" t="str">
        <f t="shared" si="53"/>
        <v>TinPT Timah (Persero) Tbk Mentok</v>
      </c>
    </row>
    <row r="1815" spans="1:25" s="228" customFormat="1" ht="20.25">
      <c r="A1815" s="161" t="s">
        <v>1380</v>
      </c>
      <c r="B1815" s="408" t="s">
        <v>2324</v>
      </c>
      <c r="C1815" s="297" t="str">
        <f>IF(LEN(A1815)=0,"",INDEX('[2]Smelter Reference List'!$C$1:$C$65536,MATCH($A1815,'[2]Smelter Reference List'!$E$1:$E$65536,0)))</f>
        <v>Minsur</v>
      </c>
      <c r="D1815" s="161" t="s">
        <v>1954</v>
      </c>
      <c r="E1815" s="161" t="s">
        <v>1704</v>
      </c>
      <c r="F1815" s="161" t="s">
        <v>1380</v>
      </c>
      <c r="G1815" s="161" t="s">
        <v>3125</v>
      </c>
      <c r="H1815" s="247">
        <v>0</v>
      </c>
      <c r="I1815" s="248" t="s">
        <v>3487</v>
      </c>
      <c r="J1815" s="248" t="s">
        <v>3488</v>
      </c>
      <c r="K1815" s="245"/>
      <c r="L1815" s="245"/>
      <c r="M1815" s="245"/>
      <c r="N1815" s="245"/>
      <c r="O1815" s="245"/>
      <c r="P1815" s="245"/>
      <c r="Q1815" s="246"/>
      <c r="R1815" s="233"/>
      <c r="S1815" s="234">
        <f>IF(C1815="",NA(),MATCH($B1815&amp;$C1815,'Smelter Reference List'!$J:$J,0))</f>
        <v>384</v>
      </c>
      <c r="T1815" s="235"/>
      <c r="U1815" s="235">
        <f t="shared" si="52"/>
        <v>0</v>
      </c>
      <c r="V1815" s="235"/>
      <c r="W1815" s="235"/>
      <c r="Y1815" s="228" t="str">
        <f t="shared" si="53"/>
        <v>TinMinsur</v>
      </c>
    </row>
    <row r="1816" spans="1:25" s="228" customFormat="1" ht="20.25">
      <c r="A1816" s="161"/>
      <c r="B1816" s="408" t="s">
        <v>2324</v>
      </c>
      <c r="C1816" s="297" t="s">
        <v>3604</v>
      </c>
      <c r="D1816" s="228" t="s">
        <v>5676</v>
      </c>
      <c r="E1816" s="228" t="s">
        <v>2158</v>
      </c>
      <c r="F1816" s="161">
        <v>0</v>
      </c>
      <c r="G1816" s="161" t="s">
        <v>5584</v>
      </c>
      <c r="H1816" s="228" t="s">
        <v>5952</v>
      </c>
      <c r="I1816" s="228" t="s">
        <v>5953</v>
      </c>
      <c r="K1816" s="228" t="s">
        <v>5954</v>
      </c>
      <c r="L1816" s="228" t="s">
        <v>5955</v>
      </c>
      <c r="M1816" s="228" t="s">
        <v>5937</v>
      </c>
      <c r="N1816" s="228" t="s">
        <v>5937</v>
      </c>
      <c r="O1816" s="228" t="s">
        <v>5937</v>
      </c>
      <c r="R1816" s="233"/>
      <c r="S1816" s="234">
        <f>IF(C1816="",NA(),MATCH($B1816&amp;$C1816,'Smelter Reference List'!$J:$J,0))</f>
        <v>467</v>
      </c>
      <c r="T1816" s="235"/>
      <c r="U1816" s="235">
        <f t="shared" si="52"/>
        <v>0</v>
      </c>
      <c r="V1816" s="235"/>
      <c r="W1816" s="235"/>
      <c r="Y1816" s="228" t="str">
        <f t="shared" si="53"/>
        <v>TinSmelter not listed</v>
      </c>
    </row>
    <row r="1817" spans="1:25" s="228" customFormat="1" ht="20.25">
      <c r="A1817" s="161" t="s">
        <v>1407</v>
      </c>
      <c r="B1817" s="408" t="s">
        <v>2324</v>
      </c>
      <c r="C1817" s="297" t="str">
        <f>IF(LEN(A1817)=0,"",INDEX('[2]Smelter Reference List'!$C$1:$C$65536,MATCH($A1817,'[2]Smelter Reference List'!$E$1:$E$65536,0)))</f>
        <v>Yunnan Tin Company Limited</v>
      </c>
      <c r="D1817" s="161" t="s">
        <v>4749</v>
      </c>
      <c r="E1817" s="161" t="s">
        <v>2181</v>
      </c>
      <c r="F1817" s="161" t="s">
        <v>1407</v>
      </c>
      <c r="G1817" s="161" t="s">
        <v>3125</v>
      </c>
      <c r="H1817" s="247">
        <v>0</v>
      </c>
      <c r="I1817" s="248" t="s">
        <v>3468</v>
      </c>
      <c r="J1817" s="248" t="s">
        <v>3161</v>
      </c>
      <c r="K1817" s="245"/>
      <c r="L1817" s="245"/>
      <c r="M1817" s="245"/>
      <c r="N1817" s="245"/>
      <c r="O1817" s="245"/>
      <c r="P1817" s="245"/>
      <c r="Q1817" s="246"/>
      <c r="R1817" s="233"/>
      <c r="S1817" s="234">
        <f>IF(C1817="",NA(),MATCH($B1817&amp;$C1817,'Smelter Reference List'!$J:$J,0))</f>
        <v>462</v>
      </c>
      <c r="T1817" s="235"/>
      <c r="U1817" s="235">
        <f t="shared" si="52"/>
        <v>0</v>
      </c>
      <c r="V1817" s="235"/>
      <c r="W1817" s="235"/>
      <c r="Y1817" s="228" t="str">
        <f t="shared" si="53"/>
        <v>TinYunnan Tin Company Limited</v>
      </c>
    </row>
    <row r="1818" spans="1:25" s="228" customFormat="1" ht="20.25">
      <c r="A1818" s="161" t="s">
        <v>1414</v>
      </c>
      <c r="B1818" s="408" t="s">
        <v>2326</v>
      </c>
      <c r="C1818" s="297" t="str">
        <f>IF(LEN(A1818)=0,"",INDEX('[2]Smelter Reference List'!$C$1:$C$65536,MATCH($A1818,'[2]Smelter Reference List'!$E$1:$E$65536,0)))</f>
        <v>Global Tungsten &amp; Powders Corp.</v>
      </c>
      <c r="D1818" s="161" t="s">
        <v>1</v>
      </c>
      <c r="E1818" s="161" t="s">
        <v>1759</v>
      </c>
      <c r="F1818" s="161" t="s">
        <v>1414</v>
      </c>
      <c r="G1818" s="161" t="s">
        <v>3125</v>
      </c>
      <c r="H1818" s="247">
        <v>0</v>
      </c>
      <c r="I1818" s="248" t="s">
        <v>3560</v>
      </c>
      <c r="J1818" s="248" t="s">
        <v>3401</v>
      </c>
      <c r="K1818" s="245"/>
      <c r="L1818" s="245"/>
      <c r="M1818" s="245"/>
      <c r="N1818" s="245"/>
      <c r="O1818" s="245"/>
      <c r="P1818" s="245"/>
      <c r="Q1818" s="246"/>
      <c r="R1818" s="233"/>
      <c r="S1818" s="234">
        <f>IF(C1818="",NA(),MATCH($B1818&amp;$C1818,'Smelter Reference List'!$J:$J,0))</f>
        <v>490</v>
      </c>
      <c r="T1818" s="235"/>
      <c r="U1818" s="235">
        <f t="shared" si="52"/>
        <v>0</v>
      </c>
      <c r="V1818" s="235"/>
      <c r="W1818" s="235"/>
      <c r="Y1818" s="228" t="str">
        <f t="shared" si="53"/>
        <v>TungstenGlobal Tungsten &amp; Powders Corp.</v>
      </c>
    </row>
    <row r="1819" spans="1:25" s="228" customFormat="1" ht="20.25">
      <c r="A1819" s="161" t="s">
        <v>1415</v>
      </c>
      <c r="B1819" s="408" t="s">
        <v>2326</v>
      </c>
      <c r="C1819" s="297" t="str">
        <f>IF(LEN(A1819)=0,"",INDEX('[2]Smelter Reference List'!$C$1:$C$65536,MATCH($A1819,'[2]Smelter Reference List'!$E$1:$E$65536,0)))</f>
        <v>Hunan Chenzhou Mining Co., Ltd.</v>
      </c>
      <c r="D1819" s="161" t="s">
        <v>4286</v>
      </c>
      <c r="E1819" s="161" t="s">
        <v>2181</v>
      </c>
      <c r="F1819" s="161" t="s">
        <v>1415</v>
      </c>
      <c r="G1819" s="161" t="s">
        <v>3125</v>
      </c>
      <c r="H1819" s="247">
        <v>0</v>
      </c>
      <c r="I1819" s="248" t="s">
        <v>4137</v>
      </c>
      <c r="J1819" s="248" t="s">
        <v>3186</v>
      </c>
      <c r="K1819" s="245"/>
      <c r="L1819" s="245"/>
      <c r="M1819" s="245"/>
      <c r="N1819" s="245"/>
      <c r="O1819" s="245"/>
      <c r="P1819" s="245"/>
      <c r="Q1819" s="246"/>
      <c r="R1819" s="233"/>
      <c r="S1819" s="234">
        <f>IF(C1819="",NA(),MATCH($B1819&amp;$C1819,'Smelter Reference List'!$J:$J,0))</f>
        <v>496</v>
      </c>
      <c r="T1819" s="235"/>
      <c r="U1819" s="235">
        <f t="shared" si="52"/>
        <v>0</v>
      </c>
      <c r="V1819" s="235"/>
      <c r="W1819" s="235"/>
      <c r="Y1819" s="228" t="str">
        <f t="shared" si="53"/>
        <v>TungstenHunan Chenzhou Mining Co., Ltd.</v>
      </c>
    </row>
    <row r="1820" spans="1:25" s="228" customFormat="1" ht="20.25">
      <c r="A1820" s="161" t="s">
        <v>722</v>
      </c>
      <c r="B1820" s="408" t="s">
        <v>2326</v>
      </c>
      <c r="C1820" s="297" t="str">
        <f>IF(LEN(A1820)=0,"",INDEX('[2]Smelter Reference List'!$C$1:$C$65536,MATCH($A1820,'[2]Smelter Reference List'!$E$1:$E$65536,0)))</f>
        <v>Ganzhou Seadragon W &amp; Mo Co., Ltd.</v>
      </c>
      <c r="D1820" s="161" t="s">
        <v>721</v>
      </c>
      <c r="E1820" s="161" t="s">
        <v>2181</v>
      </c>
      <c r="F1820" s="161" t="s">
        <v>722</v>
      </c>
      <c r="G1820" s="161" t="s">
        <v>3125</v>
      </c>
      <c r="H1820" s="247">
        <v>0</v>
      </c>
      <c r="I1820" s="248" t="s">
        <v>3471</v>
      </c>
      <c r="J1820" s="248" t="s">
        <v>3204</v>
      </c>
      <c r="K1820" s="245"/>
      <c r="L1820" s="245"/>
      <c r="M1820" s="245"/>
      <c r="N1820" s="245"/>
      <c r="O1820" s="245"/>
      <c r="P1820" s="245"/>
      <c r="Q1820" s="246"/>
      <c r="R1820" s="233"/>
      <c r="S1820" s="234">
        <f>IF(C1820="",NA(),MATCH($B1820&amp;$C1820,'Smelter Reference List'!$J:$J,0))</f>
        <v>488</v>
      </c>
      <c r="T1820" s="235"/>
      <c r="U1820" s="235">
        <f t="shared" si="52"/>
        <v>0</v>
      </c>
      <c r="V1820" s="235"/>
      <c r="W1820" s="235"/>
      <c r="Y1820" s="228" t="str">
        <f t="shared" si="53"/>
        <v>TungstenGanzhou Seadragon W &amp; Mo Co., Ltd.</v>
      </c>
    </row>
    <row r="1821" spans="1:25" s="228" customFormat="1" ht="20.25">
      <c r="A1821" s="161"/>
      <c r="B1821" s="408" t="s">
        <v>2326</v>
      </c>
      <c r="C1821" s="297" t="s">
        <v>3604</v>
      </c>
      <c r="D1821" s="228" t="s">
        <v>210</v>
      </c>
      <c r="E1821" s="228" t="s">
        <v>2181</v>
      </c>
      <c r="F1821" s="161">
        <v>0</v>
      </c>
      <c r="G1821" s="161" t="s">
        <v>5584</v>
      </c>
      <c r="H1821" s="228" t="s">
        <v>5956</v>
      </c>
      <c r="I1821" s="228" t="s">
        <v>5826</v>
      </c>
      <c r="J1821" s="228" t="s">
        <v>3335</v>
      </c>
      <c r="K1821" s="228" t="s">
        <v>5957</v>
      </c>
      <c r="L1821" s="228" t="s">
        <v>5958</v>
      </c>
      <c r="M1821" s="228" t="s">
        <v>5841</v>
      </c>
      <c r="N1821" s="228" t="s">
        <v>5959</v>
      </c>
      <c r="O1821" s="228" t="s">
        <v>5648</v>
      </c>
      <c r="R1821" s="233"/>
      <c r="S1821" s="234">
        <f>IF(C1821="",NA(),MATCH($B1821&amp;$C1821,'Smelter Reference List'!$J:$J,0))</f>
        <v>536</v>
      </c>
      <c r="T1821" s="235"/>
      <c r="U1821" s="235">
        <f t="shared" si="52"/>
        <v>0</v>
      </c>
      <c r="V1821" s="235"/>
      <c r="W1821" s="235"/>
      <c r="Y1821" s="228" t="str">
        <f t="shared" si="53"/>
        <v>TungstenSmelter not listed</v>
      </c>
    </row>
    <row r="1822" spans="1:25" s="228" customFormat="1" ht="20.25">
      <c r="A1822" s="161"/>
      <c r="B1822" s="408" t="s">
        <v>2326</v>
      </c>
      <c r="C1822" s="297" t="s">
        <v>3604</v>
      </c>
      <c r="D1822" s="228" t="s">
        <v>211</v>
      </c>
      <c r="E1822" s="228" t="s">
        <v>2181</v>
      </c>
      <c r="F1822" s="161">
        <v>0</v>
      </c>
      <c r="G1822" s="161" t="s">
        <v>5584</v>
      </c>
      <c r="H1822" s="228" t="s">
        <v>5960</v>
      </c>
      <c r="I1822" s="228" t="s">
        <v>5961</v>
      </c>
      <c r="J1822" s="228" t="s">
        <v>3204</v>
      </c>
      <c r="K1822" s="228" t="s">
        <v>5962</v>
      </c>
      <c r="L1822" s="228" t="s">
        <v>5963</v>
      </c>
      <c r="M1822" s="228" t="s">
        <v>5964</v>
      </c>
      <c r="N1822" s="228" t="s">
        <v>5569</v>
      </c>
      <c r="O1822" s="228" t="s">
        <v>5648</v>
      </c>
      <c r="Q1822" s="228" t="s">
        <v>5965</v>
      </c>
      <c r="R1822" s="233"/>
      <c r="S1822" s="234">
        <f>IF(C1822="",NA(),MATCH($B1822&amp;$C1822,'Smelter Reference List'!$J:$J,0))</f>
        <v>536</v>
      </c>
      <c r="T1822" s="235"/>
      <c r="U1822" s="235">
        <f t="shared" si="52"/>
        <v>0</v>
      </c>
      <c r="V1822" s="235"/>
      <c r="W1822" s="235"/>
      <c r="Y1822" s="228" t="str">
        <f t="shared" si="53"/>
        <v>TungstenSmelter not listed</v>
      </c>
    </row>
    <row r="1823" spans="1:25" s="228" customFormat="1" ht="20.25">
      <c r="A1823" s="161" t="s">
        <v>1411</v>
      </c>
      <c r="B1823" s="408" t="s">
        <v>2326</v>
      </c>
      <c r="C1823" s="297" t="str">
        <f>IF(LEN(A1823)=0,"",INDEX('[2]Smelter Reference List'!$C$1:$C$65536,MATCH($A1823,'[2]Smelter Reference List'!$E$1:$E$65536,0)))</f>
        <v>Chongyi Zhangyuan Tungsten Co., Ltd.</v>
      </c>
      <c r="D1823" s="161" t="s">
        <v>2659</v>
      </c>
      <c r="E1823" s="161" t="s">
        <v>2181</v>
      </c>
      <c r="F1823" s="161" t="s">
        <v>1411</v>
      </c>
      <c r="G1823" s="161" t="s">
        <v>3125</v>
      </c>
      <c r="H1823" s="247">
        <v>0</v>
      </c>
      <c r="I1823" s="248" t="s">
        <v>3471</v>
      </c>
      <c r="J1823" s="248" t="s">
        <v>3204</v>
      </c>
      <c r="K1823" s="245"/>
      <c r="L1823" s="245"/>
      <c r="M1823" s="245"/>
      <c r="N1823" s="245"/>
      <c r="O1823" s="245"/>
      <c r="P1823" s="245"/>
      <c r="Q1823" s="246"/>
      <c r="R1823" s="233"/>
      <c r="S1823" s="234">
        <f>IF(C1823="",NA(),MATCH($B1823&amp;$C1823,'Smelter Reference List'!$J:$J,0))</f>
        <v>480</v>
      </c>
      <c r="T1823" s="235"/>
      <c r="U1823" s="235">
        <f t="shared" si="52"/>
        <v>0</v>
      </c>
      <c r="V1823" s="235"/>
      <c r="W1823" s="235"/>
      <c r="Y1823" s="228" t="str">
        <f t="shared" si="53"/>
        <v>TungstenChongyi Zhangyuan Tungsten Co., Ltd.</v>
      </c>
    </row>
    <row r="1824" spans="1:25" s="228" customFormat="1" ht="20.25">
      <c r="A1824" s="161"/>
      <c r="B1824" s="408" t="s">
        <v>2326</v>
      </c>
      <c r="C1824" s="297" t="s">
        <v>3604</v>
      </c>
      <c r="D1824" s="228" t="s">
        <v>5929</v>
      </c>
      <c r="E1824" s="228" t="s">
        <v>2181</v>
      </c>
      <c r="F1824" s="161">
        <v>0</v>
      </c>
      <c r="G1824" s="161" t="s">
        <v>5584</v>
      </c>
      <c r="H1824" s="228" t="s">
        <v>5966</v>
      </c>
      <c r="I1824" s="228" t="s">
        <v>3395</v>
      </c>
      <c r="J1824" s="228" t="s">
        <v>5967</v>
      </c>
      <c r="K1824" s="228" t="s">
        <v>5579</v>
      </c>
      <c r="L1824" s="228" t="s">
        <v>5580</v>
      </c>
      <c r="M1824" s="228" t="s">
        <v>5964</v>
      </c>
      <c r="N1824" s="228" t="s">
        <v>5569</v>
      </c>
      <c r="O1824" s="228" t="s">
        <v>5648</v>
      </c>
      <c r="Q1824" s="228" t="s">
        <v>5965</v>
      </c>
      <c r="R1824" s="233"/>
      <c r="S1824" s="234">
        <f>IF(C1824="",NA(),MATCH($B1824&amp;$C1824,'Smelter Reference List'!$J:$J,0))</f>
        <v>536</v>
      </c>
      <c r="T1824" s="235"/>
      <c r="U1824" s="235">
        <f t="shared" si="52"/>
        <v>0</v>
      </c>
      <c r="V1824" s="235"/>
      <c r="W1824" s="235"/>
      <c r="Y1824" s="228" t="str">
        <f t="shared" si="53"/>
        <v>TungstenSmelter not listed</v>
      </c>
    </row>
    <row r="1825" spans="1:25" s="228" customFormat="1" ht="20.25">
      <c r="A1825" s="161" t="s">
        <v>1411</v>
      </c>
      <c r="B1825" s="408" t="s">
        <v>2326</v>
      </c>
      <c r="C1825" s="297" t="str">
        <f>IF(LEN(A1825)=0,"",INDEX('[2]Smelter Reference List'!$C$1:$C$65536,MATCH($A1825,'[2]Smelter Reference List'!$E$1:$E$65536,0)))</f>
        <v>Chongyi Zhangyuan Tungsten Co., Ltd.</v>
      </c>
      <c r="D1825" s="161" t="s">
        <v>2659</v>
      </c>
      <c r="E1825" s="161" t="s">
        <v>2181</v>
      </c>
      <c r="F1825" s="161" t="s">
        <v>1411</v>
      </c>
      <c r="G1825" s="161" t="s">
        <v>3125</v>
      </c>
      <c r="H1825" s="247">
        <v>0</v>
      </c>
      <c r="I1825" s="248" t="s">
        <v>3471</v>
      </c>
      <c r="J1825" s="248" t="s">
        <v>3204</v>
      </c>
      <c r="K1825" s="245"/>
      <c r="L1825" s="245"/>
      <c r="M1825" s="245"/>
      <c r="N1825" s="245"/>
      <c r="O1825" s="245"/>
      <c r="P1825" s="245"/>
      <c r="Q1825" s="246"/>
      <c r="R1825" s="233"/>
      <c r="S1825" s="234">
        <f>IF(C1825="",NA(),MATCH($B1825&amp;$C1825,'Smelter Reference List'!$J:$J,0))</f>
        <v>480</v>
      </c>
      <c r="T1825" s="235"/>
      <c r="U1825" s="235">
        <f t="shared" si="52"/>
        <v>0</v>
      </c>
      <c r="V1825" s="235"/>
      <c r="W1825" s="235"/>
      <c r="Y1825" s="228" t="str">
        <f t="shared" si="53"/>
        <v>TungstenChongyi Zhangyuan Tungsten Co., Ltd.</v>
      </c>
    </row>
    <row r="1826" spans="1:25" s="228" customFormat="1" ht="20.25">
      <c r="A1826" s="161" t="s">
        <v>1423</v>
      </c>
      <c r="B1826" s="408" t="s">
        <v>2326</v>
      </c>
      <c r="C1826" s="297" t="str">
        <f>IF(LEN(A1826)=0,"",INDEX('[2]Smelter Reference List'!$C$1:$C$65536,MATCH($A1826,'[2]Smelter Reference List'!$E$1:$E$65536,0)))</f>
        <v>Xiamen Tungsten Co., Ltd.</v>
      </c>
      <c r="D1826" s="161" t="s">
        <v>2663</v>
      </c>
      <c r="E1826" s="161" t="s">
        <v>2181</v>
      </c>
      <c r="F1826" s="161" t="s">
        <v>1423</v>
      </c>
      <c r="G1826" s="161" t="s">
        <v>3125</v>
      </c>
      <c r="H1826" s="247">
        <v>0</v>
      </c>
      <c r="I1826" s="248" t="s">
        <v>3569</v>
      </c>
      <c r="J1826" s="248" t="s">
        <v>3332</v>
      </c>
      <c r="K1826" s="245"/>
      <c r="L1826" s="245"/>
      <c r="M1826" s="245"/>
      <c r="N1826" s="245"/>
      <c r="O1826" s="245"/>
      <c r="P1826" s="245"/>
      <c r="Q1826" s="246"/>
      <c r="R1826" s="233"/>
      <c r="S1826" s="234">
        <f>IF(C1826="",NA(),MATCH($B1826&amp;$C1826,'Smelter Reference List'!$J:$J,0))</f>
        <v>532</v>
      </c>
      <c r="T1826" s="235"/>
      <c r="U1826" s="235">
        <f t="shared" si="52"/>
        <v>0</v>
      </c>
      <c r="V1826" s="235"/>
      <c r="W1826" s="235"/>
      <c r="Y1826" s="228" t="str">
        <f t="shared" si="53"/>
        <v>TungstenXiamen Tungsten Co., Ltd.</v>
      </c>
    </row>
    <row r="1827" spans="1:25" s="228" customFormat="1" ht="20.25">
      <c r="A1827" s="161" t="s">
        <v>1419</v>
      </c>
      <c r="B1827" s="408" t="s">
        <v>2326</v>
      </c>
      <c r="C1827" s="297" t="str">
        <f>IF(LEN(A1827)=0,"",INDEX('[2]Smelter Reference List'!$C$1:$C$65536,MATCH($A1827,'[2]Smelter Reference List'!$E$1:$E$65536,0)))</f>
        <v>Ganzhou Huaxing Tungsten Products Co., Ltd.</v>
      </c>
      <c r="D1827" s="161" t="s">
        <v>211</v>
      </c>
      <c r="E1827" s="161" t="s">
        <v>2181</v>
      </c>
      <c r="F1827" s="161" t="s">
        <v>1419</v>
      </c>
      <c r="G1827" s="161" t="s">
        <v>3125</v>
      </c>
      <c r="H1827" s="247">
        <v>0</v>
      </c>
      <c r="I1827" s="248" t="s">
        <v>3471</v>
      </c>
      <c r="J1827" s="248" t="s">
        <v>3204</v>
      </c>
      <c r="K1827" s="245"/>
      <c r="L1827" s="245"/>
      <c r="M1827" s="245"/>
      <c r="N1827" s="245"/>
      <c r="O1827" s="245"/>
      <c r="P1827" s="245"/>
      <c r="Q1827" s="246"/>
      <c r="R1827" s="233"/>
      <c r="S1827" s="234">
        <f>IF(C1827="",NA(),MATCH($B1827&amp;$C1827,'Smelter Reference List'!$J:$J,0))</f>
        <v>485</v>
      </c>
      <c r="T1827" s="235"/>
      <c r="U1827" s="235">
        <f t="shared" si="52"/>
        <v>0</v>
      </c>
      <c r="V1827" s="235"/>
      <c r="W1827" s="235"/>
      <c r="Y1827" s="228" t="str">
        <f t="shared" si="53"/>
        <v>TungstenGanzhou Huaxing Tungsten Products Co., Ltd.</v>
      </c>
    </row>
    <row r="1828" spans="1:25" s="228" customFormat="1" ht="20.25">
      <c r="A1828" s="161" t="s">
        <v>1423</v>
      </c>
      <c r="B1828" s="408" t="s">
        <v>2326</v>
      </c>
      <c r="C1828" s="297" t="str">
        <f>IF(LEN(A1828)=0,"",INDEX('[2]Smelter Reference List'!$C$1:$C$65536,MATCH($A1828,'[2]Smelter Reference List'!$E$1:$E$65536,0)))</f>
        <v>Xiamen Tungsten Co., Ltd.</v>
      </c>
      <c r="D1828" s="161" t="s">
        <v>2663</v>
      </c>
      <c r="E1828" s="161" t="s">
        <v>2181</v>
      </c>
      <c r="F1828" s="161" t="s">
        <v>1423</v>
      </c>
      <c r="G1828" s="161" t="s">
        <v>3125</v>
      </c>
      <c r="H1828" s="247">
        <v>0</v>
      </c>
      <c r="I1828" s="248" t="s">
        <v>3569</v>
      </c>
      <c r="J1828" s="248" t="s">
        <v>3332</v>
      </c>
      <c r="K1828" s="245"/>
      <c r="L1828" s="245"/>
      <c r="M1828" s="245"/>
      <c r="N1828" s="245"/>
      <c r="O1828" s="245"/>
      <c r="P1828" s="245"/>
      <c r="Q1828" s="246"/>
      <c r="R1828" s="233"/>
      <c r="S1828" s="234">
        <f>IF(C1828="",NA(),MATCH($B1828&amp;$C1828,'Smelter Reference List'!$J:$J,0))</f>
        <v>532</v>
      </c>
      <c r="T1828" s="235"/>
      <c r="U1828" s="235">
        <f t="shared" si="52"/>
        <v>0</v>
      </c>
      <c r="V1828" s="235"/>
      <c r="W1828" s="235"/>
      <c r="Y1828" s="228" t="str">
        <f t="shared" si="53"/>
        <v>TungstenXiamen Tungsten Co., Ltd.</v>
      </c>
    </row>
    <row r="1829" spans="1:25" s="228" customFormat="1" ht="20.25">
      <c r="A1829" s="161"/>
      <c r="B1829" s="408" t="s">
        <v>2326</v>
      </c>
      <c r="C1829" s="297" t="s">
        <v>3604</v>
      </c>
      <c r="D1829" s="228" t="s">
        <v>5968</v>
      </c>
      <c r="E1829" s="228" t="s">
        <v>2181</v>
      </c>
      <c r="F1829" s="161">
        <v>0</v>
      </c>
      <c r="G1829" s="161" t="s">
        <v>5584</v>
      </c>
      <c r="H1829" s="228" t="s">
        <v>5969</v>
      </c>
      <c r="I1829" s="228" t="s">
        <v>5937</v>
      </c>
      <c r="J1829" s="228" t="s">
        <v>3204</v>
      </c>
      <c r="K1829" s="228" t="s">
        <v>5970</v>
      </c>
      <c r="L1829" s="228" t="s">
        <v>5971</v>
      </c>
      <c r="M1829" s="228" t="s">
        <v>5937</v>
      </c>
      <c r="N1829" s="228" t="s">
        <v>5972</v>
      </c>
      <c r="O1829" s="228" t="s">
        <v>5648</v>
      </c>
      <c r="R1829" s="233"/>
      <c r="S1829" s="234">
        <f>IF(C1829="",NA(),MATCH($B1829&amp;$C1829,'Smelter Reference List'!$J:$J,0))</f>
        <v>536</v>
      </c>
      <c r="T1829" s="235"/>
      <c r="U1829" s="235">
        <f t="shared" si="52"/>
        <v>0</v>
      </c>
      <c r="V1829" s="235"/>
      <c r="W1829" s="235"/>
      <c r="Y1829" s="228" t="str">
        <f t="shared" si="53"/>
        <v>TungstenSmelter not listed</v>
      </c>
    </row>
    <row r="1830" spans="1:25" s="228" customFormat="1" ht="20.25">
      <c r="A1830" s="161"/>
      <c r="B1830" s="408" t="s">
        <v>2326</v>
      </c>
      <c r="C1830" s="297" t="s">
        <v>3604</v>
      </c>
      <c r="D1830" s="228" t="s">
        <v>5973</v>
      </c>
      <c r="E1830" s="228" t="s">
        <v>2181</v>
      </c>
      <c r="F1830" s="161">
        <v>0</v>
      </c>
      <c r="G1830" s="161" t="s">
        <v>5584</v>
      </c>
      <c r="H1830" s="228" t="s">
        <v>5974</v>
      </c>
      <c r="I1830" s="228" t="s">
        <v>5975</v>
      </c>
      <c r="J1830" s="228" t="s">
        <v>5975</v>
      </c>
      <c r="K1830" s="228" t="s">
        <v>5976</v>
      </c>
      <c r="L1830" s="228" t="s">
        <v>5977</v>
      </c>
      <c r="M1830" s="228" t="s">
        <v>5964</v>
      </c>
      <c r="N1830" s="228" t="s">
        <v>5569</v>
      </c>
      <c r="O1830" s="228" t="s">
        <v>5648</v>
      </c>
      <c r="Q1830" s="228" t="s">
        <v>5965</v>
      </c>
      <c r="R1830" s="233"/>
      <c r="S1830" s="234">
        <f>IF(C1830="",NA(),MATCH($B1830&amp;$C1830,'Smelter Reference List'!$J:$J,0))</f>
        <v>536</v>
      </c>
      <c r="T1830" s="235"/>
      <c r="U1830" s="235">
        <f t="shared" si="52"/>
        <v>0</v>
      </c>
      <c r="V1830" s="235"/>
      <c r="W1830" s="235"/>
      <c r="Y1830" s="228" t="str">
        <f t="shared" si="53"/>
        <v>TungstenSmelter not listed</v>
      </c>
    </row>
    <row r="1831" spans="1:25" s="228" customFormat="1" ht="20.25">
      <c r="A1831" s="161"/>
      <c r="B1831" s="408" t="s">
        <v>2326</v>
      </c>
      <c r="C1831" s="297" t="s">
        <v>3604</v>
      </c>
      <c r="D1831" s="228" t="s">
        <v>5978</v>
      </c>
      <c r="E1831" s="228" t="s">
        <v>2181</v>
      </c>
      <c r="F1831" s="161">
        <v>0</v>
      </c>
      <c r="G1831" s="161" t="s">
        <v>5584</v>
      </c>
      <c r="H1831" s="228" t="s">
        <v>5979</v>
      </c>
      <c r="I1831" s="228" t="s">
        <v>5980</v>
      </c>
      <c r="J1831" s="228" t="s">
        <v>5981</v>
      </c>
      <c r="K1831" s="228" t="s">
        <v>5982</v>
      </c>
      <c r="L1831" s="426" t="s">
        <v>5983</v>
      </c>
      <c r="M1831" s="228" t="s">
        <v>5937</v>
      </c>
      <c r="N1831" s="228" t="s">
        <v>5937</v>
      </c>
      <c r="O1831" s="228" t="s">
        <v>5937</v>
      </c>
      <c r="Q1831" s="228" t="s">
        <v>5937</v>
      </c>
      <c r="R1831" s="233"/>
      <c r="S1831" s="234">
        <f>IF(C1831="",NA(),MATCH($B1831&amp;$C1831,'Smelter Reference List'!$J:$J,0))</f>
        <v>536</v>
      </c>
      <c r="T1831" s="235"/>
      <c r="U1831" s="235">
        <f t="shared" si="52"/>
        <v>0</v>
      </c>
      <c r="V1831" s="235"/>
      <c r="W1831" s="235"/>
      <c r="Y1831" s="228" t="str">
        <f t="shared" si="53"/>
        <v>TungstenSmelter not listed</v>
      </c>
    </row>
    <row r="1832" spans="1:25" s="228" customFormat="1" ht="20.25">
      <c r="A1832" s="161" t="s">
        <v>1423</v>
      </c>
      <c r="B1832" s="408" t="s">
        <v>2326</v>
      </c>
      <c r="C1832" s="297" t="str">
        <f>IF(LEN(A1832)=0,"",INDEX('[2]Smelter Reference List'!$C$1:$C$65536,MATCH($A1832,'[2]Smelter Reference List'!$E$1:$E$65536,0)))</f>
        <v>Xiamen Tungsten Co., Ltd.</v>
      </c>
      <c r="D1832" s="161" t="s">
        <v>2663</v>
      </c>
      <c r="E1832" s="161" t="s">
        <v>2181</v>
      </c>
      <c r="F1832" s="161" t="s">
        <v>1423</v>
      </c>
      <c r="G1832" s="161" t="s">
        <v>3125</v>
      </c>
      <c r="H1832" s="247">
        <v>0</v>
      </c>
      <c r="I1832" s="248" t="s">
        <v>3569</v>
      </c>
      <c r="J1832" s="248" t="s">
        <v>3332</v>
      </c>
      <c r="K1832" s="245"/>
      <c r="L1832" s="245"/>
      <c r="M1832" s="245"/>
      <c r="N1832" s="245"/>
      <c r="O1832" s="245"/>
      <c r="P1832" s="245"/>
      <c r="Q1832" s="246"/>
      <c r="R1832" s="233"/>
      <c r="S1832" s="234">
        <f>IF(C1832="",NA(),MATCH($B1832&amp;$C1832,'Smelter Reference List'!$J:$J,0))</f>
        <v>532</v>
      </c>
      <c r="T1832" s="235"/>
      <c r="U1832" s="235">
        <f t="shared" si="52"/>
        <v>0</v>
      </c>
      <c r="V1832" s="235"/>
      <c r="W1832" s="235"/>
      <c r="Y1832" s="228" t="str">
        <f t="shared" si="53"/>
        <v>TungstenXiamen Tungsten Co., Ltd.</v>
      </c>
    </row>
    <row r="1833" spans="1:25" s="228" customFormat="1" ht="20.25">
      <c r="A1833" s="161" t="s">
        <v>1367</v>
      </c>
      <c r="B1833" s="408" t="s">
        <v>2324</v>
      </c>
      <c r="C1833" s="297" t="str">
        <f>IF(LEN(A1833)=0,"",INDEX('[2]Smelter Reference List'!$C$1:$C$65536,MATCH($A1833,'[2]Smelter Reference List'!$E$1:$E$65536,0)))</f>
        <v>CV United Smelting</v>
      </c>
      <c r="D1833" s="161" t="s">
        <v>1505</v>
      </c>
      <c r="E1833" s="161" t="s">
        <v>2238</v>
      </c>
      <c r="F1833" s="161" t="s">
        <v>1367</v>
      </c>
      <c r="G1833" s="161" t="s">
        <v>3125</v>
      </c>
      <c r="H1833" s="247">
        <v>0</v>
      </c>
      <c r="I1833" s="248" t="s">
        <v>3457</v>
      </c>
      <c r="J1833" s="248" t="s">
        <v>3454</v>
      </c>
      <c r="K1833" s="245"/>
      <c r="L1833" s="245"/>
      <c r="M1833" s="245"/>
      <c r="N1833" s="245"/>
      <c r="O1833" s="245"/>
      <c r="P1833" s="245"/>
      <c r="Q1833" s="246"/>
      <c r="R1833" s="233"/>
      <c r="S1833" s="234">
        <f>IF(C1833="",NA(),MATCH($B1833&amp;$C1833,'Smelter Reference List'!$J:$J,0))</f>
        <v>335</v>
      </c>
      <c r="T1833" s="235"/>
      <c r="U1833" s="235">
        <f t="shared" si="52"/>
        <v>0</v>
      </c>
      <c r="V1833" s="235"/>
      <c r="W1833" s="235"/>
      <c r="Y1833" s="228" t="str">
        <f t="shared" si="53"/>
        <v>TinCV United Smelting</v>
      </c>
    </row>
    <row r="1834" spans="1:25" s="228" customFormat="1" ht="20.25">
      <c r="A1834" s="161" t="s">
        <v>1368</v>
      </c>
      <c r="B1834" s="408" t="s">
        <v>2324</v>
      </c>
      <c r="C1834" s="297" t="str">
        <f>IF(LEN(A1834)=0,"",INDEX('[2]Smelter Reference List'!$C$1:$C$65536,MATCH($A1834,'[2]Smelter Reference List'!$E$1:$E$65536,0)))</f>
        <v>EM Vinto</v>
      </c>
      <c r="D1834" s="161" t="s">
        <v>1506</v>
      </c>
      <c r="E1834" s="161" t="s">
        <v>2169</v>
      </c>
      <c r="F1834" s="161" t="s">
        <v>1368</v>
      </c>
      <c r="G1834" s="161" t="s">
        <v>3125</v>
      </c>
      <c r="H1834" s="247">
        <v>0</v>
      </c>
      <c r="I1834" s="248" t="s">
        <v>3459</v>
      </c>
      <c r="J1834" s="248" t="s">
        <v>3460</v>
      </c>
      <c r="K1834" s="245"/>
      <c r="L1834" s="245"/>
      <c r="M1834" s="245"/>
      <c r="N1834" s="245"/>
      <c r="O1834" s="245"/>
      <c r="P1834" s="245"/>
      <c r="Q1834" s="246"/>
      <c r="R1834" s="233"/>
      <c r="S1834" s="234">
        <f>IF(C1834="",NA(),MATCH($B1834&amp;$C1834,'Smelter Reference List'!$J:$J,0))</f>
        <v>341</v>
      </c>
      <c r="T1834" s="235"/>
      <c r="U1834" s="235">
        <f t="shared" si="52"/>
        <v>0</v>
      </c>
      <c r="V1834" s="235"/>
      <c r="W1834" s="235"/>
      <c r="Y1834" s="228" t="str">
        <f t="shared" si="53"/>
        <v>TinEM Vinto</v>
      </c>
    </row>
    <row r="1835" spans="1:25" s="228" customFormat="1" ht="20.25">
      <c r="A1835" s="161" t="s">
        <v>1378</v>
      </c>
      <c r="B1835" s="408" t="s">
        <v>2324</v>
      </c>
      <c r="C1835" s="297" t="str">
        <f>IF(LEN(A1835)=0,"",INDEX('[2]Smelter Reference List'!$C$1:$C$65536,MATCH($A1835,'[2]Smelter Reference List'!$E$1:$E$65536,0)))</f>
        <v>Malaysia Smelting Corporation (MSC)</v>
      </c>
      <c r="D1835" s="161" t="s">
        <v>1471</v>
      </c>
      <c r="E1835" s="161" t="s">
        <v>2289</v>
      </c>
      <c r="F1835" s="161" t="s">
        <v>1378</v>
      </c>
      <c r="G1835" s="161" t="s">
        <v>3125</v>
      </c>
      <c r="H1835" s="247">
        <v>0</v>
      </c>
      <c r="I1835" s="248" t="s">
        <v>3481</v>
      </c>
      <c r="J1835" s="248" t="s">
        <v>3482</v>
      </c>
      <c r="K1835" s="245"/>
      <c r="L1835" s="245"/>
      <c r="M1835" s="245"/>
      <c r="N1835" s="245"/>
      <c r="O1835" s="245"/>
      <c r="P1835" s="245"/>
      <c r="Q1835" s="246"/>
      <c r="R1835" s="233"/>
      <c r="S1835" s="234">
        <f>IF(C1835="",NA(),MATCH($B1835&amp;$C1835,'Smelter Reference List'!$J:$J,0))</f>
        <v>377</v>
      </c>
      <c r="T1835" s="235"/>
      <c r="U1835" s="235">
        <f t="shared" si="52"/>
        <v>0</v>
      </c>
      <c r="V1835" s="235"/>
      <c r="W1835" s="235"/>
      <c r="Y1835" s="228" t="str">
        <f t="shared" si="53"/>
        <v>TinMalaysia Smelting Corporation (MSC)</v>
      </c>
    </row>
    <row r="1836" spans="1:25" s="228" customFormat="1" ht="20.25">
      <c r="A1836" s="161"/>
      <c r="B1836" s="408" t="s">
        <v>2324</v>
      </c>
      <c r="C1836" s="297" t="s">
        <v>3604</v>
      </c>
      <c r="D1836" s="228" t="s">
        <v>5676</v>
      </c>
      <c r="E1836" s="228" t="s">
        <v>2158</v>
      </c>
      <c r="F1836" s="161">
        <v>0</v>
      </c>
      <c r="G1836" s="161" t="s">
        <v>5584</v>
      </c>
      <c r="H1836" s="247">
        <v>0</v>
      </c>
      <c r="I1836" s="248">
        <v>0</v>
      </c>
      <c r="J1836" s="248">
        <v>0</v>
      </c>
      <c r="K1836" s="245"/>
      <c r="L1836" s="245"/>
      <c r="M1836" s="245"/>
      <c r="N1836" s="245"/>
      <c r="O1836" s="245"/>
      <c r="P1836" s="245"/>
      <c r="Q1836" s="228" t="s">
        <v>5938</v>
      </c>
      <c r="R1836" s="233"/>
      <c r="S1836" s="234">
        <f>IF(C1836="",NA(),MATCH($B1836&amp;$C1836,'Smelter Reference List'!$J:$J,0))</f>
        <v>467</v>
      </c>
      <c r="T1836" s="235"/>
      <c r="U1836" s="235">
        <f t="shared" si="52"/>
        <v>0</v>
      </c>
      <c r="V1836" s="235"/>
      <c r="W1836" s="235"/>
      <c r="Y1836" s="228" t="str">
        <f t="shared" si="53"/>
        <v>TinSmelter not listed</v>
      </c>
    </row>
    <row r="1837" spans="1:25" s="228" customFormat="1" ht="20.25">
      <c r="A1837" s="161" t="s">
        <v>1379</v>
      </c>
      <c r="B1837" s="408" t="s">
        <v>2324</v>
      </c>
      <c r="C1837" s="297" t="str">
        <f>IF(LEN(A1837)=0,"",INDEX('[2]Smelter Reference List'!$C$1:$C$65536,MATCH($A1837,'[2]Smelter Reference List'!$E$1:$E$65536,0)))</f>
        <v>Mineração Taboca S.A.</v>
      </c>
      <c r="D1837" s="161" t="s">
        <v>1953</v>
      </c>
      <c r="E1837" s="161" t="s">
        <v>2170</v>
      </c>
      <c r="F1837" s="161" t="s">
        <v>1379</v>
      </c>
      <c r="G1837" s="161" t="s">
        <v>3125</v>
      </c>
      <c r="H1837" s="247">
        <v>0</v>
      </c>
      <c r="I1837" s="248" t="s">
        <v>3485</v>
      </c>
      <c r="J1837" s="248" t="s">
        <v>3313</v>
      </c>
      <c r="K1837" s="245"/>
      <c r="L1837" s="245"/>
      <c r="M1837" s="245"/>
      <c r="N1837" s="245"/>
      <c r="O1837" s="245"/>
      <c r="P1837" s="245"/>
      <c r="Q1837" s="246"/>
      <c r="R1837" s="233"/>
      <c r="S1837" s="234">
        <f>IF(C1837="",NA(),MATCH($B1837&amp;$C1837,'Smelter Reference List'!$J:$J,0))</f>
        <v>383</v>
      </c>
      <c r="T1837" s="235"/>
      <c r="U1837" s="235">
        <f t="shared" si="52"/>
        <v>0</v>
      </c>
      <c r="V1837" s="235"/>
      <c r="W1837" s="235"/>
      <c r="Y1837" s="228" t="str">
        <f t="shared" si="53"/>
        <v>TinMineração Taboca S.A.</v>
      </c>
    </row>
    <row r="1838" spans="1:25" s="228" customFormat="1" ht="20.25">
      <c r="A1838" s="161" t="s">
        <v>1380</v>
      </c>
      <c r="B1838" s="408" t="s">
        <v>2324</v>
      </c>
      <c r="C1838" s="297" t="str">
        <f>IF(LEN(A1838)=0,"",INDEX('[2]Smelter Reference List'!$C$1:$C$65536,MATCH($A1838,'[2]Smelter Reference List'!$E$1:$E$65536,0)))</f>
        <v>Minsur</v>
      </c>
      <c r="D1838" s="161" t="s">
        <v>1954</v>
      </c>
      <c r="E1838" s="161" t="s">
        <v>1704</v>
      </c>
      <c r="F1838" s="161" t="s">
        <v>1380</v>
      </c>
      <c r="G1838" s="161" t="s">
        <v>3125</v>
      </c>
      <c r="H1838" s="247">
        <v>0</v>
      </c>
      <c r="I1838" s="248" t="s">
        <v>3487</v>
      </c>
      <c r="J1838" s="248" t="s">
        <v>3488</v>
      </c>
      <c r="K1838" s="245"/>
      <c r="L1838" s="245"/>
      <c r="M1838" s="245"/>
      <c r="N1838" s="245"/>
      <c r="O1838" s="245"/>
      <c r="P1838" s="245"/>
      <c r="Q1838" s="246"/>
      <c r="R1838" s="233"/>
      <c r="S1838" s="234">
        <f>IF(C1838="",NA(),MATCH($B1838&amp;$C1838,'Smelter Reference List'!$J:$J,0))</f>
        <v>384</v>
      </c>
      <c r="T1838" s="235"/>
      <c r="U1838" s="235">
        <f t="shared" si="52"/>
        <v>0</v>
      </c>
      <c r="V1838" s="235"/>
      <c r="W1838" s="235"/>
      <c r="Y1838" s="228" t="str">
        <f t="shared" si="53"/>
        <v>TinMinsur</v>
      </c>
    </row>
    <row r="1839" spans="1:25" s="228" customFormat="1" ht="20.25">
      <c r="A1839" s="161" t="s">
        <v>1381</v>
      </c>
      <c r="B1839" s="408" t="s">
        <v>2324</v>
      </c>
      <c r="C1839" s="297" t="str">
        <f>IF(LEN(A1839)=0,"",INDEX('[2]Smelter Reference List'!$C$1:$C$65536,MATCH($A1839,'[2]Smelter Reference List'!$E$1:$E$65536,0)))</f>
        <v>Mitsubishi Materials Corporation</v>
      </c>
      <c r="D1839" s="161" t="s">
        <v>2371</v>
      </c>
      <c r="E1839" s="161" t="s">
        <v>2249</v>
      </c>
      <c r="F1839" s="161" t="s">
        <v>1381</v>
      </c>
      <c r="G1839" s="161" t="s">
        <v>3125</v>
      </c>
      <c r="H1839" s="247">
        <v>0</v>
      </c>
      <c r="I1839" s="248" t="s">
        <v>3490</v>
      </c>
      <c r="J1839" s="248" t="s">
        <v>3140</v>
      </c>
      <c r="K1839" s="245"/>
      <c r="L1839" s="245"/>
      <c r="M1839" s="245"/>
      <c r="N1839" s="245"/>
      <c r="O1839" s="245"/>
      <c r="P1839" s="245"/>
      <c r="Q1839" s="246"/>
      <c r="R1839" s="233"/>
      <c r="S1839" s="234">
        <f>IF(C1839="",NA(),MATCH($B1839&amp;$C1839,'Smelter Reference List'!$J:$J,0))</f>
        <v>385</v>
      </c>
      <c r="T1839" s="235"/>
      <c r="U1839" s="235">
        <f t="shared" si="52"/>
        <v>0</v>
      </c>
      <c r="V1839" s="235"/>
      <c r="W1839" s="235"/>
      <c r="Y1839" s="228" t="str">
        <f t="shared" si="53"/>
        <v>TinMitsubishi Materials Corporation</v>
      </c>
    </row>
    <row r="1840" spans="1:25" s="228" customFormat="1" ht="20.25">
      <c r="A1840" s="161" t="s">
        <v>1384</v>
      </c>
      <c r="B1840" s="408" t="s">
        <v>2324</v>
      </c>
      <c r="C1840" s="297" t="str">
        <f>IF(LEN(A1840)=0,"",INDEX('[2]Smelter Reference List'!$C$1:$C$65536,MATCH($A1840,'[2]Smelter Reference List'!$E$1:$E$65536,0)))</f>
        <v>Operaciones Metalurgical S.A.</v>
      </c>
      <c r="D1840" s="161" t="s">
        <v>3494</v>
      </c>
      <c r="E1840" s="161" t="s">
        <v>2169</v>
      </c>
      <c r="F1840" s="161" t="s">
        <v>1384</v>
      </c>
      <c r="G1840" s="161" t="s">
        <v>3125</v>
      </c>
      <c r="H1840" s="247">
        <v>0</v>
      </c>
      <c r="I1840" s="248" t="s">
        <v>3459</v>
      </c>
      <c r="J1840" s="248" t="s">
        <v>3460</v>
      </c>
      <c r="K1840" s="245"/>
      <c r="L1840" s="245"/>
      <c r="M1840" s="245"/>
      <c r="N1840" s="245"/>
      <c r="O1840" s="245"/>
      <c r="P1840" s="245"/>
      <c r="Q1840" s="246"/>
      <c r="R1840" s="233"/>
      <c r="S1840" s="234">
        <f>IF(C1840="",NA(),MATCH($B1840&amp;$C1840,'Smelter Reference List'!$J:$J,0))</f>
        <v>394</v>
      </c>
      <c r="T1840" s="235"/>
      <c r="U1840" s="235">
        <f t="shared" si="52"/>
        <v>0</v>
      </c>
      <c r="V1840" s="235"/>
      <c r="W1840" s="235"/>
      <c r="Y1840" s="228" t="str">
        <f t="shared" si="53"/>
        <v>TinOperaciones Metalurgical S.A.</v>
      </c>
    </row>
    <row r="1841" spans="1:25" s="228" customFormat="1" ht="20.25">
      <c r="A1841" s="161"/>
      <c r="B1841" s="408" t="s">
        <v>2324</v>
      </c>
      <c r="C1841" s="297" t="s">
        <v>3604</v>
      </c>
      <c r="D1841" s="228" t="s">
        <v>5698</v>
      </c>
      <c r="E1841" s="228" t="s">
        <v>2238</v>
      </c>
      <c r="F1841" s="161">
        <v>0</v>
      </c>
      <c r="G1841" s="161" t="s">
        <v>5584</v>
      </c>
      <c r="H1841" s="247">
        <v>0</v>
      </c>
      <c r="I1841" s="248">
        <v>0</v>
      </c>
      <c r="J1841" s="248">
        <v>0</v>
      </c>
      <c r="K1841" s="245"/>
      <c r="L1841" s="245"/>
      <c r="M1841" s="245"/>
      <c r="N1841" s="245"/>
      <c r="O1841" s="245"/>
      <c r="P1841" s="245"/>
      <c r="Q1841" s="228" t="s">
        <v>5938</v>
      </c>
      <c r="R1841" s="233"/>
      <c r="S1841" s="234">
        <f>IF(C1841="",NA(),MATCH($B1841&amp;$C1841,'Smelter Reference List'!$J:$J,0))</f>
        <v>467</v>
      </c>
      <c r="T1841" s="235"/>
      <c r="U1841" s="235">
        <f t="shared" si="52"/>
        <v>0</v>
      </c>
      <c r="V1841" s="235"/>
      <c r="W1841" s="235"/>
      <c r="Y1841" s="228" t="str">
        <f t="shared" si="53"/>
        <v>TinSmelter not listed</v>
      </c>
    </row>
    <row r="1842" spans="1:25" s="228" customFormat="1" ht="20.25">
      <c r="A1842" s="161" t="s">
        <v>1389</v>
      </c>
      <c r="B1842" s="408" t="s">
        <v>2324</v>
      </c>
      <c r="C1842" s="297" t="str">
        <f>IF(LEN(A1842)=0,"",INDEX('[2]Smelter Reference List'!$C$1:$C$65536,MATCH($A1842,'[2]Smelter Reference List'!$E$1:$E$65536,0)))</f>
        <v>PT Bukit Timah</v>
      </c>
      <c r="D1842" s="161" t="s">
        <v>1194</v>
      </c>
      <c r="E1842" s="161" t="s">
        <v>2238</v>
      </c>
      <c r="F1842" s="161" t="s">
        <v>1389</v>
      </c>
      <c r="G1842" s="161" t="s">
        <v>3125</v>
      </c>
      <c r="H1842" s="247">
        <v>0</v>
      </c>
      <c r="I1842" s="248" t="s">
        <v>3457</v>
      </c>
      <c r="J1842" s="248" t="s">
        <v>3454</v>
      </c>
      <c r="K1842" s="245"/>
      <c r="L1842" s="245"/>
      <c r="M1842" s="245"/>
      <c r="N1842" s="245"/>
      <c r="O1842" s="245"/>
      <c r="P1842" s="245"/>
      <c r="Q1842" s="246"/>
      <c r="R1842" s="233"/>
      <c r="S1842" s="234">
        <f>IF(C1842="",NA(),MATCH($B1842&amp;$C1842,'Smelter Reference List'!$J:$J,0))</f>
        <v>408</v>
      </c>
      <c r="T1842" s="235"/>
      <c r="U1842" s="235">
        <f t="shared" si="52"/>
        <v>0</v>
      </c>
      <c r="V1842" s="235"/>
      <c r="W1842" s="235"/>
      <c r="Y1842" s="228" t="str">
        <f t="shared" si="53"/>
        <v>TinPT Bukit Timah</v>
      </c>
    </row>
    <row r="1843" spans="1:25" s="228" customFormat="1" ht="20.25">
      <c r="A1843" s="161"/>
      <c r="B1843" s="408" t="s">
        <v>2324</v>
      </c>
      <c r="C1843" s="297" t="s">
        <v>3604</v>
      </c>
      <c r="D1843" s="228" t="s">
        <v>5903</v>
      </c>
      <c r="E1843" s="228" t="s">
        <v>2238</v>
      </c>
      <c r="F1843" s="161">
        <v>0</v>
      </c>
      <c r="G1843" s="161" t="s">
        <v>5584</v>
      </c>
      <c r="H1843" s="247">
        <v>0</v>
      </c>
      <c r="I1843" s="248">
        <v>0</v>
      </c>
      <c r="J1843" s="248">
        <v>0</v>
      </c>
      <c r="K1843" s="245"/>
      <c r="L1843" s="245"/>
      <c r="M1843" s="245"/>
      <c r="N1843" s="245"/>
      <c r="O1843" s="245"/>
      <c r="P1843" s="245"/>
      <c r="Q1843" s="228" t="s">
        <v>5938</v>
      </c>
      <c r="R1843" s="233"/>
      <c r="S1843" s="234">
        <f>IF(C1843="",NA(),MATCH($B1843&amp;$C1843,'Smelter Reference List'!$J:$J,0))</f>
        <v>467</v>
      </c>
      <c r="T1843" s="235"/>
      <c r="U1843" s="235">
        <f t="shared" si="52"/>
        <v>0</v>
      </c>
      <c r="V1843" s="235"/>
      <c r="W1843" s="235"/>
      <c r="Y1843" s="228" t="str">
        <f t="shared" si="53"/>
        <v>TinSmelter not listed</v>
      </c>
    </row>
    <row r="1844" spans="1:25" s="228" customFormat="1" ht="20.25">
      <c r="A1844" s="161" t="s">
        <v>1398</v>
      </c>
      <c r="B1844" s="408" t="s">
        <v>2324</v>
      </c>
      <c r="C1844" s="297" t="str">
        <f>IF(LEN(A1844)=0,"",INDEX('[2]Smelter Reference List'!$C$1:$C$65536,MATCH($A1844,'[2]Smelter Reference List'!$E$1:$E$65536,0)))</f>
        <v>PT Stanindo Inti Perkasa</v>
      </c>
      <c r="D1844" s="161" t="s">
        <v>2369</v>
      </c>
      <c r="E1844" s="161" t="s">
        <v>2238</v>
      </c>
      <c r="F1844" s="161" t="s">
        <v>1398</v>
      </c>
      <c r="G1844" s="161" t="s">
        <v>3125</v>
      </c>
      <c r="H1844" s="247">
        <v>0</v>
      </c>
      <c r="I1844" s="248" t="s">
        <v>3457</v>
      </c>
      <c r="J1844" s="248" t="s">
        <v>3454</v>
      </c>
      <c r="K1844" s="245"/>
      <c r="L1844" s="245"/>
      <c r="M1844" s="245"/>
      <c r="N1844" s="245"/>
      <c r="O1844" s="245"/>
      <c r="P1844" s="245"/>
      <c r="Q1844" s="246"/>
      <c r="R1844" s="233"/>
      <c r="S1844" s="234">
        <f>IF(C1844="",NA(),MATCH($B1844&amp;$C1844,'Smelter Reference List'!$J:$J,0))</f>
        <v>427</v>
      </c>
      <c r="T1844" s="235"/>
      <c r="U1844" s="235">
        <f t="shared" si="52"/>
        <v>0</v>
      </c>
      <c r="V1844" s="235"/>
      <c r="W1844" s="235"/>
      <c r="Y1844" s="228" t="str">
        <f t="shared" si="53"/>
        <v>TinPT Stanindo Inti Perkasa</v>
      </c>
    </row>
    <row r="1845" spans="1:25" s="228" customFormat="1" ht="20.25">
      <c r="A1845" s="161" t="s">
        <v>1399</v>
      </c>
      <c r="B1845" s="408" t="s">
        <v>2324</v>
      </c>
      <c r="C1845" s="297" t="str">
        <f>IF(LEN(A1845)=0,"",INDEX('[2]Smelter Reference List'!$C$1:$C$65536,MATCH($A1845,'[2]Smelter Reference List'!$E$1:$E$65536,0)))</f>
        <v>PT Timah (Persero) Tbk Mentok</v>
      </c>
      <c r="D1845" s="161" t="s">
        <v>4266</v>
      </c>
      <c r="E1845" s="161" t="s">
        <v>2238</v>
      </c>
      <c r="F1845" s="161" t="s">
        <v>1399</v>
      </c>
      <c r="G1845" s="161" t="s">
        <v>3125</v>
      </c>
      <c r="H1845" s="247">
        <v>0</v>
      </c>
      <c r="I1845" s="248" t="s">
        <v>3507</v>
      </c>
      <c r="J1845" s="248" t="s">
        <v>3454</v>
      </c>
      <c r="K1845" s="245"/>
      <c r="L1845" s="245"/>
      <c r="M1845" s="245"/>
      <c r="N1845" s="245"/>
      <c r="O1845" s="245"/>
      <c r="P1845" s="245"/>
      <c r="Q1845" s="246"/>
      <c r="R1845" s="233"/>
      <c r="S1845" s="234">
        <f>IF(C1845="",NA(),MATCH($B1845&amp;$C1845,'Smelter Reference List'!$J:$J,0))</f>
        <v>432</v>
      </c>
      <c r="T1845" s="235"/>
      <c r="U1845" s="235">
        <f t="shared" si="52"/>
        <v>0</v>
      </c>
      <c r="V1845" s="235"/>
      <c r="W1845" s="235"/>
      <c r="Y1845" s="228" t="str">
        <f t="shared" si="53"/>
        <v>TinPT Timah (Persero) Tbk Mentok</v>
      </c>
    </row>
    <row r="1846" spans="1:25" s="228" customFormat="1" ht="20.25">
      <c r="A1846" s="161" t="s">
        <v>1404</v>
      </c>
      <c r="B1846" s="408" t="s">
        <v>2324</v>
      </c>
      <c r="C1846" s="297" t="str">
        <f>IF(LEN(A1846)=0,"",INDEX('[2]Smelter Reference List'!$C$1:$C$65536,MATCH($A1846,'[2]Smelter Reference List'!$E$1:$E$65536,0)))</f>
        <v>Thaisarco</v>
      </c>
      <c r="D1846" s="161" t="s">
        <v>1951</v>
      </c>
      <c r="E1846" s="161" t="s">
        <v>1743</v>
      </c>
      <c r="F1846" s="161" t="s">
        <v>1404</v>
      </c>
      <c r="G1846" s="161" t="s">
        <v>3125</v>
      </c>
      <c r="H1846" s="247">
        <v>0</v>
      </c>
      <c r="I1846" s="248" t="s">
        <v>3510</v>
      </c>
      <c r="J1846" s="248" t="s">
        <v>3511</v>
      </c>
      <c r="K1846" s="245"/>
      <c r="L1846" s="245"/>
      <c r="M1846" s="245"/>
      <c r="N1846" s="245"/>
      <c r="O1846" s="245"/>
      <c r="P1846" s="245"/>
      <c r="Q1846" s="246"/>
      <c r="R1846" s="233"/>
      <c r="S1846" s="234">
        <f>IF(C1846="",NA(),MATCH($B1846&amp;$C1846,'Smelter Reference List'!$J:$J,0))</f>
        <v>445</v>
      </c>
      <c r="T1846" s="235"/>
      <c r="U1846" s="235">
        <f t="shared" si="52"/>
        <v>0</v>
      </c>
      <c r="V1846" s="235"/>
      <c r="W1846" s="235"/>
      <c r="Y1846" s="228" t="str">
        <f t="shared" si="53"/>
        <v>TinThaisarco</v>
      </c>
    </row>
    <row r="1847" spans="1:25" s="228" customFormat="1" ht="20.25">
      <c r="A1847" s="161" t="s">
        <v>1406</v>
      </c>
      <c r="B1847" s="408" t="s">
        <v>2324</v>
      </c>
      <c r="C1847" s="297" t="str">
        <f>IF(LEN(A1847)=0,"",INDEX('[2]Smelter Reference List'!$C$1:$C$65536,MATCH($A1847,'[2]Smelter Reference List'!$E$1:$E$65536,0)))</f>
        <v>Yunnan Chengfeng Non-ferrous Metals Co., Ltd.</v>
      </c>
      <c r="D1847" s="161" t="s">
        <v>4183</v>
      </c>
      <c r="E1847" s="161" t="s">
        <v>2181</v>
      </c>
      <c r="F1847" s="161" t="s">
        <v>1406</v>
      </c>
      <c r="G1847" s="161" t="s">
        <v>3125</v>
      </c>
      <c r="H1847" s="247">
        <v>0</v>
      </c>
      <c r="I1847" s="248" t="s">
        <v>3468</v>
      </c>
      <c r="J1847" s="248" t="s">
        <v>3161</v>
      </c>
      <c r="K1847" s="245"/>
      <c r="L1847" s="245"/>
      <c r="M1847" s="245"/>
      <c r="N1847" s="245"/>
      <c r="O1847" s="245"/>
      <c r="P1847" s="245"/>
      <c r="Q1847" s="246"/>
      <c r="R1847" s="233"/>
      <c r="S1847" s="234">
        <f>IF(C1847="",NA(),MATCH($B1847&amp;$C1847,'Smelter Reference List'!$J:$J,0))</f>
        <v>459</v>
      </c>
      <c r="T1847" s="235"/>
      <c r="U1847" s="235">
        <f t="shared" si="52"/>
        <v>0</v>
      </c>
      <c r="V1847" s="235"/>
      <c r="W1847" s="235"/>
      <c r="Y1847" s="228" t="str">
        <f t="shared" si="53"/>
        <v>TinYunnan Chengfeng Non-ferrous Metals Co., Ltd.</v>
      </c>
    </row>
    <row r="1848" spans="1:25" s="228" customFormat="1" ht="20.25">
      <c r="A1848" s="161" t="s">
        <v>1407</v>
      </c>
      <c r="B1848" s="408" t="s">
        <v>2324</v>
      </c>
      <c r="C1848" s="297" t="str">
        <f>IF(LEN(A1848)=0,"",INDEX('[2]Smelter Reference List'!$C$1:$C$65536,MATCH($A1848,'[2]Smelter Reference List'!$E$1:$E$65536,0)))</f>
        <v>Yunnan Tin Company Limited</v>
      </c>
      <c r="D1848" s="161" t="s">
        <v>4749</v>
      </c>
      <c r="E1848" s="161" t="s">
        <v>2181</v>
      </c>
      <c r="F1848" s="161" t="s">
        <v>1407</v>
      </c>
      <c r="G1848" s="161" t="s">
        <v>3125</v>
      </c>
      <c r="H1848" s="247">
        <v>0</v>
      </c>
      <c r="I1848" s="248" t="s">
        <v>3468</v>
      </c>
      <c r="J1848" s="248" t="s">
        <v>3161</v>
      </c>
      <c r="K1848" s="245"/>
      <c r="L1848" s="245"/>
      <c r="M1848" s="245"/>
      <c r="N1848" s="245"/>
      <c r="O1848" s="245"/>
      <c r="P1848" s="245"/>
      <c r="Q1848" s="246"/>
      <c r="R1848" s="233"/>
      <c r="S1848" s="234">
        <f>IF(C1848="",NA(),MATCH($B1848&amp;$C1848,'Smelter Reference List'!$J:$J,0))</f>
        <v>462</v>
      </c>
      <c r="T1848" s="235"/>
      <c r="U1848" s="235">
        <f t="shared" si="52"/>
        <v>0</v>
      </c>
      <c r="V1848" s="235"/>
      <c r="W1848" s="235"/>
      <c r="Y1848" s="228" t="str">
        <f t="shared" si="53"/>
        <v>TinYunnan Tin Company Limited</v>
      </c>
    </row>
    <row r="1849" spans="1:25" s="228" customFormat="1" ht="20.25">
      <c r="A1849" s="161" t="s">
        <v>1378</v>
      </c>
      <c r="B1849" s="408" t="s">
        <v>2324</v>
      </c>
      <c r="C1849" s="297" t="str">
        <f>IF(LEN(A1849)=0,"",INDEX('[2]Smelter Reference List'!$C$1:$C$65536,MATCH($A1849,'[2]Smelter Reference List'!$E$1:$E$65536,0)))</f>
        <v>Malaysia Smelting Corporation (MSC)</v>
      </c>
      <c r="D1849" s="161" t="s">
        <v>1471</v>
      </c>
      <c r="E1849" s="161" t="s">
        <v>2289</v>
      </c>
      <c r="F1849" s="161" t="s">
        <v>1378</v>
      </c>
      <c r="G1849" s="161" t="s">
        <v>3125</v>
      </c>
      <c r="H1849" s="247">
        <v>0</v>
      </c>
      <c r="I1849" s="248" t="s">
        <v>3481</v>
      </c>
      <c r="J1849" s="248" t="s">
        <v>3482</v>
      </c>
      <c r="K1849" s="245"/>
      <c r="L1849" s="245"/>
      <c r="M1849" s="245"/>
      <c r="N1849" s="245"/>
      <c r="O1849" s="245"/>
      <c r="P1849" s="245"/>
      <c r="Q1849" s="246"/>
      <c r="R1849" s="233"/>
      <c r="S1849" s="234">
        <f>IF(C1849="",NA(),MATCH($B1849&amp;$C1849,'Smelter Reference List'!$J:$J,0))</f>
        <v>377</v>
      </c>
      <c r="T1849" s="235"/>
      <c r="U1849" s="235">
        <f t="shared" si="52"/>
        <v>0</v>
      </c>
      <c r="V1849" s="235"/>
      <c r="W1849" s="235"/>
      <c r="Y1849" s="228" t="str">
        <f t="shared" si="53"/>
        <v>TinMalaysia Smelting Corporation (MSC)</v>
      </c>
    </row>
    <row r="1850" spans="1:25" s="228" customFormat="1" ht="20.25">
      <c r="A1850" s="161" t="s">
        <v>1277</v>
      </c>
      <c r="B1850" s="408" t="s">
        <v>2323</v>
      </c>
      <c r="C1850" s="297" t="str">
        <f>IF(LEN(A1850)=0,"",INDEX('[2]Smelter Reference List'!$C$1:$C$65536,MATCH($A1850,'[2]Smelter Reference List'!$E$1:$E$65536,0)))</f>
        <v>JX Nippon Mining &amp; Metals Co., Ltd.</v>
      </c>
      <c r="D1850" s="161" t="s">
        <v>73</v>
      </c>
      <c r="E1850" s="161" t="s">
        <v>2249</v>
      </c>
      <c r="F1850" s="161" t="s">
        <v>1277</v>
      </c>
      <c r="G1850" s="161" t="s">
        <v>3125</v>
      </c>
      <c r="H1850" s="247">
        <v>0</v>
      </c>
      <c r="I1850" s="248" t="s">
        <v>4844</v>
      </c>
      <c r="J1850" s="248" t="s">
        <v>4844</v>
      </c>
      <c r="K1850" s="245"/>
      <c r="L1850" s="245"/>
      <c r="M1850" s="245"/>
      <c r="N1850" s="245"/>
      <c r="O1850" s="245"/>
      <c r="P1850" s="245"/>
      <c r="Q1850" s="246"/>
      <c r="R1850" s="233"/>
      <c r="S1850" s="234">
        <f>IF(C1850="",NA(),MATCH($B1850&amp;$C1850,'Smelter Reference List'!$J:$J,0))</f>
        <v>93</v>
      </c>
      <c r="T1850" s="235"/>
      <c r="U1850" s="235">
        <f t="shared" si="52"/>
        <v>0</v>
      </c>
      <c r="V1850" s="235"/>
      <c r="W1850" s="235"/>
      <c r="Y1850" s="228" t="str">
        <f t="shared" si="53"/>
        <v>GoldJX Nippon Mining &amp; Metals Co., Ltd.</v>
      </c>
    </row>
    <row r="1851" spans="1:25" s="228" customFormat="1" ht="20.25">
      <c r="A1851" s="161"/>
      <c r="B1851" s="408" t="s">
        <v>2324</v>
      </c>
      <c r="C1851" s="297" t="s">
        <v>3604</v>
      </c>
      <c r="D1851" s="228" t="s">
        <v>5984</v>
      </c>
      <c r="E1851" s="228" t="s">
        <v>1705</v>
      </c>
      <c r="F1851" s="161">
        <v>0</v>
      </c>
      <c r="G1851" s="161" t="s">
        <v>5584</v>
      </c>
      <c r="H1851" s="228" t="s">
        <v>5985</v>
      </c>
      <c r="I1851" s="228" t="s">
        <v>5986</v>
      </c>
      <c r="J1851" s="228" t="s">
        <v>5987</v>
      </c>
      <c r="K1851" s="228" t="s">
        <v>5988</v>
      </c>
      <c r="L1851" s="228" t="s">
        <v>5937</v>
      </c>
      <c r="M1851" s="228" t="s">
        <v>5937</v>
      </c>
      <c r="N1851" s="228" t="s">
        <v>5937</v>
      </c>
      <c r="O1851" s="228" t="s">
        <v>5937</v>
      </c>
      <c r="R1851" s="233"/>
      <c r="S1851" s="234">
        <f>IF(C1851="",NA(),MATCH($B1851&amp;$C1851,'Smelter Reference List'!$J:$J,0))</f>
        <v>467</v>
      </c>
      <c r="T1851" s="235"/>
      <c r="U1851" s="235">
        <f t="shared" si="52"/>
        <v>0</v>
      </c>
      <c r="V1851" s="235"/>
      <c r="W1851" s="235"/>
      <c r="Y1851" s="228" t="str">
        <f t="shared" si="53"/>
        <v>TinSmelter not listed</v>
      </c>
    </row>
    <row r="1852" spans="1:25" s="228" customFormat="1" ht="20.25">
      <c r="A1852" s="161" t="s">
        <v>1367</v>
      </c>
      <c r="B1852" s="408" t="s">
        <v>2324</v>
      </c>
      <c r="C1852" s="297" t="str">
        <f>IF(LEN(A1852)=0,"",INDEX('[2]Smelter Reference List'!$C$1:$C$65536,MATCH($A1852,'[2]Smelter Reference List'!$E$1:$E$65536,0)))</f>
        <v>CV United Smelting</v>
      </c>
      <c r="D1852" s="161" t="s">
        <v>1505</v>
      </c>
      <c r="E1852" s="161" t="s">
        <v>2238</v>
      </c>
      <c r="F1852" s="161" t="s">
        <v>1367</v>
      </c>
      <c r="G1852" s="161" t="s">
        <v>3125</v>
      </c>
      <c r="H1852" s="247">
        <v>0</v>
      </c>
      <c r="I1852" s="248" t="s">
        <v>3457</v>
      </c>
      <c r="J1852" s="248" t="s">
        <v>3454</v>
      </c>
      <c r="K1852" s="245"/>
      <c r="L1852" s="245"/>
      <c r="M1852" s="245"/>
      <c r="N1852" s="245"/>
      <c r="O1852" s="245"/>
      <c r="P1852" s="245"/>
      <c r="Q1852" s="246"/>
      <c r="R1852" s="233"/>
      <c r="S1852" s="234">
        <f>IF(C1852="",NA(),MATCH($B1852&amp;$C1852,'Smelter Reference List'!$J:$J,0))</f>
        <v>335</v>
      </c>
      <c r="T1852" s="235"/>
      <c r="U1852" s="235">
        <f t="shared" si="52"/>
        <v>0</v>
      </c>
      <c r="V1852" s="235"/>
      <c r="W1852" s="235"/>
      <c r="Y1852" s="228" t="str">
        <f t="shared" si="53"/>
        <v>TinCV United Smelting</v>
      </c>
    </row>
    <row r="1853" spans="1:25" s="228" customFormat="1" ht="20.25">
      <c r="A1853" s="161" t="s">
        <v>1368</v>
      </c>
      <c r="B1853" s="408" t="s">
        <v>2324</v>
      </c>
      <c r="C1853" s="297" t="str">
        <f>IF(LEN(A1853)=0,"",INDEX('[2]Smelter Reference List'!$C$1:$C$65536,MATCH($A1853,'[2]Smelter Reference List'!$E$1:$E$65536,0)))</f>
        <v>EM Vinto</v>
      </c>
      <c r="D1853" s="161" t="s">
        <v>1506</v>
      </c>
      <c r="E1853" s="161" t="s">
        <v>2169</v>
      </c>
      <c r="F1853" s="161" t="s">
        <v>1368</v>
      </c>
      <c r="G1853" s="161" t="s">
        <v>3125</v>
      </c>
      <c r="H1853" s="247">
        <v>0</v>
      </c>
      <c r="I1853" s="248" t="s">
        <v>3459</v>
      </c>
      <c r="J1853" s="248" t="s">
        <v>3460</v>
      </c>
      <c r="K1853" s="245"/>
      <c r="L1853" s="245"/>
      <c r="M1853" s="245"/>
      <c r="N1853" s="245"/>
      <c r="O1853" s="245"/>
      <c r="P1853" s="245"/>
      <c r="Q1853" s="246"/>
      <c r="R1853" s="233"/>
      <c r="S1853" s="234">
        <f>IF(C1853="",NA(),MATCH($B1853&amp;$C1853,'Smelter Reference List'!$J:$J,0))</f>
        <v>341</v>
      </c>
      <c r="T1853" s="235"/>
      <c r="U1853" s="235">
        <f t="shared" si="52"/>
        <v>0</v>
      </c>
      <c r="V1853" s="235"/>
      <c r="W1853" s="235"/>
      <c r="Y1853" s="228" t="str">
        <f t="shared" si="53"/>
        <v>TinEM Vinto</v>
      </c>
    </row>
    <row r="1854" spans="1:25" s="228" customFormat="1" ht="20.25">
      <c r="A1854" s="161" t="s">
        <v>1378</v>
      </c>
      <c r="B1854" s="408" t="s">
        <v>2324</v>
      </c>
      <c r="C1854" s="297" t="str">
        <f>IF(LEN(A1854)=0,"",INDEX('[2]Smelter Reference List'!$C$1:$C$65536,MATCH($A1854,'[2]Smelter Reference List'!$E$1:$E$65536,0)))</f>
        <v>Malaysia Smelting Corporation (MSC)</v>
      </c>
      <c r="D1854" s="161" t="s">
        <v>1471</v>
      </c>
      <c r="E1854" s="161" t="s">
        <v>2289</v>
      </c>
      <c r="F1854" s="161" t="s">
        <v>1378</v>
      </c>
      <c r="G1854" s="161" t="s">
        <v>3125</v>
      </c>
      <c r="H1854" s="247">
        <v>0</v>
      </c>
      <c r="I1854" s="248" t="s">
        <v>3481</v>
      </c>
      <c r="J1854" s="248" t="s">
        <v>3482</v>
      </c>
      <c r="K1854" s="245"/>
      <c r="L1854" s="245"/>
      <c r="M1854" s="245"/>
      <c r="N1854" s="245"/>
      <c r="O1854" s="245"/>
      <c r="P1854" s="245"/>
      <c r="Q1854" s="246"/>
      <c r="R1854" s="233"/>
      <c r="S1854" s="234">
        <f>IF(C1854="",NA(),MATCH($B1854&amp;$C1854,'Smelter Reference List'!$J:$J,0))</f>
        <v>377</v>
      </c>
      <c r="T1854" s="235"/>
      <c r="U1854" s="235">
        <f t="shared" si="52"/>
        <v>0</v>
      </c>
      <c r="V1854" s="235"/>
      <c r="W1854" s="235"/>
      <c r="Y1854" s="228" t="str">
        <f t="shared" si="53"/>
        <v>TinMalaysia Smelting Corporation (MSC)</v>
      </c>
    </row>
    <row r="1855" spans="1:25" s="228" customFormat="1" ht="20.25">
      <c r="A1855" s="161"/>
      <c r="B1855" s="408" t="s">
        <v>2324</v>
      </c>
      <c r="C1855" s="297" t="s">
        <v>3604</v>
      </c>
      <c r="D1855" s="228" t="s">
        <v>5676</v>
      </c>
      <c r="E1855" s="228" t="s">
        <v>2158</v>
      </c>
      <c r="F1855" s="161">
        <v>0</v>
      </c>
      <c r="G1855" s="161" t="s">
        <v>5584</v>
      </c>
      <c r="H1855" s="228" t="s">
        <v>5512</v>
      </c>
      <c r="I1855" s="228" t="s">
        <v>5937</v>
      </c>
      <c r="J1855" s="228" t="s">
        <v>5937</v>
      </c>
      <c r="K1855" s="228" t="s">
        <v>5858</v>
      </c>
      <c r="L1855" s="228" t="s">
        <v>5859</v>
      </c>
      <c r="M1855" s="228" t="s">
        <v>5885</v>
      </c>
      <c r="N1855" s="228" t="s">
        <v>5061</v>
      </c>
      <c r="O1855" s="228" t="s">
        <v>5061</v>
      </c>
      <c r="R1855" s="233"/>
      <c r="S1855" s="234">
        <f>IF(C1855="",NA(),MATCH($B1855&amp;$C1855,'Smelter Reference List'!$J:$J,0))</f>
        <v>467</v>
      </c>
      <c r="T1855" s="235"/>
      <c r="U1855" s="235">
        <f t="shared" si="52"/>
        <v>0</v>
      </c>
      <c r="V1855" s="235"/>
      <c r="W1855" s="235"/>
      <c r="Y1855" s="228" t="str">
        <f t="shared" si="53"/>
        <v>TinSmelter not listed</v>
      </c>
    </row>
    <row r="1856" spans="1:25" s="228" customFormat="1" ht="20.25">
      <c r="A1856" s="161" t="s">
        <v>1379</v>
      </c>
      <c r="B1856" s="408" t="s">
        <v>2324</v>
      </c>
      <c r="C1856" s="297" t="str">
        <f>IF(LEN(A1856)=0,"",INDEX('[2]Smelter Reference List'!$C$1:$C$65536,MATCH($A1856,'[2]Smelter Reference List'!$E$1:$E$65536,0)))</f>
        <v>Mineração Taboca S.A.</v>
      </c>
      <c r="D1856" s="161" t="s">
        <v>1953</v>
      </c>
      <c r="E1856" s="161" t="s">
        <v>2170</v>
      </c>
      <c r="F1856" s="161" t="s">
        <v>1379</v>
      </c>
      <c r="G1856" s="161" t="s">
        <v>3125</v>
      </c>
      <c r="H1856" s="247">
        <v>0</v>
      </c>
      <c r="I1856" s="248" t="s">
        <v>3485</v>
      </c>
      <c r="J1856" s="248" t="s">
        <v>3313</v>
      </c>
      <c r="K1856" s="245"/>
      <c r="L1856" s="245"/>
      <c r="M1856" s="245"/>
      <c r="N1856" s="245"/>
      <c r="O1856" s="245"/>
      <c r="P1856" s="245"/>
      <c r="Q1856" s="246"/>
      <c r="R1856" s="233"/>
      <c r="S1856" s="234">
        <f>IF(C1856="",NA(),MATCH($B1856&amp;$C1856,'Smelter Reference List'!$J:$J,0))</f>
        <v>383</v>
      </c>
      <c r="T1856" s="235"/>
      <c r="U1856" s="235">
        <f t="shared" si="52"/>
        <v>0</v>
      </c>
      <c r="V1856" s="235"/>
      <c r="W1856" s="235"/>
      <c r="Y1856" s="228" t="str">
        <f t="shared" si="53"/>
        <v>TinMineração Taboca S.A.</v>
      </c>
    </row>
    <row r="1857" spans="1:25" s="228" customFormat="1" ht="20.25">
      <c r="A1857" s="161" t="s">
        <v>1380</v>
      </c>
      <c r="B1857" s="408" t="s">
        <v>2324</v>
      </c>
      <c r="C1857" s="297" t="str">
        <f>IF(LEN(A1857)=0,"",INDEX('[2]Smelter Reference List'!$C$1:$C$65536,MATCH($A1857,'[2]Smelter Reference List'!$E$1:$E$65536,0)))</f>
        <v>Minsur</v>
      </c>
      <c r="D1857" s="161" t="s">
        <v>1954</v>
      </c>
      <c r="E1857" s="161" t="s">
        <v>1704</v>
      </c>
      <c r="F1857" s="161" t="s">
        <v>1380</v>
      </c>
      <c r="G1857" s="161" t="s">
        <v>3125</v>
      </c>
      <c r="H1857" s="247">
        <v>0</v>
      </c>
      <c r="I1857" s="248" t="s">
        <v>3487</v>
      </c>
      <c r="J1857" s="248" t="s">
        <v>3488</v>
      </c>
      <c r="K1857" s="245"/>
      <c r="L1857" s="245"/>
      <c r="M1857" s="245"/>
      <c r="N1857" s="245"/>
      <c r="O1857" s="245"/>
      <c r="P1857" s="245"/>
      <c r="Q1857" s="246"/>
      <c r="R1857" s="233"/>
      <c r="S1857" s="234">
        <f>IF(C1857="",NA(),MATCH($B1857&amp;$C1857,'Smelter Reference List'!$J:$J,0))</f>
        <v>384</v>
      </c>
      <c r="T1857" s="235"/>
      <c r="U1857" s="235">
        <f t="shared" si="52"/>
        <v>0</v>
      </c>
      <c r="V1857" s="235"/>
      <c r="W1857" s="235"/>
      <c r="Y1857" s="228" t="str">
        <f t="shared" si="53"/>
        <v>TinMinsur</v>
      </c>
    </row>
    <row r="1858" spans="1:25" s="228" customFormat="1" ht="20.25">
      <c r="A1858" s="161" t="s">
        <v>1384</v>
      </c>
      <c r="B1858" s="408" t="s">
        <v>2324</v>
      </c>
      <c r="C1858" s="297" t="str">
        <f>IF(LEN(A1858)=0,"",INDEX('[2]Smelter Reference List'!$C$1:$C$65536,MATCH($A1858,'[2]Smelter Reference List'!$E$1:$E$65536,0)))</f>
        <v>Operaciones Metalurgical S.A.</v>
      </c>
      <c r="D1858" s="161" t="s">
        <v>3494</v>
      </c>
      <c r="E1858" s="161" t="s">
        <v>2169</v>
      </c>
      <c r="F1858" s="161" t="s">
        <v>1384</v>
      </c>
      <c r="G1858" s="161" t="s">
        <v>3125</v>
      </c>
      <c r="H1858" s="247">
        <v>0</v>
      </c>
      <c r="I1858" s="248" t="s">
        <v>3459</v>
      </c>
      <c r="J1858" s="248" t="s">
        <v>3460</v>
      </c>
      <c r="K1858" s="245"/>
      <c r="L1858" s="245"/>
      <c r="M1858" s="245"/>
      <c r="N1858" s="245"/>
      <c r="O1858" s="245"/>
      <c r="P1858" s="245"/>
      <c r="Q1858" s="246"/>
      <c r="R1858" s="233"/>
      <c r="S1858" s="234">
        <f>IF(C1858="",NA(),MATCH($B1858&amp;$C1858,'Smelter Reference List'!$J:$J,0))</f>
        <v>394</v>
      </c>
      <c r="T1858" s="235"/>
      <c r="U1858" s="235">
        <f t="shared" si="52"/>
        <v>0</v>
      </c>
      <c r="V1858" s="235"/>
      <c r="W1858" s="235"/>
      <c r="Y1858" s="228" t="str">
        <f t="shared" si="53"/>
        <v>TinOperaciones Metalurgical S.A.</v>
      </c>
    </row>
    <row r="1859" spans="1:25" s="228" customFormat="1" ht="20.25">
      <c r="A1859" s="161"/>
      <c r="B1859" s="408" t="s">
        <v>2324</v>
      </c>
      <c r="C1859" s="297" t="s">
        <v>3604</v>
      </c>
      <c r="D1859" s="228" t="s">
        <v>5698</v>
      </c>
      <c r="E1859" s="228" t="s">
        <v>2238</v>
      </c>
      <c r="F1859" s="161">
        <v>0</v>
      </c>
      <c r="G1859" s="161" t="s">
        <v>5584</v>
      </c>
      <c r="H1859" s="228" t="s">
        <v>5939</v>
      </c>
      <c r="I1859" s="228" t="s">
        <v>5937</v>
      </c>
      <c r="J1859" s="228" t="s">
        <v>5937</v>
      </c>
      <c r="K1859" s="228" t="s">
        <v>5862</v>
      </c>
      <c r="L1859" s="228" t="s">
        <v>5863</v>
      </c>
      <c r="M1859" s="228" t="s">
        <v>5885</v>
      </c>
      <c r="N1859" s="228" t="s">
        <v>5889</v>
      </c>
      <c r="O1859" s="228" t="s">
        <v>5889</v>
      </c>
      <c r="R1859" s="233"/>
      <c r="S1859" s="234">
        <f>IF(C1859="",NA(),MATCH($B1859&amp;$C1859,'Smelter Reference List'!$J:$J,0))</f>
        <v>467</v>
      </c>
      <c r="T1859" s="235"/>
      <c r="U1859" s="235">
        <f t="shared" si="52"/>
        <v>0</v>
      </c>
      <c r="V1859" s="235"/>
      <c r="W1859" s="235"/>
      <c r="Y1859" s="228" t="str">
        <f t="shared" si="53"/>
        <v>TinSmelter not listed</v>
      </c>
    </row>
    <row r="1860" spans="1:25" s="228" customFormat="1" ht="20.25">
      <c r="A1860" s="161" t="s">
        <v>1389</v>
      </c>
      <c r="B1860" s="408" t="s">
        <v>2324</v>
      </c>
      <c r="C1860" s="297" t="str">
        <f>IF(LEN(A1860)=0,"",INDEX('[2]Smelter Reference List'!$C$1:$C$65536,MATCH($A1860,'[2]Smelter Reference List'!$E$1:$E$65536,0)))</f>
        <v>PT Bukit Timah</v>
      </c>
      <c r="D1860" s="161" t="s">
        <v>1194</v>
      </c>
      <c r="E1860" s="161" t="s">
        <v>2238</v>
      </c>
      <c r="F1860" s="161" t="s">
        <v>1389</v>
      </c>
      <c r="G1860" s="161" t="s">
        <v>3125</v>
      </c>
      <c r="H1860" s="247">
        <v>0</v>
      </c>
      <c r="I1860" s="248" t="s">
        <v>3457</v>
      </c>
      <c r="J1860" s="248" t="s">
        <v>3454</v>
      </c>
      <c r="K1860" s="245"/>
      <c r="L1860" s="245"/>
      <c r="M1860" s="245"/>
      <c r="N1860" s="245"/>
      <c r="O1860" s="245"/>
      <c r="P1860" s="245"/>
      <c r="Q1860" s="246"/>
      <c r="R1860" s="233"/>
      <c r="S1860" s="234">
        <f>IF(C1860="",NA(),MATCH($B1860&amp;$C1860,'Smelter Reference List'!$J:$J,0))</f>
        <v>408</v>
      </c>
      <c r="T1860" s="235"/>
      <c r="U1860" s="235">
        <f t="shared" si="52"/>
        <v>0</v>
      </c>
      <c r="V1860" s="235"/>
      <c r="W1860" s="235"/>
      <c r="Y1860" s="228" t="str">
        <f t="shared" si="53"/>
        <v>TinPT Bukit Timah</v>
      </c>
    </row>
    <row r="1861" spans="1:25" s="228" customFormat="1" ht="20.25">
      <c r="A1861" s="161"/>
      <c r="B1861" s="408" t="s">
        <v>2324</v>
      </c>
      <c r="C1861" s="297" t="s">
        <v>3604</v>
      </c>
      <c r="D1861" s="228" t="s">
        <v>5903</v>
      </c>
      <c r="E1861" s="228" t="s">
        <v>2238</v>
      </c>
      <c r="F1861" s="161">
        <v>0</v>
      </c>
      <c r="G1861" s="161" t="s">
        <v>5584</v>
      </c>
      <c r="H1861" s="228" t="s">
        <v>5943</v>
      </c>
      <c r="I1861" s="228" t="s">
        <v>5937</v>
      </c>
      <c r="J1861" s="228" t="s">
        <v>5937</v>
      </c>
      <c r="K1861" s="228" t="s">
        <v>5918</v>
      </c>
      <c r="L1861" s="228" t="s">
        <v>5919</v>
      </c>
      <c r="M1861" s="228" t="s">
        <v>5944</v>
      </c>
      <c r="N1861" s="228" t="s">
        <v>5889</v>
      </c>
      <c r="O1861" s="228" t="s">
        <v>5889</v>
      </c>
      <c r="R1861" s="233"/>
      <c r="S1861" s="234">
        <f>IF(C1861="",NA(),MATCH($B1861&amp;$C1861,'Smelter Reference List'!$J:$J,0))</f>
        <v>467</v>
      </c>
      <c r="T1861" s="235"/>
      <c r="U1861" s="235">
        <f t="shared" si="52"/>
        <v>0</v>
      </c>
      <c r="V1861" s="235"/>
      <c r="W1861" s="235"/>
      <c r="Y1861" s="228" t="str">
        <f t="shared" si="53"/>
        <v>TinSmelter not listed</v>
      </c>
    </row>
    <row r="1862" spans="1:25" s="228" customFormat="1" ht="20.25">
      <c r="A1862" s="161" t="s">
        <v>1398</v>
      </c>
      <c r="B1862" s="408" t="s">
        <v>2324</v>
      </c>
      <c r="C1862" s="297" t="str">
        <f>IF(LEN(A1862)=0,"",INDEX('[2]Smelter Reference List'!$C$1:$C$65536,MATCH($A1862,'[2]Smelter Reference List'!$E$1:$E$65536,0)))</f>
        <v>PT Stanindo Inti Perkasa</v>
      </c>
      <c r="D1862" s="161" t="s">
        <v>2369</v>
      </c>
      <c r="E1862" s="161" t="s">
        <v>2238</v>
      </c>
      <c r="F1862" s="161" t="s">
        <v>1398</v>
      </c>
      <c r="G1862" s="161" t="s">
        <v>3125</v>
      </c>
      <c r="H1862" s="247">
        <v>0</v>
      </c>
      <c r="I1862" s="248" t="s">
        <v>3457</v>
      </c>
      <c r="J1862" s="248" t="s">
        <v>3454</v>
      </c>
      <c r="K1862" s="245"/>
      <c r="L1862" s="245"/>
      <c r="M1862" s="245"/>
      <c r="N1862" s="245"/>
      <c r="O1862" s="245"/>
      <c r="P1862" s="245"/>
      <c r="Q1862" s="246"/>
      <c r="R1862" s="233"/>
      <c r="S1862" s="234">
        <f>IF(C1862="",NA(),MATCH($B1862&amp;$C1862,'Smelter Reference List'!$J:$J,0))</f>
        <v>427</v>
      </c>
      <c r="T1862" s="235"/>
      <c r="U1862" s="235">
        <f t="shared" ref="U1862:U1925" si="54">IF(AND(C1862="Smelter not listed",OR(LEN(D1862)=0,LEN(E1862)=0)),1,0)</f>
        <v>0</v>
      </c>
      <c r="V1862" s="235"/>
      <c r="W1862" s="235"/>
      <c r="Y1862" s="228" t="str">
        <f t="shared" ref="Y1862:Y1925" si="55">B1862&amp;C1862</f>
        <v>TinPT Stanindo Inti Perkasa</v>
      </c>
    </row>
    <row r="1863" spans="1:25" s="228" customFormat="1" ht="20.25">
      <c r="A1863" s="161" t="s">
        <v>1399</v>
      </c>
      <c r="B1863" s="408" t="s">
        <v>2324</v>
      </c>
      <c r="C1863" s="297" t="str">
        <f>IF(LEN(A1863)=0,"",INDEX('[2]Smelter Reference List'!$C$1:$C$65536,MATCH($A1863,'[2]Smelter Reference List'!$E$1:$E$65536,0)))</f>
        <v>PT Timah (Persero) Tbk Mentok</v>
      </c>
      <c r="D1863" s="161" t="s">
        <v>4266</v>
      </c>
      <c r="E1863" s="161" t="s">
        <v>2238</v>
      </c>
      <c r="F1863" s="161" t="s">
        <v>1399</v>
      </c>
      <c r="G1863" s="161" t="s">
        <v>3125</v>
      </c>
      <c r="H1863" s="247">
        <v>0</v>
      </c>
      <c r="I1863" s="248" t="s">
        <v>3507</v>
      </c>
      <c r="J1863" s="248" t="s">
        <v>3454</v>
      </c>
      <c r="K1863" s="245"/>
      <c r="L1863" s="245"/>
      <c r="M1863" s="245"/>
      <c r="N1863" s="245"/>
      <c r="O1863" s="245"/>
      <c r="P1863" s="245"/>
      <c r="Q1863" s="246"/>
      <c r="R1863" s="233"/>
      <c r="S1863" s="234">
        <f>IF(C1863="",NA(),MATCH($B1863&amp;$C1863,'Smelter Reference List'!$J:$J,0))</f>
        <v>432</v>
      </c>
      <c r="T1863" s="235"/>
      <c r="U1863" s="235">
        <f t="shared" si="54"/>
        <v>0</v>
      </c>
      <c r="V1863" s="235"/>
      <c r="W1863" s="235"/>
      <c r="Y1863" s="228" t="str">
        <f t="shared" si="55"/>
        <v>TinPT Timah (Persero) Tbk Mentok</v>
      </c>
    </row>
    <row r="1864" spans="1:25" s="228" customFormat="1" ht="20.25">
      <c r="A1864" s="161" t="s">
        <v>1404</v>
      </c>
      <c r="B1864" s="408" t="s">
        <v>2324</v>
      </c>
      <c r="C1864" s="297" t="str">
        <f>IF(LEN(A1864)=0,"",INDEX('[2]Smelter Reference List'!$C$1:$C$65536,MATCH($A1864,'[2]Smelter Reference List'!$E$1:$E$65536,0)))</f>
        <v>Thaisarco</v>
      </c>
      <c r="D1864" s="161" t="s">
        <v>1951</v>
      </c>
      <c r="E1864" s="161" t="s">
        <v>1743</v>
      </c>
      <c r="F1864" s="161" t="s">
        <v>1404</v>
      </c>
      <c r="G1864" s="161" t="s">
        <v>3125</v>
      </c>
      <c r="H1864" s="247">
        <v>0</v>
      </c>
      <c r="I1864" s="248" t="s">
        <v>3510</v>
      </c>
      <c r="J1864" s="248" t="s">
        <v>3511</v>
      </c>
      <c r="K1864" s="245"/>
      <c r="L1864" s="245"/>
      <c r="M1864" s="245"/>
      <c r="N1864" s="245"/>
      <c r="O1864" s="245"/>
      <c r="P1864" s="245"/>
      <c r="Q1864" s="246"/>
      <c r="R1864" s="233"/>
      <c r="S1864" s="234">
        <f>IF(C1864="",NA(),MATCH($B1864&amp;$C1864,'Smelter Reference List'!$J:$J,0))</f>
        <v>445</v>
      </c>
      <c r="T1864" s="235"/>
      <c r="U1864" s="235">
        <f t="shared" si="54"/>
        <v>0</v>
      </c>
      <c r="V1864" s="235"/>
      <c r="W1864" s="235"/>
      <c r="Y1864" s="228" t="str">
        <f t="shared" si="55"/>
        <v>TinThaisarco</v>
      </c>
    </row>
    <row r="1865" spans="1:25" s="228" customFormat="1" ht="51">
      <c r="A1865" s="161"/>
      <c r="B1865" s="408" t="s">
        <v>2324</v>
      </c>
      <c r="C1865" s="297" t="s">
        <v>3604</v>
      </c>
      <c r="D1865" s="228" t="s">
        <v>2371</v>
      </c>
      <c r="E1865" s="228" t="s">
        <v>2249</v>
      </c>
      <c r="F1865" s="161">
        <v>0</v>
      </c>
      <c r="G1865" s="161" t="s">
        <v>5584</v>
      </c>
      <c r="H1865" s="228" t="s">
        <v>5989</v>
      </c>
      <c r="I1865" s="228" t="s">
        <v>5990</v>
      </c>
      <c r="J1865" s="228" t="s">
        <v>5991</v>
      </c>
      <c r="K1865" s="228" t="s">
        <v>5937</v>
      </c>
      <c r="L1865" s="228" t="s">
        <v>5937</v>
      </c>
      <c r="M1865" s="228" t="s">
        <v>5937</v>
      </c>
      <c r="N1865" s="228" t="s">
        <v>5937</v>
      </c>
      <c r="O1865" s="228" t="s">
        <v>5937</v>
      </c>
      <c r="Q1865" s="403" t="s">
        <v>5992</v>
      </c>
      <c r="R1865" s="233"/>
      <c r="S1865" s="234">
        <f>IF(C1865="",NA(),MATCH($B1865&amp;$C1865,'Smelter Reference List'!$J:$J,0))</f>
        <v>467</v>
      </c>
      <c r="T1865" s="235"/>
      <c r="U1865" s="235">
        <f t="shared" si="54"/>
        <v>0</v>
      </c>
      <c r="V1865" s="235"/>
      <c r="W1865" s="235"/>
      <c r="Y1865" s="228" t="str">
        <f t="shared" si="55"/>
        <v>TinSmelter not listed</v>
      </c>
    </row>
    <row r="1866" spans="1:25" s="228" customFormat="1" ht="38.25">
      <c r="A1866" s="161"/>
      <c r="B1866" s="408" t="s">
        <v>2324</v>
      </c>
      <c r="C1866" s="297" t="s">
        <v>3604</v>
      </c>
      <c r="D1866" s="228" t="s">
        <v>1951</v>
      </c>
      <c r="E1866" s="228" t="s">
        <v>1743</v>
      </c>
      <c r="F1866" s="161">
        <v>0</v>
      </c>
      <c r="G1866" s="161" t="s">
        <v>5584</v>
      </c>
      <c r="H1866" s="228" t="s">
        <v>5993</v>
      </c>
      <c r="I1866" s="228" t="s">
        <v>5994</v>
      </c>
      <c r="J1866" s="228" t="s">
        <v>5995</v>
      </c>
      <c r="K1866" s="228" t="s">
        <v>5937</v>
      </c>
      <c r="L1866" s="228" t="s">
        <v>5937</v>
      </c>
      <c r="M1866" s="228" t="s">
        <v>5937</v>
      </c>
      <c r="N1866" s="228" t="s">
        <v>5937</v>
      </c>
      <c r="O1866" s="228" t="s">
        <v>5937</v>
      </c>
      <c r="Q1866" s="403" t="s">
        <v>5996</v>
      </c>
      <c r="R1866" s="233"/>
      <c r="S1866" s="234">
        <f>IF(C1866="",NA(),MATCH($B1866&amp;$C1866,'Smelter Reference List'!$J:$J,0))</f>
        <v>467</v>
      </c>
      <c r="T1866" s="235"/>
      <c r="U1866" s="235">
        <f t="shared" si="54"/>
        <v>0</v>
      </c>
      <c r="V1866" s="235"/>
      <c r="W1866" s="235"/>
      <c r="Y1866" s="228" t="str">
        <f t="shared" si="55"/>
        <v>TinSmelter not listed</v>
      </c>
    </row>
    <row r="1867" spans="1:25" s="228" customFormat="1" ht="20.25">
      <c r="A1867" s="161" t="s">
        <v>1381</v>
      </c>
      <c r="B1867" s="408" t="s">
        <v>2324</v>
      </c>
      <c r="C1867" s="297" t="str">
        <f>IF(LEN(A1867)=0,"",INDEX('[2]Smelter Reference List'!$C$1:$C$65536,MATCH($A1867,'[2]Smelter Reference List'!$E$1:$E$65536,0)))</f>
        <v>Mitsubishi Materials Corporation</v>
      </c>
      <c r="D1867" s="161" t="s">
        <v>2371</v>
      </c>
      <c r="E1867" s="161" t="s">
        <v>2249</v>
      </c>
      <c r="F1867" s="161" t="s">
        <v>1381</v>
      </c>
      <c r="G1867" s="161" t="s">
        <v>3125</v>
      </c>
      <c r="H1867" s="247">
        <v>0</v>
      </c>
      <c r="I1867" s="248" t="s">
        <v>3490</v>
      </c>
      <c r="J1867" s="248" t="s">
        <v>3140</v>
      </c>
      <c r="K1867" s="245"/>
      <c r="L1867" s="245"/>
      <c r="M1867" s="245"/>
      <c r="N1867" s="245"/>
      <c r="O1867" s="245"/>
      <c r="P1867" s="245"/>
      <c r="Q1867" s="246"/>
      <c r="R1867" s="233"/>
      <c r="S1867" s="234">
        <f>IF(C1867="",NA(),MATCH($B1867&amp;$C1867,'Smelter Reference List'!$J:$J,0))</f>
        <v>385</v>
      </c>
      <c r="T1867" s="235"/>
      <c r="U1867" s="235">
        <f t="shared" si="54"/>
        <v>0</v>
      </c>
      <c r="V1867" s="235"/>
      <c r="W1867" s="235"/>
      <c r="Y1867" s="228" t="str">
        <f t="shared" si="55"/>
        <v>TinMitsubishi Materials Corporation</v>
      </c>
    </row>
    <row r="1868" spans="1:25" s="228" customFormat="1" ht="20.25">
      <c r="A1868" s="161" t="s">
        <v>1404</v>
      </c>
      <c r="B1868" s="408" t="s">
        <v>2324</v>
      </c>
      <c r="C1868" s="297" t="str">
        <f>IF(LEN(A1868)=0,"",INDEX('[2]Smelter Reference List'!$C$1:$C$65536,MATCH($A1868,'[2]Smelter Reference List'!$E$1:$E$65536,0)))</f>
        <v>Thaisarco</v>
      </c>
      <c r="D1868" s="161" t="s">
        <v>1951</v>
      </c>
      <c r="E1868" s="161" t="s">
        <v>1743</v>
      </c>
      <c r="F1868" s="161" t="s">
        <v>1404</v>
      </c>
      <c r="G1868" s="161" t="s">
        <v>3125</v>
      </c>
      <c r="H1868" s="247">
        <v>0</v>
      </c>
      <c r="I1868" s="248" t="s">
        <v>3510</v>
      </c>
      <c r="J1868" s="248" t="s">
        <v>3511</v>
      </c>
      <c r="K1868" s="245"/>
      <c r="L1868" s="245"/>
      <c r="M1868" s="245"/>
      <c r="N1868" s="245"/>
      <c r="O1868" s="245"/>
      <c r="P1868" s="245"/>
      <c r="Q1868" s="246"/>
      <c r="R1868" s="233"/>
      <c r="S1868" s="234">
        <f>IF(C1868="",NA(),MATCH($B1868&amp;$C1868,'Smelter Reference List'!$J:$J,0))</f>
        <v>445</v>
      </c>
      <c r="T1868" s="235"/>
      <c r="U1868" s="235">
        <f t="shared" si="54"/>
        <v>0</v>
      </c>
      <c r="V1868" s="235"/>
      <c r="W1868" s="235"/>
      <c r="Y1868" s="228" t="str">
        <f t="shared" si="55"/>
        <v>TinThaisarco</v>
      </c>
    </row>
    <row r="1869" spans="1:25" s="228" customFormat="1" ht="20.25">
      <c r="A1869" s="161" t="s">
        <v>1399</v>
      </c>
      <c r="B1869" s="408" t="s">
        <v>2324</v>
      </c>
      <c r="C1869" s="297" t="str">
        <f>IF(LEN(A1869)=0,"",INDEX('[2]Smelter Reference List'!$C$1:$C$65536,MATCH($A1869,'[2]Smelter Reference List'!$E$1:$E$65536,0)))</f>
        <v>PT Timah (Persero) Tbk Mentok</v>
      </c>
      <c r="D1869" s="161" t="s">
        <v>4266</v>
      </c>
      <c r="E1869" s="161" t="s">
        <v>2238</v>
      </c>
      <c r="F1869" s="161" t="s">
        <v>1399</v>
      </c>
      <c r="G1869" s="161" t="s">
        <v>3125</v>
      </c>
      <c r="H1869" s="247">
        <v>0</v>
      </c>
      <c r="I1869" s="248" t="s">
        <v>3507</v>
      </c>
      <c r="J1869" s="248" t="s">
        <v>3454</v>
      </c>
      <c r="K1869" s="245"/>
      <c r="L1869" s="245"/>
      <c r="M1869" s="245"/>
      <c r="N1869" s="245"/>
      <c r="O1869" s="245"/>
      <c r="P1869" s="245"/>
      <c r="Q1869" s="246"/>
      <c r="R1869" s="233"/>
      <c r="S1869" s="234">
        <f>IF(C1869="",NA(),MATCH($B1869&amp;$C1869,'Smelter Reference List'!$J:$J,0))</f>
        <v>432</v>
      </c>
      <c r="T1869" s="235"/>
      <c r="U1869" s="235">
        <f t="shared" si="54"/>
        <v>0</v>
      </c>
      <c r="V1869" s="235"/>
      <c r="W1869" s="235"/>
      <c r="Y1869" s="228" t="str">
        <f t="shared" si="55"/>
        <v>TinPT Timah (Persero) Tbk Mentok</v>
      </c>
    </row>
    <row r="1870" spans="1:25" s="228" customFormat="1" ht="20.25">
      <c r="A1870" s="161" t="s">
        <v>1316</v>
      </c>
      <c r="B1870" s="408" t="s">
        <v>2323</v>
      </c>
      <c r="C1870" s="297" t="str">
        <f>IF(LEN(A1870)=0,"",INDEX('[2]Smelter Reference List'!$C$1:$C$65536,MATCH($A1870,'[2]Smelter Reference List'!$E$1:$E$65536,0)))</f>
        <v>Shandong Zhaojin Gold &amp; Silver Refinery Co., Ltd.</v>
      </c>
      <c r="D1870" s="161" t="s">
        <v>4174</v>
      </c>
      <c r="E1870" s="161" t="s">
        <v>2181</v>
      </c>
      <c r="F1870" s="161" t="s">
        <v>1316</v>
      </c>
      <c r="G1870" s="161" t="s">
        <v>3125</v>
      </c>
      <c r="H1870" s="247">
        <v>0</v>
      </c>
      <c r="I1870" s="248" t="s">
        <v>3185</v>
      </c>
      <c r="J1870" s="248" t="s">
        <v>3264</v>
      </c>
      <c r="K1870" s="245"/>
      <c r="L1870" s="245"/>
      <c r="M1870" s="245"/>
      <c r="N1870" s="245"/>
      <c r="O1870" s="245"/>
      <c r="P1870" s="245"/>
      <c r="Q1870" s="246"/>
      <c r="R1870" s="233"/>
      <c r="S1870" s="234">
        <f>IF(C1870="",NA(),MATCH($B1870&amp;$C1870,'Smelter Reference List'!$J:$J,0))</f>
        <v>176</v>
      </c>
      <c r="T1870" s="235"/>
      <c r="U1870" s="235">
        <f t="shared" si="54"/>
        <v>0</v>
      </c>
      <c r="V1870" s="235"/>
      <c r="W1870" s="235"/>
      <c r="Y1870" s="228" t="str">
        <f t="shared" si="55"/>
        <v>GoldShandong Zhaojin Gold &amp; Silver Refinery Co., Ltd.</v>
      </c>
    </row>
    <row r="1871" spans="1:25" s="228" customFormat="1" ht="20.25">
      <c r="A1871" s="161" t="s">
        <v>1407</v>
      </c>
      <c r="B1871" s="408" t="s">
        <v>2324</v>
      </c>
      <c r="C1871" s="297" t="str">
        <f>IF(LEN(A1871)=0,"",INDEX('[2]Smelter Reference List'!$C$1:$C$65536,MATCH($A1871,'[2]Smelter Reference List'!$E$1:$E$65536,0)))</f>
        <v>Yunnan Tin Company Limited</v>
      </c>
      <c r="D1871" s="161" t="s">
        <v>4749</v>
      </c>
      <c r="E1871" s="161" t="s">
        <v>2181</v>
      </c>
      <c r="F1871" s="161" t="s">
        <v>1407</v>
      </c>
      <c r="G1871" s="161" t="s">
        <v>3125</v>
      </c>
      <c r="H1871" s="247">
        <v>0</v>
      </c>
      <c r="I1871" s="248" t="s">
        <v>3468</v>
      </c>
      <c r="J1871" s="248" t="s">
        <v>3161</v>
      </c>
      <c r="K1871" s="245"/>
      <c r="L1871" s="245"/>
      <c r="M1871" s="245"/>
      <c r="N1871" s="245"/>
      <c r="O1871" s="245"/>
      <c r="P1871" s="245"/>
      <c r="Q1871" s="246"/>
      <c r="R1871" s="233"/>
      <c r="S1871" s="234">
        <f>IF(C1871="",NA(),MATCH($B1871&amp;$C1871,'Smelter Reference List'!$J:$J,0))</f>
        <v>462</v>
      </c>
      <c r="T1871" s="235"/>
      <c r="U1871" s="235">
        <f t="shared" si="54"/>
        <v>0</v>
      </c>
      <c r="V1871" s="235"/>
      <c r="W1871" s="235"/>
      <c r="Y1871" s="228" t="str">
        <f t="shared" si="55"/>
        <v>TinYunnan Tin Company Limited</v>
      </c>
    </row>
    <row r="1872" spans="1:25" s="228" customFormat="1" ht="20.25">
      <c r="A1872" s="161" t="s">
        <v>1238</v>
      </c>
      <c r="B1872" s="408" t="s">
        <v>2323</v>
      </c>
      <c r="C1872" s="297" t="str">
        <f>IF(LEN(A1872)=0,"",INDEX('[2]Smelter Reference List'!$C$1:$C$65536,MATCH($A1872,'[2]Smelter Reference List'!$E$1:$E$65536,0)))</f>
        <v>Argor-Heraeus S.A.</v>
      </c>
      <c r="D1872" s="161" t="s">
        <v>4669</v>
      </c>
      <c r="E1872" s="161" t="s">
        <v>2179</v>
      </c>
      <c r="F1872" s="161" t="s">
        <v>1238</v>
      </c>
      <c r="G1872" s="161" t="s">
        <v>3125</v>
      </c>
      <c r="H1872" s="247">
        <v>0</v>
      </c>
      <c r="I1872" s="248" t="s">
        <v>3137</v>
      </c>
      <c r="J1872" s="248" t="s">
        <v>3138</v>
      </c>
      <c r="K1872" s="245"/>
      <c r="L1872" s="245"/>
      <c r="M1872" s="245"/>
      <c r="N1872" s="245"/>
      <c r="O1872" s="245"/>
      <c r="P1872" s="245"/>
      <c r="Q1872" s="246"/>
      <c r="R1872" s="233"/>
      <c r="S1872" s="234">
        <f>IF(C1872="",NA(),MATCH($B1872&amp;$C1872,'Smelter Reference List'!$J:$J,0))</f>
        <v>17</v>
      </c>
      <c r="T1872" s="235"/>
      <c r="U1872" s="235">
        <f t="shared" si="54"/>
        <v>0</v>
      </c>
      <c r="V1872" s="235"/>
      <c r="W1872" s="235"/>
      <c r="Y1872" s="228" t="str">
        <f t="shared" si="55"/>
        <v>GoldArgor-Heraeus S.A.</v>
      </c>
    </row>
    <row r="1873" spans="1:25" s="228" customFormat="1" ht="20.25">
      <c r="A1873" s="161"/>
      <c r="B1873" s="408" t="s">
        <v>2323</v>
      </c>
      <c r="C1873" s="297" t="s">
        <v>3604</v>
      </c>
      <c r="D1873" s="161" t="s">
        <v>5997</v>
      </c>
      <c r="E1873" s="161" t="s">
        <v>2181</v>
      </c>
      <c r="F1873" s="161">
        <v>0</v>
      </c>
      <c r="G1873" s="161" t="s">
        <v>5584</v>
      </c>
      <c r="H1873" s="247" t="s">
        <v>5998</v>
      </c>
      <c r="I1873" s="248" t="s">
        <v>5999</v>
      </c>
      <c r="J1873" s="248" t="s">
        <v>6000</v>
      </c>
      <c r="K1873" s="245" t="s">
        <v>6001</v>
      </c>
      <c r="L1873" s="245" t="s">
        <v>6002</v>
      </c>
      <c r="M1873" s="245"/>
      <c r="N1873" s="245"/>
      <c r="O1873" s="245"/>
      <c r="P1873" s="245"/>
      <c r="Q1873" s="246"/>
      <c r="R1873" s="233"/>
      <c r="S1873" s="234">
        <f>IF(C1873="",NA(),MATCH($B1873&amp;$C1873,'Smelter Reference List'!$J:$J,0))</f>
        <v>238</v>
      </c>
      <c r="T1873" s="235"/>
      <c r="U1873" s="235">
        <f t="shared" si="54"/>
        <v>0</v>
      </c>
      <c r="V1873" s="235"/>
      <c r="W1873" s="235"/>
      <c r="Y1873" s="228" t="str">
        <f t="shared" si="55"/>
        <v>GoldSmelter not listed</v>
      </c>
    </row>
    <row r="1874" spans="1:25" s="228" customFormat="1" ht="20.25">
      <c r="A1874" s="161" t="s">
        <v>1407</v>
      </c>
      <c r="B1874" s="408" t="s">
        <v>2324</v>
      </c>
      <c r="C1874" s="297" t="str">
        <f>IF(LEN(A1874)=0,"",INDEX('[2]Smelter Reference List'!$C$1:$C$65536,MATCH($A1874,'[2]Smelter Reference List'!$E$1:$E$65536,0)))</f>
        <v>Yunnan Tin Company Limited</v>
      </c>
      <c r="D1874" s="161" t="s">
        <v>4749</v>
      </c>
      <c r="E1874" s="161" t="s">
        <v>2181</v>
      </c>
      <c r="F1874" s="161" t="s">
        <v>1407</v>
      </c>
      <c r="G1874" s="161" t="s">
        <v>3125</v>
      </c>
      <c r="H1874" s="247">
        <v>0</v>
      </c>
      <c r="I1874" s="248" t="s">
        <v>3468</v>
      </c>
      <c r="J1874" s="248" t="s">
        <v>3161</v>
      </c>
      <c r="K1874" s="245"/>
      <c r="L1874" s="245"/>
      <c r="M1874" s="245"/>
      <c r="N1874" s="245"/>
      <c r="O1874" s="245"/>
      <c r="P1874" s="245"/>
      <c r="Q1874" s="246"/>
      <c r="R1874" s="233"/>
      <c r="S1874" s="234">
        <f>IF(C1874="",NA(),MATCH($B1874&amp;$C1874,'Smelter Reference List'!$J:$J,0))</f>
        <v>462</v>
      </c>
      <c r="T1874" s="235"/>
      <c r="U1874" s="235">
        <f t="shared" si="54"/>
        <v>0</v>
      </c>
      <c r="V1874" s="235"/>
      <c r="W1874" s="235"/>
      <c r="Y1874" s="228" t="str">
        <f t="shared" si="55"/>
        <v>TinYunnan Tin Company Limited</v>
      </c>
    </row>
    <row r="1875" spans="1:25" s="228" customFormat="1" ht="20.25">
      <c r="A1875" s="161" t="s">
        <v>1407</v>
      </c>
      <c r="B1875" s="408" t="s">
        <v>2324</v>
      </c>
      <c r="C1875" s="297" t="str">
        <f>IF(LEN(A1875)=0,"",INDEX('[2]Smelter Reference List'!$C$1:$C$65536,MATCH($A1875,'[2]Smelter Reference List'!$E$1:$E$65536,0)))</f>
        <v>Yunnan Tin Company Limited</v>
      </c>
      <c r="D1875" s="161" t="s">
        <v>4749</v>
      </c>
      <c r="E1875" s="161" t="s">
        <v>2181</v>
      </c>
      <c r="F1875" s="161" t="s">
        <v>1407</v>
      </c>
      <c r="G1875" s="161" t="s">
        <v>3125</v>
      </c>
      <c r="H1875" s="247">
        <v>0</v>
      </c>
      <c r="I1875" s="248" t="s">
        <v>3468</v>
      </c>
      <c r="J1875" s="248" t="s">
        <v>3161</v>
      </c>
      <c r="K1875" s="245"/>
      <c r="L1875" s="245"/>
      <c r="M1875" s="245"/>
      <c r="N1875" s="245"/>
      <c r="O1875" s="245"/>
      <c r="P1875" s="245"/>
      <c r="Q1875" s="246"/>
      <c r="R1875" s="233"/>
      <c r="S1875" s="234">
        <f>IF(C1875="",NA(),MATCH($B1875&amp;$C1875,'Smelter Reference List'!$J:$J,0))</f>
        <v>462</v>
      </c>
      <c r="T1875" s="235"/>
      <c r="U1875" s="235">
        <f t="shared" si="54"/>
        <v>0</v>
      </c>
      <c r="V1875" s="235"/>
      <c r="W1875" s="235"/>
      <c r="Y1875" s="228" t="str">
        <f t="shared" si="55"/>
        <v>TinYunnan Tin Company Limited</v>
      </c>
    </row>
    <row r="1876" spans="1:25" s="228" customFormat="1" ht="20.25">
      <c r="A1876" s="161" t="s">
        <v>1324</v>
      </c>
      <c r="B1876" s="408" t="s">
        <v>2323</v>
      </c>
      <c r="C1876" s="297" t="str">
        <f>IF(LEN(A1876)=0,"",INDEX('[2]Smelter Reference List'!$C$1:$C$65536,MATCH($A1876,'[2]Smelter Reference List'!$E$1:$E$65536,0)))</f>
        <v>The Refinery of Shandong Gold Mining Co., Ltd.</v>
      </c>
      <c r="D1876" s="161" t="s">
        <v>4177</v>
      </c>
      <c r="E1876" s="161" t="s">
        <v>2181</v>
      </c>
      <c r="F1876" s="161" t="s">
        <v>1324</v>
      </c>
      <c r="G1876" s="161" t="s">
        <v>3125</v>
      </c>
      <c r="H1876" s="247">
        <v>0</v>
      </c>
      <c r="I1876" s="248" t="s">
        <v>3286</v>
      </c>
      <c r="J1876" s="248" t="s">
        <v>3263</v>
      </c>
      <c r="K1876" s="245"/>
      <c r="L1876" s="245"/>
      <c r="M1876" s="245"/>
      <c r="N1876" s="245"/>
      <c r="O1876" s="245"/>
      <c r="P1876" s="245"/>
      <c r="Q1876" s="246"/>
      <c r="R1876" s="233"/>
      <c r="S1876" s="234">
        <f>IF(C1876="",NA(),MATCH($B1876&amp;$C1876,'Smelter Reference List'!$J:$J,0))</f>
        <v>204</v>
      </c>
      <c r="T1876" s="235"/>
      <c r="U1876" s="235">
        <f t="shared" si="54"/>
        <v>0</v>
      </c>
      <c r="V1876" s="235"/>
      <c r="W1876" s="235"/>
      <c r="Y1876" s="228" t="str">
        <f t="shared" si="55"/>
        <v>GoldThe Refinery of Shandong Gold Mining Co., Ltd.</v>
      </c>
    </row>
    <row r="1877" spans="1:25" s="228" customFormat="1" ht="20.25">
      <c r="A1877" s="161" t="s">
        <v>1378</v>
      </c>
      <c r="B1877" s="408" t="s">
        <v>2324</v>
      </c>
      <c r="C1877" s="297" t="str">
        <f>IF(LEN(A1877)=0,"",INDEX('[2]Smelter Reference List'!$C$1:$C$65536,MATCH($A1877,'[2]Smelter Reference List'!$E$1:$E$65536,0)))</f>
        <v>Malaysia Smelting Corporation (MSC)</v>
      </c>
      <c r="D1877" s="161" t="s">
        <v>1471</v>
      </c>
      <c r="E1877" s="161" t="s">
        <v>2289</v>
      </c>
      <c r="F1877" s="161" t="s">
        <v>1378</v>
      </c>
      <c r="G1877" s="161" t="s">
        <v>3125</v>
      </c>
      <c r="H1877" s="247">
        <v>0</v>
      </c>
      <c r="I1877" s="248" t="s">
        <v>3481</v>
      </c>
      <c r="J1877" s="248" t="s">
        <v>3482</v>
      </c>
      <c r="K1877" s="245"/>
      <c r="L1877" s="245"/>
      <c r="M1877" s="245"/>
      <c r="N1877" s="245"/>
      <c r="O1877" s="245"/>
      <c r="P1877" s="245"/>
      <c r="Q1877" s="246"/>
      <c r="R1877" s="233"/>
      <c r="S1877" s="234">
        <f>IF(C1877="",NA(),MATCH($B1877&amp;$C1877,'Smelter Reference List'!$J:$J,0))</f>
        <v>377</v>
      </c>
      <c r="T1877" s="235"/>
      <c r="U1877" s="235">
        <f t="shared" si="54"/>
        <v>0</v>
      </c>
      <c r="V1877" s="235"/>
      <c r="W1877" s="235"/>
      <c r="Y1877" s="228" t="str">
        <f t="shared" si="55"/>
        <v>TinMalaysia Smelting Corporation (MSC)</v>
      </c>
    </row>
    <row r="1878" spans="1:25" s="228" customFormat="1" ht="20.25">
      <c r="A1878" s="161" t="s">
        <v>1419</v>
      </c>
      <c r="B1878" s="408" t="s">
        <v>2326</v>
      </c>
      <c r="C1878" s="297" t="str">
        <f>IF(LEN(A1878)=0,"",INDEX('[2]Smelter Reference List'!$C$1:$C$65536,MATCH($A1878,'[2]Smelter Reference List'!$E$1:$E$65536,0)))</f>
        <v>Ganzhou Huaxing Tungsten Products Co., Ltd.</v>
      </c>
      <c r="D1878" s="161" t="s">
        <v>211</v>
      </c>
      <c r="E1878" s="161" t="s">
        <v>2181</v>
      </c>
      <c r="F1878" s="161" t="s">
        <v>1419</v>
      </c>
      <c r="G1878" s="161" t="s">
        <v>3125</v>
      </c>
      <c r="H1878" s="247">
        <v>0</v>
      </c>
      <c r="I1878" s="248" t="s">
        <v>3471</v>
      </c>
      <c r="J1878" s="248" t="s">
        <v>3204</v>
      </c>
      <c r="K1878" s="245"/>
      <c r="L1878" s="245"/>
      <c r="M1878" s="245"/>
      <c r="N1878" s="245"/>
      <c r="O1878" s="245"/>
      <c r="P1878" s="245"/>
      <c r="Q1878" s="246"/>
      <c r="R1878" s="233"/>
      <c r="S1878" s="234">
        <f>IF(C1878="",NA(),MATCH($B1878&amp;$C1878,'Smelter Reference List'!$J:$J,0))</f>
        <v>485</v>
      </c>
      <c r="T1878" s="235"/>
      <c r="U1878" s="235">
        <f t="shared" si="54"/>
        <v>0</v>
      </c>
      <c r="V1878" s="235"/>
      <c r="W1878" s="235"/>
      <c r="Y1878" s="228" t="str">
        <f t="shared" si="55"/>
        <v>TungstenGanzhou Huaxing Tungsten Products Co., Ltd.</v>
      </c>
    </row>
    <row r="1879" spans="1:25" s="228" customFormat="1" ht="20.25">
      <c r="A1879" s="161" t="s">
        <v>722</v>
      </c>
      <c r="B1879" s="408" t="s">
        <v>2326</v>
      </c>
      <c r="C1879" s="297" t="str">
        <f>IF(LEN(A1879)=0,"",INDEX('[2]Smelter Reference List'!$C$1:$C$65536,MATCH($A1879,'[2]Smelter Reference List'!$E$1:$E$65536,0)))</f>
        <v>Ganzhou Seadragon W &amp; Mo Co., Ltd.</v>
      </c>
      <c r="D1879" s="161" t="s">
        <v>721</v>
      </c>
      <c r="E1879" s="161" t="s">
        <v>2181</v>
      </c>
      <c r="F1879" s="161" t="s">
        <v>722</v>
      </c>
      <c r="G1879" s="161" t="s">
        <v>3125</v>
      </c>
      <c r="H1879" s="247">
        <v>0</v>
      </c>
      <c r="I1879" s="248" t="s">
        <v>3471</v>
      </c>
      <c r="J1879" s="248" t="s">
        <v>3204</v>
      </c>
      <c r="K1879" s="245"/>
      <c r="L1879" s="245"/>
      <c r="M1879" s="245"/>
      <c r="N1879" s="245"/>
      <c r="O1879" s="245"/>
      <c r="P1879" s="245"/>
      <c r="Q1879" s="246"/>
      <c r="R1879" s="233"/>
      <c r="S1879" s="234">
        <f>IF(C1879="",NA(),MATCH($B1879&amp;$C1879,'Smelter Reference List'!$J:$J,0))</f>
        <v>488</v>
      </c>
      <c r="T1879" s="235"/>
      <c r="U1879" s="235">
        <f t="shared" si="54"/>
        <v>0</v>
      </c>
      <c r="V1879" s="235"/>
      <c r="W1879" s="235"/>
      <c r="Y1879" s="228" t="str">
        <f t="shared" si="55"/>
        <v>TungstenGanzhou Seadragon W &amp; Mo Co., Ltd.</v>
      </c>
    </row>
    <row r="1880" spans="1:25" s="228" customFormat="1" ht="20.25">
      <c r="A1880" s="161" t="s">
        <v>1416</v>
      </c>
      <c r="B1880" s="408" t="s">
        <v>2326</v>
      </c>
      <c r="C1880" s="297" t="str">
        <f>IF(LEN(A1880)=0,"",INDEX('[2]Smelter Reference List'!$C$1:$C$65536,MATCH($A1880,'[2]Smelter Reference List'!$E$1:$E$65536,0)))</f>
        <v>Hunan Chunchang Nonferrous Metals Co., Ltd.</v>
      </c>
      <c r="D1880" s="161" t="s">
        <v>2661</v>
      </c>
      <c r="E1880" s="161" t="s">
        <v>2181</v>
      </c>
      <c r="F1880" s="161" t="s">
        <v>1416</v>
      </c>
      <c r="G1880" s="161" t="s">
        <v>3125</v>
      </c>
      <c r="H1880" s="247">
        <v>0</v>
      </c>
      <c r="I1880" s="248" t="s">
        <v>3407</v>
      </c>
      <c r="J1880" s="248" t="s">
        <v>3186</v>
      </c>
      <c r="K1880" s="245"/>
      <c r="L1880" s="245"/>
      <c r="M1880" s="245"/>
      <c r="N1880" s="245"/>
      <c r="O1880" s="245"/>
      <c r="P1880" s="245"/>
      <c r="Q1880" s="246"/>
      <c r="R1880" s="233"/>
      <c r="S1880" s="234">
        <f>IF(C1880="",NA(),MATCH($B1880&amp;$C1880,'Smelter Reference List'!$J:$J,0))</f>
        <v>500</v>
      </c>
      <c r="T1880" s="235"/>
      <c r="U1880" s="235">
        <f t="shared" si="54"/>
        <v>0</v>
      </c>
      <c r="V1880" s="235"/>
      <c r="W1880" s="235"/>
      <c r="Y1880" s="228" t="str">
        <f t="shared" si="55"/>
        <v>TungstenHunan Chunchang Nonferrous Metals Co., Ltd.</v>
      </c>
    </row>
    <row r="1881" spans="1:25" s="228" customFormat="1" ht="20.25">
      <c r="A1881" s="161" t="s">
        <v>206</v>
      </c>
      <c r="B1881" s="408" t="s">
        <v>2326</v>
      </c>
      <c r="C1881" s="297" t="str">
        <f>IF(LEN(A1881)=0,"",INDEX('[2]Smelter Reference List'!$C$1:$C$65536,MATCH($A1881,'[2]Smelter Reference List'!$E$1:$E$65536,0)))</f>
        <v>Xiamen Tungsten (H.C.) Co., Ltd.</v>
      </c>
      <c r="D1881" s="161" t="s">
        <v>218</v>
      </c>
      <c r="E1881" s="161" t="s">
        <v>2181</v>
      </c>
      <c r="F1881" s="161" t="s">
        <v>206</v>
      </c>
      <c r="G1881" s="161" t="s">
        <v>3125</v>
      </c>
      <c r="H1881" s="247">
        <v>0</v>
      </c>
      <c r="I1881" s="248" t="s">
        <v>3569</v>
      </c>
      <c r="J1881" s="248" t="s">
        <v>3332</v>
      </c>
      <c r="K1881" s="245"/>
      <c r="L1881" s="245"/>
      <c r="M1881" s="245"/>
      <c r="N1881" s="245"/>
      <c r="O1881" s="245"/>
      <c r="P1881" s="245"/>
      <c r="Q1881" s="246"/>
      <c r="R1881" s="233"/>
      <c r="S1881" s="234">
        <f>IF(C1881="",NA(),MATCH($B1881&amp;$C1881,'Smelter Reference List'!$J:$J,0))</f>
        <v>531</v>
      </c>
      <c r="T1881" s="235"/>
      <c r="U1881" s="235">
        <f t="shared" si="54"/>
        <v>0</v>
      </c>
      <c r="V1881" s="235"/>
      <c r="W1881" s="235"/>
      <c r="Y1881" s="228" t="str">
        <f t="shared" si="55"/>
        <v>TungstenXiamen Tungsten (H.C.) Co., Ltd.</v>
      </c>
    </row>
    <row r="1882" spans="1:25" s="228" customFormat="1" ht="20.25">
      <c r="A1882" s="161" t="s">
        <v>1423</v>
      </c>
      <c r="B1882" s="408" t="s">
        <v>2326</v>
      </c>
      <c r="C1882" s="297" t="str">
        <f>IF(LEN(A1882)=0,"",INDEX('[2]Smelter Reference List'!$C$1:$C$65536,MATCH($A1882,'[2]Smelter Reference List'!$E$1:$E$65536,0)))</f>
        <v>Xiamen Tungsten Co., Ltd.</v>
      </c>
      <c r="D1882" s="161" t="s">
        <v>2663</v>
      </c>
      <c r="E1882" s="161" t="s">
        <v>2181</v>
      </c>
      <c r="F1882" s="161" t="s">
        <v>1423</v>
      </c>
      <c r="G1882" s="161" t="s">
        <v>3125</v>
      </c>
      <c r="H1882" s="247">
        <v>0</v>
      </c>
      <c r="I1882" s="248" t="s">
        <v>3569</v>
      </c>
      <c r="J1882" s="248" t="s">
        <v>3332</v>
      </c>
      <c r="K1882" s="245"/>
      <c r="L1882" s="245"/>
      <c r="M1882" s="245"/>
      <c r="N1882" s="245"/>
      <c r="O1882" s="245"/>
      <c r="P1882" s="245"/>
      <c r="Q1882" s="246"/>
      <c r="R1882" s="233"/>
      <c r="S1882" s="234">
        <f>IF(C1882="",NA(),MATCH($B1882&amp;$C1882,'Smelter Reference List'!$J:$J,0))</f>
        <v>532</v>
      </c>
      <c r="T1882" s="235"/>
      <c r="U1882" s="235">
        <f t="shared" si="54"/>
        <v>0</v>
      </c>
      <c r="V1882" s="235"/>
      <c r="W1882" s="235"/>
      <c r="Y1882" s="228" t="str">
        <f t="shared" si="55"/>
        <v>TungstenXiamen Tungsten Co., Ltd.</v>
      </c>
    </row>
    <row r="1883" spans="1:25" s="228" customFormat="1" ht="20.25">
      <c r="A1883" s="161" t="s">
        <v>1407</v>
      </c>
      <c r="B1883" s="408" t="s">
        <v>2324</v>
      </c>
      <c r="C1883" s="297" t="str">
        <f>IF(LEN(A1883)=0,"",INDEX('[2]Smelter Reference List'!$C$1:$C$65536,MATCH($A1883,'[2]Smelter Reference List'!$E$1:$E$65536,0)))</f>
        <v>Yunnan Tin Company Limited</v>
      </c>
      <c r="D1883" s="161" t="s">
        <v>4749</v>
      </c>
      <c r="E1883" s="161" t="s">
        <v>2181</v>
      </c>
      <c r="F1883" s="161" t="s">
        <v>1407</v>
      </c>
      <c r="G1883" s="161" t="s">
        <v>3125</v>
      </c>
      <c r="H1883" s="247">
        <v>0</v>
      </c>
      <c r="I1883" s="248" t="s">
        <v>3468</v>
      </c>
      <c r="J1883" s="248" t="s">
        <v>3161</v>
      </c>
      <c r="K1883" s="245"/>
      <c r="L1883" s="245"/>
      <c r="M1883" s="245"/>
      <c r="N1883" s="245"/>
      <c r="O1883" s="245"/>
      <c r="P1883" s="245"/>
      <c r="Q1883" s="246"/>
      <c r="R1883" s="233"/>
      <c r="S1883" s="234">
        <f>IF(C1883="",NA(),MATCH($B1883&amp;$C1883,'Smelter Reference List'!$J:$J,0))</f>
        <v>462</v>
      </c>
      <c r="T1883" s="235"/>
      <c r="U1883" s="235">
        <f t="shared" si="54"/>
        <v>0</v>
      </c>
      <c r="V1883" s="235"/>
      <c r="W1883" s="235"/>
      <c r="Y1883" s="228" t="str">
        <f t="shared" si="55"/>
        <v>TinYunnan Tin Company Limited</v>
      </c>
    </row>
    <row r="1884" spans="1:25" s="228" customFormat="1" ht="20.25">
      <c r="A1884" s="161" t="s">
        <v>1337</v>
      </c>
      <c r="B1884" s="408" t="s">
        <v>2323</v>
      </c>
      <c r="C1884" s="297" t="str">
        <f>IF(LEN(A1884)=0,"",INDEX('[2]Smelter Reference List'!$C$1:$C$65536,MATCH($A1884,'[2]Smelter Reference List'!$E$1:$E$65536,0)))</f>
        <v>Zijin Mining Group Co., Ltd. Gold Refinery</v>
      </c>
      <c r="D1884" s="161" t="s">
        <v>4290</v>
      </c>
      <c r="E1884" s="161" t="s">
        <v>2181</v>
      </c>
      <c r="F1884" s="161" t="s">
        <v>1337</v>
      </c>
      <c r="G1884" s="161" t="s">
        <v>3125</v>
      </c>
      <c r="H1884" s="247">
        <v>0</v>
      </c>
      <c r="I1884" s="248" t="s">
        <v>3331</v>
      </c>
      <c r="J1884" s="248" t="s">
        <v>3332</v>
      </c>
      <c r="K1884" s="245"/>
      <c r="L1884" s="245"/>
      <c r="M1884" s="245"/>
      <c r="N1884" s="245"/>
      <c r="O1884" s="245"/>
      <c r="P1884" s="245"/>
      <c r="Q1884" s="246"/>
      <c r="R1884" s="233"/>
      <c r="S1884" s="234">
        <f>IF(C1884="",NA(),MATCH($B1884&amp;$C1884,'Smelter Reference List'!$J:$J,0))</f>
        <v>236</v>
      </c>
      <c r="T1884" s="235"/>
      <c r="U1884" s="235">
        <f t="shared" si="54"/>
        <v>0</v>
      </c>
      <c r="V1884" s="235"/>
      <c r="W1884" s="235"/>
      <c r="Y1884" s="228" t="str">
        <f t="shared" si="55"/>
        <v>GoldZijin Mining Group Co., Ltd. Gold Refinery</v>
      </c>
    </row>
    <row r="1885" spans="1:25" s="228" customFormat="1" ht="20.25">
      <c r="A1885" s="161" t="s">
        <v>1372</v>
      </c>
      <c r="B1885" s="408" t="s">
        <v>2324</v>
      </c>
      <c r="C1885" s="297" t="str">
        <f>IF(LEN(A1885)=0,"",INDEX('[2]Smelter Reference List'!$C$1:$C$65536,MATCH($A1885,'[2]Smelter Reference List'!$E$1:$E$65536,0)))</f>
        <v>Gejiu Non-Ferrous Metal Processing Co., Ltd.</v>
      </c>
      <c r="D1885" s="161" t="s">
        <v>4152</v>
      </c>
      <c r="E1885" s="161" t="s">
        <v>2181</v>
      </c>
      <c r="F1885" s="161" t="s">
        <v>1372</v>
      </c>
      <c r="G1885" s="161" t="s">
        <v>3125</v>
      </c>
      <c r="H1885" s="247">
        <v>0</v>
      </c>
      <c r="I1885" s="248" t="s">
        <v>3468</v>
      </c>
      <c r="J1885" s="248" t="s">
        <v>3161</v>
      </c>
      <c r="K1885" s="245"/>
      <c r="L1885" s="245"/>
      <c r="M1885" s="245"/>
      <c r="N1885" s="245"/>
      <c r="O1885" s="245"/>
      <c r="P1885" s="245"/>
      <c r="Q1885" s="246"/>
      <c r="R1885" s="233"/>
      <c r="S1885" s="234">
        <f>IF(C1885="",NA(),MATCH($B1885&amp;$C1885,'Smelter Reference List'!$J:$J,0))</f>
        <v>353</v>
      </c>
      <c r="T1885" s="235"/>
      <c r="U1885" s="235">
        <f t="shared" si="54"/>
        <v>0</v>
      </c>
      <c r="V1885" s="235"/>
      <c r="W1885" s="235"/>
      <c r="Y1885" s="228" t="str">
        <f t="shared" si="55"/>
        <v>TinGejiu Non-Ferrous Metal Processing Co., Ltd.</v>
      </c>
    </row>
    <row r="1886" spans="1:25" s="228" customFormat="1" ht="20.25">
      <c r="A1886" s="161" t="s">
        <v>1407</v>
      </c>
      <c r="B1886" s="408" t="s">
        <v>2324</v>
      </c>
      <c r="C1886" s="297" t="str">
        <f>IF(LEN(A1886)=0,"",INDEX('[2]Smelter Reference List'!$C$1:$C$65536,MATCH($A1886,'[2]Smelter Reference List'!$E$1:$E$65536,0)))</f>
        <v>Yunnan Tin Company Limited</v>
      </c>
      <c r="D1886" s="161" t="s">
        <v>4749</v>
      </c>
      <c r="E1886" s="161" t="s">
        <v>2181</v>
      </c>
      <c r="F1886" s="161" t="s">
        <v>1407</v>
      </c>
      <c r="G1886" s="161" t="s">
        <v>3125</v>
      </c>
      <c r="H1886" s="247">
        <v>0</v>
      </c>
      <c r="I1886" s="248" t="s">
        <v>3468</v>
      </c>
      <c r="J1886" s="248" t="s">
        <v>3161</v>
      </c>
      <c r="K1886" s="245"/>
      <c r="L1886" s="245"/>
      <c r="M1886" s="245"/>
      <c r="N1886" s="245"/>
      <c r="O1886" s="245"/>
      <c r="P1886" s="245"/>
      <c r="Q1886" s="246"/>
      <c r="R1886" s="233"/>
      <c r="S1886" s="234">
        <f>IF(C1886="",NA(),MATCH($B1886&amp;$C1886,'Smelter Reference List'!$J:$J,0))</f>
        <v>462</v>
      </c>
      <c r="T1886" s="235"/>
      <c r="U1886" s="235">
        <f t="shared" si="54"/>
        <v>0</v>
      </c>
      <c r="V1886" s="235"/>
      <c r="W1886" s="235"/>
      <c r="Y1886" s="228" t="str">
        <f t="shared" si="55"/>
        <v>TinYunnan Tin Company Limited</v>
      </c>
    </row>
    <row r="1887" spans="1:25" s="228" customFormat="1" ht="20.25">
      <c r="A1887" s="161" t="s">
        <v>1264</v>
      </c>
      <c r="B1887" s="408" t="s">
        <v>2323</v>
      </c>
      <c r="C1887" s="297" t="str">
        <f>IF(LEN(A1887)=0,"",INDEX('[2]Smelter Reference List'!$C$1:$C$65536,MATCH($A1887,'[2]Smelter Reference List'!$E$1:$E$65536,0)))</f>
        <v>Heraeus Ltd. Hong Kong</v>
      </c>
      <c r="D1887" s="161" t="s">
        <v>72</v>
      </c>
      <c r="E1887" s="161" t="s">
        <v>2181</v>
      </c>
      <c r="F1887" s="161" t="s">
        <v>1264</v>
      </c>
      <c r="G1887" s="161" t="s">
        <v>3125</v>
      </c>
      <c r="H1887" s="247">
        <v>0</v>
      </c>
      <c r="I1887" s="248" t="s">
        <v>3190</v>
      </c>
      <c r="J1887" s="248" t="s">
        <v>3191</v>
      </c>
      <c r="K1887" s="245"/>
      <c r="L1887" s="245"/>
      <c r="M1887" s="245"/>
      <c r="N1887" s="245"/>
      <c r="O1887" s="245"/>
      <c r="P1887" s="245"/>
      <c r="Q1887" s="246"/>
      <c r="R1887" s="233"/>
      <c r="S1887" s="234">
        <f>IF(C1887="",NA(),MATCH($B1887&amp;$C1887,'Smelter Reference List'!$J:$J,0))</f>
        <v>75</v>
      </c>
      <c r="T1887" s="235"/>
      <c r="U1887" s="235">
        <f t="shared" si="54"/>
        <v>0</v>
      </c>
      <c r="V1887" s="235"/>
      <c r="W1887" s="235"/>
      <c r="Y1887" s="228" t="str">
        <f t="shared" si="55"/>
        <v>GoldHeraeus Ltd. Hong Kong</v>
      </c>
    </row>
    <row r="1888" spans="1:25" s="228" customFormat="1" ht="20.25">
      <c r="A1888" s="161" t="s">
        <v>1316</v>
      </c>
      <c r="B1888" s="408" t="s">
        <v>2323</v>
      </c>
      <c r="C1888" s="297" t="str">
        <f>IF(LEN(A1888)=0,"",INDEX('[2]Smelter Reference List'!$C$1:$C$65536,MATCH($A1888,'[2]Smelter Reference List'!$E$1:$E$65536,0)))</f>
        <v>Shandong Zhaojin Gold &amp; Silver Refinery Co., Ltd.</v>
      </c>
      <c r="D1888" s="161" t="s">
        <v>4174</v>
      </c>
      <c r="E1888" s="161" t="s">
        <v>2181</v>
      </c>
      <c r="F1888" s="161" t="s">
        <v>1316</v>
      </c>
      <c r="G1888" s="161" t="s">
        <v>3125</v>
      </c>
      <c r="H1888" s="247">
        <v>0</v>
      </c>
      <c r="I1888" s="248" t="s">
        <v>3185</v>
      </c>
      <c r="J1888" s="248" t="s">
        <v>3264</v>
      </c>
      <c r="K1888" s="245"/>
      <c r="L1888" s="245"/>
      <c r="M1888" s="245"/>
      <c r="N1888" s="245"/>
      <c r="O1888" s="245"/>
      <c r="P1888" s="245"/>
      <c r="Q1888" s="246"/>
      <c r="R1888" s="233"/>
      <c r="S1888" s="234">
        <f>IF(C1888="",NA(),MATCH($B1888&amp;$C1888,'Smelter Reference List'!$J:$J,0))</f>
        <v>176</v>
      </c>
      <c r="T1888" s="235"/>
      <c r="U1888" s="235">
        <f t="shared" si="54"/>
        <v>0</v>
      </c>
      <c r="V1888" s="235"/>
      <c r="W1888" s="235"/>
      <c r="Y1888" s="228" t="str">
        <f t="shared" si="55"/>
        <v>GoldShandong Zhaojin Gold &amp; Silver Refinery Co., Ltd.</v>
      </c>
    </row>
    <row r="1889" spans="1:25" s="228" customFormat="1" ht="20.25">
      <c r="A1889" s="161" t="s">
        <v>1423</v>
      </c>
      <c r="B1889" s="408" t="s">
        <v>2326</v>
      </c>
      <c r="C1889" s="297" t="str">
        <f>IF(LEN(A1889)=0,"",INDEX('[2]Smelter Reference List'!$C$1:$C$65536,MATCH($A1889,'[2]Smelter Reference List'!$E$1:$E$65536,0)))</f>
        <v>Xiamen Tungsten Co., Ltd.</v>
      </c>
      <c r="D1889" s="161" t="s">
        <v>2663</v>
      </c>
      <c r="E1889" s="161" t="s">
        <v>2181</v>
      </c>
      <c r="F1889" s="161" t="s">
        <v>1423</v>
      </c>
      <c r="G1889" s="161" t="s">
        <v>3125</v>
      </c>
      <c r="H1889" s="247">
        <v>0</v>
      </c>
      <c r="I1889" s="248" t="s">
        <v>3569</v>
      </c>
      <c r="J1889" s="248" t="s">
        <v>3332</v>
      </c>
      <c r="K1889" s="245"/>
      <c r="L1889" s="245"/>
      <c r="M1889" s="245"/>
      <c r="N1889" s="245"/>
      <c r="O1889" s="245"/>
      <c r="P1889" s="245"/>
      <c r="Q1889" s="246"/>
      <c r="R1889" s="233"/>
      <c r="S1889" s="234">
        <f>IF(C1889="",NA(),MATCH($B1889&amp;$C1889,'Smelter Reference List'!$J:$J,0))</f>
        <v>532</v>
      </c>
      <c r="T1889" s="235"/>
      <c r="U1889" s="235">
        <f t="shared" si="54"/>
        <v>0</v>
      </c>
      <c r="V1889" s="235"/>
      <c r="W1889" s="235"/>
      <c r="Y1889" s="228" t="str">
        <f t="shared" si="55"/>
        <v>TungstenXiamen Tungsten Co., Ltd.</v>
      </c>
    </row>
    <row r="1890" spans="1:25" s="228" customFormat="1" ht="20.25">
      <c r="A1890" s="161" t="s">
        <v>206</v>
      </c>
      <c r="B1890" s="408" t="s">
        <v>2326</v>
      </c>
      <c r="C1890" s="297" t="str">
        <f>IF(LEN(A1890)=0,"",INDEX('[2]Smelter Reference List'!$C$1:$C$65536,MATCH($A1890,'[2]Smelter Reference List'!$E$1:$E$65536,0)))</f>
        <v>Xiamen Tungsten (H.C.) Co., Ltd.</v>
      </c>
      <c r="D1890" s="161" t="s">
        <v>218</v>
      </c>
      <c r="E1890" s="161" t="s">
        <v>2181</v>
      </c>
      <c r="F1890" s="161" t="s">
        <v>206</v>
      </c>
      <c r="G1890" s="161" t="s">
        <v>3125</v>
      </c>
      <c r="H1890" s="247">
        <v>0</v>
      </c>
      <c r="I1890" s="248" t="s">
        <v>3569</v>
      </c>
      <c r="J1890" s="248" t="s">
        <v>3332</v>
      </c>
      <c r="K1890" s="245"/>
      <c r="L1890" s="245"/>
      <c r="M1890" s="245"/>
      <c r="N1890" s="245"/>
      <c r="O1890" s="245"/>
      <c r="P1890" s="245"/>
      <c r="Q1890" s="246"/>
      <c r="R1890" s="233"/>
      <c r="S1890" s="234">
        <f>IF(C1890="",NA(),MATCH($B1890&amp;$C1890,'Smelter Reference List'!$J:$J,0))</f>
        <v>531</v>
      </c>
      <c r="T1890" s="235"/>
      <c r="U1890" s="235">
        <f t="shared" si="54"/>
        <v>0</v>
      </c>
      <c r="V1890" s="235"/>
      <c r="W1890" s="235"/>
      <c r="Y1890" s="228" t="str">
        <f t="shared" si="55"/>
        <v>TungstenXiamen Tungsten (H.C.) Co., Ltd.</v>
      </c>
    </row>
    <row r="1891" spans="1:25" s="228" customFormat="1" ht="20.25">
      <c r="A1891" s="161" t="s">
        <v>1419</v>
      </c>
      <c r="B1891" s="408" t="s">
        <v>2326</v>
      </c>
      <c r="C1891" s="297" t="str">
        <f>IF(LEN(A1891)=0,"",INDEX('[2]Smelter Reference List'!$C$1:$C$65536,MATCH($A1891,'[2]Smelter Reference List'!$E$1:$E$65536,0)))</f>
        <v>Ganzhou Huaxing Tungsten Products Co., Ltd.</v>
      </c>
      <c r="D1891" s="161" t="s">
        <v>211</v>
      </c>
      <c r="E1891" s="161" t="s">
        <v>2181</v>
      </c>
      <c r="F1891" s="161" t="s">
        <v>1419</v>
      </c>
      <c r="G1891" s="161" t="s">
        <v>3125</v>
      </c>
      <c r="H1891" s="247">
        <v>0</v>
      </c>
      <c r="I1891" s="248" t="s">
        <v>3471</v>
      </c>
      <c r="J1891" s="248" t="s">
        <v>3204</v>
      </c>
      <c r="K1891" s="245"/>
      <c r="L1891" s="245"/>
      <c r="M1891" s="245"/>
      <c r="N1891" s="245"/>
      <c r="O1891" s="245"/>
      <c r="P1891" s="245"/>
      <c r="Q1891" s="246"/>
      <c r="R1891" s="233"/>
      <c r="S1891" s="234">
        <f>IF(C1891="",NA(),MATCH($B1891&amp;$C1891,'Smelter Reference List'!$J:$J,0))</f>
        <v>485</v>
      </c>
      <c r="T1891" s="235"/>
      <c r="U1891" s="235">
        <f t="shared" si="54"/>
        <v>0</v>
      </c>
      <c r="V1891" s="235"/>
      <c r="W1891" s="235"/>
      <c r="Y1891" s="228" t="str">
        <f t="shared" si="55"/>
        <v>TungstenGanzhou Huaxing Tungsten Products Co., Ltd.</v>
      </c>
    </row>
    <row r="1892" spans="1:25" s="228" customFormat="1" ht="20.25">
      <c r="A1892" s="161" t="s">
        <v>722</v>
      </c>
      <c r="B1892" s="408" t="s">
        <v>2326</v>
      </c>
      <c r="C1892" s="297" t="str">
        <f>IF(LEN(A1892)=0,"",INDEX('[2]Smelter Reference List'!$C$1:$C$65536,MATCH($A1892,'[2]Smelter Reference List'!$E$1:$E$65536,0)))</f>
        <v>Ganzhou Seadragon W &amp; Mo Co., Ltd.</v>
      </c>
      <c r="D1892" s="161" t="s">
        <v>721</v>
      </c>
      <c r="E1892" s="161" t="s">
        <v>2181</v>
      </c>
      <c r="F1892" s="161" t="s">
        <v>722</v>
      </c>
      <c r="G1892" s="161" t="s">
        <v>3125</v>
      </c>
      <c r="H1892" s="247">
        <v>0</v>
      </c>
      <c r="I1892" s="248" t="s">
        <v>3471</v>
      </c>
      <c r="J1892" s="248" t="s">
        <v>3204</v>
      </c>
      <c r="K1892" s="245"/>
      <c r="L1892" s="245"/>
      <c r="M1892" s="245"/>
      <c r="N1892" s="245"/>
      <c r="O1892" s="245"/>
      <c r="P1892" s="245"/>
      <c r="Q1892" s="246"/>
      <c r="R1892" s="233"/>
      <c r="S1892" s="234">
        <f>IF(C1892="",NA(),MATCH($B1892&amp;$C1892,'Smelter Reference List'!$J:$J,0))</f>
        <v>488</v>
      </c>
      <c r="T1892" s="235"/>
      <c r="U1892" s="235">
        <f t="shared" si="54"/>
        <v>0</v>
      </c>
      <c r="V1892" s="235"/>
      <c r="W1892" s="235"/>
      <c r="Y1892" s="228" t="str">
        <f t="shared" si="55"/>
        <v>TungstenGanzhou Seadragon W &amp; Mo Co., Ltd.</v>
      </c>
    </row>
    <row r="1893" spans="1:25" s="228" customFormat="1" ht="20.25">
      <c r="A1893" s="161" t="s">
        <v>1416</v>
      </c>
      <c r="B1893" s="408" t="s">
        <v>2326</v>
      </c>
      <c r="C1893" s="297" t="str">
        <f>IF(LEN(A1893)=0,"",INDEX('[2]Smelter Reference List'!$C$1:$C$65536,MATCH($A1893,'[2]Smelter Reference List'!$E$1:$E$65536,0)))</f>
        <v>Hunan Chunchang Nonferrous Metals Co., Ltd.</v>
      </c>
      <c r="D1893" s="161" t="s">
        <v>2661</v>
      </c>
      <c r="E1893" s="161" t="s">
        <v>2181</v>
      </c>
      <c r="F1893" s="161" t="s">
        <v>1416</v>
      </c>
      <c r="G1893" s="161" t="s">
        <v>3125</v>
      </c>
      <c r="H1893" s="247">
        <v>0</v>
      </c>
      <c r="I1893" s="248" t="s">
        <v>3407</v>
      </c>
      <c r="J1893" s="248" t="s">
        <v>3186</v>
      </c>
      <c r="K1893" s="245"/>
      <c r="L1893" s="245"/>
      <c r="M1893" s="245"/>
      <c r="N1893" s="245"/>
      <c r="O1893" s="245"/>
      <c r="P1893" s="245"/>
      <c r="Q1893" s="246"/>
      <c r="R1893" s="233"/>
      <c r="S1893" s="234">
        <f>IF(C1893="",NA(),MATCH($B1893&amp;$C1893,'Smelter Reference List'!$J:$J,0))</f>
        <v>500</v>
      </c>
      <c r="T1893" s="235"/>
      <c r="U1893" s="235">
        <f t="shared" si="54"/>
        <v>0</v>
      </c>
      <c r="V1893" s="235"/>
      <c r="W1893" s="235"/>
      <c r="Y1893" s="228" t="str">
        <f t="shared" si="55"/>
        <v>TungstenHunan Chunchang Nonferrous Metals Co., Ltd.</v>
      </c>
    </row>
    <row r="1894" spans="1:25" s="228" customFormat="1" ht="20.25">
      <c r="A1894" s="161" t="s">
        <v>1411</v>
      </c>
      <c r="B1894" s="408" t="s">
        <v>2326</v>
      </c>
      <c r="C1894" s="297" t="str">
        <f>IF(LEN(A1894)=0,"",INDEX('[2]Smelter Reference List'!$C$1:$C$65536,MATCH($A1894,'[2]Smelter Reference List'!$E$1:$E$65536,0)))</f>
        <v>Chongyi Zhangyuan Tungsten Co., Ltd.</v>
      </c>
      <c r="D1894" s="161" t="s">
        <v>2659</v>
      </c>
      <c r="E1894" s="161" t="s">
        <v>2181</v>
      </c>
      <c r="F1894" s="161" t="s">
        <v>1411</v>
      </c>
      <c r="G1894" s="161" t="s">
        <v>3125</v>
      </c>
      <c r="H1894" s="247">
        <v>0</v>
      </c>
      <c r="I1894" s="248" t="s">
        <v>3471</v>
      </c>
      <c r="J1894" s="248" t="s">
        <v>3204</v>
      </c>
      <c r="K1894" s="245"/>
      <c r="L1894" s="245"/>
      <c r="M1894" s="245"/>
      <c r="N1894" s="245"/>
      <c r="O1894" s="245"/>
      <c r="P1894" s="245"/>
      <c r="Q1894" s="246"/>
      <c r="R1894" s="233"/>
      <c r="S1894" s="234">
        <f>IF(C1894="",NA(),MATCH($B1894&amp;$C1894,'Smelter Reference List'!$J:$J,0))</f>
        <v>480</v>
      </c>
      <c r="T1894" s="235"/>
      <c r="U1894" s="235">
        <f t="shared" si="54"/>
        <v>0</v>
      </c>
      <c r="V1894" s="235"/>
      <c r="W1894" s="235"/>
      <c r="Y1894" s="228" t="str">
        <f t="shared" si="55"/>
        <v>TungstenChongyi Zhangyuan Tungsten Co., Ltd.</v>
      </c>
    </row>
    <row r="1895" spans="1:25" s="228" customFormat="1" ht="20.25">
      <c r="A1895" s="161" t="s">
        <v>722</v>
      </c>
      <c r="B1895" s="418" t="s">
        <v>2326</v>
      </c>
      <c r="C1895" s="297" t="str">
        <f>IF(LEN(A1895)=0,"",INDEX('[2]Smelter Reference List'!$C$1:$C$65536,MATCH($A1895,'[2]Smelter Reference List'!$E$1:$E$65536,0)))</f>
        <v>Ganzhou Seadragon W &amp; Mo Co., Ltd.</v>
      </c>
      <c r="D1895" s="161" t="s">
        <v>721</v>
      </c>
      <c r="E1895" s="161" t="s">
        <v>2181</v>
      </c>
      <c r="F1895" s="161" t="s">
        <v>722</v>
      </c>
      <c r="G1895" s="161" t="s">
        <v>3125</v>
      </c>
      <c r="H1895" s="247">
        <v>0</v>
      </c>
      <c r="I1895" s="248" t="s">
        <v>3471</v>
      </c>
      <c r="J1895" s="248" t="s">
        <v>3204</v>
      </c>
      <c r="K1895" s="245"/>
      <c r="L1895" s="245"/>
      <c r="M1895" s="245"/>
      <c r="N1895" s="245"/>
      <c r="O1895" s="245"/>
      <c r="P1895" s="245"/>
      <c r="Q1895" s="246"/>
      <c r="R1895" s="233"/>
      <c r="S1895" s="234">
        <f>IF(C1895="",NA(),MATCH($B1895&amp;$C1895,'Smelter Reference List'!$J:$J,0))</f>
        <v>488</v>
      </c>
      <c r="T1895" s="235"/>
      <c r="U1895" s="235">
        <f t="shared" si="54"/>
        <v>0</v>
      </c>
      <c r="V1895" s="235"/>
      <c r="W1895" s="235"/>
      <c r="Y1895" s="228" t="str">
        <f t="shared" si="55"/>
        <v>TungstenGanzhou Seadragon W &amp; Mo Co., Ltd.</v>
      </c>
    </row>
    <row r="1896" spans="1:25" s="228" customFormat="1" ht="20.25">
      <c r="A1896" s="161" t="s">
        <v>1416</v>
      </c>
      <c r="B1896" s="418" t="s">
        <v>2326</v>
      </c>
      <c r="C1896" s="297" t="str">
        <f>IF(LEN(A1896)=0,"",INDEX('[2]Smelter Reference List'!$C$1:$C$65536,MATCH($A1896,'[2]Smelter Reference List'!$E$1:$E$65536,0)))</f>
        <v>Hunan Chunchang Nonferrous Metals Co., Ltd.</v>
      </c>
      <c r="D1896" s="161" t="s">
        <v>2661</v>
      </c>
      <c r="E1896" s="161" t="s">
        <v>2181</v>
      </c>
      <c r="F1896" s="161" t="s">
        <v>1416</v>
      </c>
      <c r="G1896" s="161" t="s">
        <v>3125</v>
      </c>
      <c r="H1896" s="247">
        <v>0</v>
      </c>
      <c r="I1896" s="248" t="s">
        <v>3407</v>
      </c>
      <c r="J1896" s="248" t="s">
        <v>3186</v>
      </c>
      <c r="K1896" s="245"/>
      <c r="L1896" s="245"/>
      <c r="M1896" s="245"/>
      <c r="N1896" s="245"/>
      <c r="O1896" s="245"/>
      <c r="P1896" s="245"/>
      <c r="Q1896" s="246"/>
      <c r="R1896" s="233"/>
      <c r="S1896" s="234">
        <f>IF(C1896="",NA(),MATCH($B1896&amp;$C1896,'Smelter Reference List'!$J:$J,0))</f>
        <v>500</v>
      </c>
      <c r="T1896" s="235"/>
      <c r="U1896" s="235">
        <f t="shared" si="54"/>
        <v>0</v>
      </c>
      <c r="V1896" s="235"/>
      <c r="W1896" s="235"/>
      <c r="Y1896" s="228" t="str">
        <f t="shared" si="55"/>
        <v>TungstenHunan Chunchang Nonferrous Metals Co., Ltd.</v>
      </c>
    </row>
    <row r="1897" spans="1:25" s="228" customFormat="1" ht="20.25">
      <c r="A1897" s="161" t="s">
        <v>1423</v>
      </c>
      <c r="B1897" s="418" t="s">
        <v>2326</v>
      </c>
      <c r="C1897" s="297" t="str">
        <f>IF(LEN(A1897)=0,"",INDEX('[2]Smelter Reference List'!$C$1:$C$65536,MATCH($A1897,'[2]Smelter Reference List'!$E$1:$E$65536,0)))</f>
        <v>Xiamen Tungsten Co., Ltd.</v>
      </c>
      <c r="D1897" s="161" t="s">
        <v>2663</v>
      </c>
      <c r="E1897" s="161" t="s">
        <v>2181</v>
      </c>
      <c r="F1897" s="161" t="s">
        <v>1423</v>
      </c>
      <c r="G1897" s="161" t="s">
        <v>3125</v>
      </c>
      <c r="H1897" s="247">
        <v>0</v>
      </c>
      <c r="I1897" s="248" t="s">
        <v>3569</v>
      </c>
      <c r="J1897" s="248" t="s">
        <v>3332</v>
      </c>
      <c r="K1897" s="245"/>
      <c r="L1897" s="245"/>
      <c r="M1897" s="245"/>
      <c r="N1897" s="245"/>
      <c r="O1897" s="245"/>
      <c r="P1897" s="245"/>
      <c r="Q1897" s="246"/>
      <c r="R1897" s="233"/>
      <c r="S1897" s="234">
        <f>IF(C1897="",NA(),MATCH($B1897&amp;$C1897,'Smelter Reference List'!$J:$J,0))</f>
        <v>532</v>
      </c>
      <c r="T1897" s="235"/>
      <c r="U1897" s="235">
        <f t="shared" si="54"/>
        <v>0</v>
      </c>
      <c r="V1897" s="235"/>
      <c r="W1897" s="235"/>
      <c r="Y1897" s="228" t="str">
        <f t="shared" si="55"/>
        <v>TungstenXiamen Tungsten Co., Ltd.</v>
      </c>
    </row>
    <row r="1898" spans="1:25" s="228" customFormat="1" ht="20.25">
      <c r="A1898" s="161" t="s">
        <v>1407</v>
      </c>
      <c r="B1898" s="418" t="s">
        <v>2324</v>
      </c>
      <c r="C1898" s="297" t="str">
        <f>IF(LEN(A1898)=0,"",INDEX('[2]Smelter Reference List'!$C$1:$C$65536,MATCH($A1898,'[2]Smelter Reference List'!$E$1:$E$65536,0)))</f>
        <v>Yunnan Tin Company Limited</v>
      </c>
      <c r="D1898" s="161" t="s">
        <v>4749</v>
      </c>
      <c r="E1898" s="161" t="s">
        <v>2181</v>
      </c>
      <c r="F1898" s="161" t="s">
        <v>1407</v>
      </c>
      <c r="G1898" s="161" t="s">
        <v>3125</v>
      </c>
      <c r="H1898" s="247">
        <v>0</v>
      </c>
      <c r="I1898" s="248" t="s">
        <v>3468</v>
      </c>
      <c r="J1898" s="248" t="s">
        <v>3161</v>
      </c>
      <c r="K1898" s="245"/>
      <c r="L1898" s="245"/>
      <c r="M1898" s="245"/>
      <c r="N1898" s="245"/>
      <c r="O1898" s="245"/>
      <c r="P1898" s="245"/>
      <c r="Q1898" s="246"/>
      <c r="R1898" s="233"/>
      <c r="S1898" s="234">
        <f>IF(C1898="",NA(),MATCH($B1898&amp;$C1898,'Smelter Reference List'!$J:$J,0))</f>
        <v>462</v>
      </c>
      <c r="T1898" s="235"/>
      <c r="U1898" s="235">
        <f t="shared" si="54"/>
        <v>0</v>
      </c>
      <c r="V1898" s="235"/>
      <c r="W1898" s="235"/>
      <c r="Y1898" s="228" t="str">
        <f t="shared" si="55"/>
        <v>TinYunnan Tin Company Limited</v>
      </c>
    </row>
    <row r="1899" spans="1:25" s="228" customFormat="1" ht="20.25">
      <c r="A1899" s="161" t="s">
        <v>1407</v>
      </c>
      <c r="B1899" s="408" t="s">
        <v>2324</v>
      </c>
      <c r="C1899" s="297" t="str">
        <f>IF(LEN(A1899)=0,"",INDEX('[2]Smelter Reference List'!$C$1:$C$65536,MATCH($A1899,'[2]Smelter Reference List'!$E$1:$E$65536,0)))</f>
        <v>Yunnan Tin Company Limited</v>
      </c>
      <c r="D1899" s="161" t="s">
        <v>4749</v>
      </c>
      <c r="E1899" s="161" t="s">
        <v>2181</v>
      </c>
      <c r="F1899" s="161" t="s">
        <v>1407</v>
      </c>
      <c r="G1899" s="161" t="s">
        <v>3125</v>
      </c>
      <c r="H1899" s="247">
        <v>0</v>
      </c>
      <c r="I1899" s="248" t="s">
        <v>3468</v>
      </c>
      <c r="J1899" s="248" t="s">
        <v>3161</v>
      </c>
      <c r="K1899" s="245"/>
      <c r="L1899" s="245"/>
      <c r="M1899" s="245"/>
      <c r="N1899" s="245"/>
      <c r="O1899" s="245"/>
      <c r="P1899" s="245"/>
      <c r="Q1899" s="246"/>
      <c r="R1899" s="233"/>
      <c r="S1899" s="234">
        <f>IF(C1899="",NA(),MATCH($B1899&amp;$C1899,'Smelter Reference List'!$J:$J,0))</f>
        <v>462</v>
      </c>
      <c r="T1899" s="235"/>
      <c r="U1899" s="235">
        <f t="shared" si="54"/>
        <v>0</v>
      </c>
      <c r="V1899" s="235"/>
      <c r="W1899" s="235"/>
      <c r="Y1899" s="228" t="str">
        <f t="shared" si="55"/>
        <v>TinYunnan Tin Company Limited</v>
      </c>
    </row>
    <row r="1900" spans="1:25" s="228" customFormat="1" ht="20.25">
      <c r="A1900" s="161" t="s">
        <v>1407</v>
      </c>
      <c r="B1900" s="408" t="s">
        <v>2324</v>
      </c>
      <c r="C1900" s="297" t="str">
        <f>IF(LEN(A1900)=0,"",INDEX('[2]Smelter Reference List'!$C$1:$C$65536,MATCH($A1900,'[2]Smelter Reference List'!$E$1:$E$65536,0)))</f>
        <v>Yunnan Tin Company Limited</v>
      </c>
      <c r="D1900" s="161" t="s">
        <v>4749</v>
      </c>
      <c r="E1900" s="161" t="s">
        <v>2181</v>
      </c>
      <c r="F1900" s="161" t="s">
        <v>1407</v>
      </c>
      <c r="G1900" s="161" t="s">
        <v>3125</v>
      </c>
      <c r="H1900" s="247">
        <v>0</v>
      </c>
      <c r="I1900" s="248" t="s">
        <v>3468</v>
      </c>
      <c r="J1900" s="248" t="s">
        <v>3161</v>
      </c>
      <c r="K1900" s="245"/>
      <c r="L1900" s="245"/>
      <c r="M1900" s="245"/>
      <c r="N1900" s="245"/>
      <c r="O1900" s="245"/>
      <c r="P1900" s="245"/>
      <c r="Q1900" s="246"/>
      <c r="R1900" s="233"/>
      <c r="S1900" s="234">
        <f>IF(C1900="",NA(),MATCH($B1900&amp;$C1900,'Smelter Reference List'!$J:$J,0))</f>
        <v>462</v>
      </c>
      <c r="T1900" s="235"/>
      <c r="U1900" s="235">
        <f t="shared" si="54"/>
        <v>0</v>
      </c>
      <c r="V1900" s="235"/>
      <c r="W1900" s="235"/>
      <c r="Y1900" s="228" t="str">
        <f t="shared" si="55"/>
        <v>TinYunnan Tin Company Limited</v>
      </c>
    </row>
    <row r="1901" spans="1:25" s="228" customFormat="1" ht="20.25">
      <c r="A1901" s="161" t="s">
        <v>1322</v>
      </c>
      <c r="B1901" s="408" t="s">
        <v>2323</v>
      </c>
      <c r="C1901" s="297" t="str">
        <f>IF(LEN(A1901)=0,"",INDEX('[2]Smelter Reference List'!$C$1:$C$65536,MATCH($A1901,'[2]Smelter Reference List'!$E$1:$E$65536,0)))</f>
        <v>Tanaka Kikinzoku Kogyo K.K.</v>
      </c>
      <c r="D1901" s="161" t="s">
        <v>2457</v>
      </c>
      <c r="E1901" s="161" t="s">
        <v>2249</v>
      </c>
      <c r="F1901" s="161" t="s">
        <v>1322</v>
      </c>
      <c r="G1901" s="161" t="s">
        <v>3125</v>
      </c>
      <c r="H1901" s="247">
        <v>0</v>
      </c>
      <c r="I1901" s="248" t="s">
        <v>3299</v>
      </c>
      <c r="J1901" s="248" t="s">
        <v>3300</v>
      </c>
      <c r="K1901" s="245"/>
      <c r="L1901" s="245"/>
      <c r="M1901" s="245"/>
      <c r="N1901" s="245"/>
      <c r="O1901" s="245"/>
      <c r="P1901" s="245"/>
      <c r="Q1901" s="246"/>
      <c r="R1901" s="233"/>
      <c r="S1901" s="234">
        <f>IF(C1901="",NA(),MATCH($B1901&amp;$C1901,'Smelter Reference List'!$J:$J,0))</f>
        <v>200</v>
      </c>
      <c r="T1901" s="235"/>
      <c r="U1901" s="235">
        <f t="shared" si="54"/>
        <v>0</v>
      </c>
      <c r="V1901" s="235"/>
      <c r="W1901" s="235"/>
      <c r="Y1901" s="228" t="str">
        <f t="shared" si="55"/>
        <v>GoldTanaka Kikinzoku Kogyo K.K.</v>
      </c>
    </row>
    <row r="1902" spans="1:25" s="228" customFormat="1" ht="20.25">
      <c r="A1902" s="161" t="s">
        <v>1423</v>
      </c>
      <c r="B1902" s="408" t="s">
        <v>2326</v>
      </c>
      <c r="C1902" s="297" t="str">
        <f>IF(LEN(A1902)=0,"",INDEX('[2]Smelter Reference List'!$C$1:$C$65536,MATCH($A1902,'[2]Smelter Reference List'!$E$1:$E$65536,0)))</f>
        <v>Xiamen Tungsten Co., Ltd.</v>
      </c>
      <c r="D1902" s="161" t="s">
        <v>2663</v>
      </c>
      <c r="E1902" s="161" t="s">
        <v>2181</v>
      </c>
      <c r="F1902" s="161" t="s">
        <v>1423</v>
      </c>
      <c r="G1902" s="161" t="s">
        <v>3125</v>
      </c>
      <c r="H1902" s="247">
        <v>0</v>
      </c>
      <c r="I1902" s="248" t="s">
        <v>3569</v>
      </c>
      <c r="J1902" s="248" t="s">
        <v>3332</v>
      </c>
      <c r="K1902" s="245"/>
      <c r="L1902" s="245"/>
      <c r="M1902" s="245"/>
      <c r="N1902" s="245"/>
      <c r="O1902" s="245"/>
      <c r="P1902" s="245"/>
      <c r="Q1902" s="246"/>
      <c r="R1902" s="233"/>
      <c r="S1902" s="234">
        <f>IF(C1902="",NA(),MATCH($B1902&amp;$C1902,'Smelter Reference List'!$J:$J,0))</f>
        <v>532</v>
      </c>
      <c r="T1902" s="235"/>
      <c r="U1902" s="235">
        <f t="shared" si="54"/>
        <v>0</v>
      </c>
      <c r="V1902" s="235"/>
      <c r="W1902" s="235"/>
      <c r="Y1902" s="228" t="str">
        <f t="shared" si="55"/>
        <v>TungstenXiamen Tungsten Co., Ltd.</v>
      </c>
    </row>
    <row r="1903" spans="1:25" s="228" customFormat="1" ht="20.25">
      <c r="A1903" s="161" t="s">
        <v>1407</v>
      </c>
      <c r="B1903" s="408" t="s">
        <v>2324</v>
      </c>
      <c r="C1903" s="297" t="str">
        <f>IF(LEN(A1903)=0,"",INDEX('[2]Smelter Reference List'!$C$1:$C$65536,MATCH($A1903,'[2]Smelter Reference List'!$E$1:$E$65536,0)))</f>
        <v>Yunnan Tin Company Limited</v>
      </c>
      <c r="D1903" s="161" t="s">
        <v>4749</v>
      </c>
      <c r="E1903" s="161" t="s">
        <v>2181</v>
      </c>
      <c r="F1903" s="161" t="s">
        <v>1407</v>
      </c>
      <c r="G1903" s="161" t="s">
        <v>3125</v>
      </c>
      <c r="H1903" s="247">
        <v>0</v>
      </c>
      <c r="I1903" s="248" t="s">
        <v>3468</v>
      </c>
      <c r="J1903" s="248" t="s">
        <v>3161</v>
      </c>
      <c r="K1903" s="245"/>
      <c r="L1903" s="245"/>
      <c r="M1903" s="245"/>
      <c r="N1903" s="245"/>
      <c r="O1903" s="245"/>
      <c r="P1903" s="245"/>
      <c r="Q1903" s="246"/>
      <c r="R1903" s="233"/>
      <c r="S1903" s="234">
        <f>IF(C1903="",NA(),MATCH($B1903&amp;$C1903,'Smelter Reference List'!$J:$J,0))</f>
        <v>462</v>
      </c>
      <c r="T1903" s="235"/>
      <c r="U1903" s="235">
        <f t="shared" si="54"/>
        <v>0</v>
      </c>
      <c r="V1903" s="235"/>
      <c r="W1903" s="235"/>
      <c r="Y1903" s="228" t="str">
        <f t="shared" si="55"/>
        <v>TinYunnan Tin Company Limited</v>
      </c>
    </row>
    <row r="1904" spans="1:25" s="228" customFormat="1" ht="20.25">
      <c r="A1904" s="161" t="s">
        <v>1336</v>
      </c>
      <c r="B1904" s="408" t="s">
        <v>2323</v>
      </c>
      <c r="C1904" s="297" t="str">
        <f>IF(LEN(A1904)=0,"",INDEX('[2]Smelter Reference List'!$C$1:$C$65536,MATCH($A1904,'[2]Smelter Reference List'!$E$1:$E$65536,0)))</f>
        <v>Zhongyuan Gold Smelter of Zhongjin Gold Corporation</v>
      </c>
      <c r="D1904" s="161" t="s">
        <v>2575</v>
      </c>
      <c r="E1904" s="161" t="s">
        <v>2181</v>
      </c>
      <c r="F1904" s="161" t="s">
        <v>1336</v>
      </c>
      <c r="G1904" s="161" t="s">
        <v>3125</v>
      </c>
      <c r="H1904" s="247">
        <v>0</v>
      </c>
      <c r="I1904" s="248" t="s">
        <v>3326</v>
      </c>
      <c r="J1904" s="248" t="s">
        <v>3224</v>
      </c>
      <c r="K1904" s="245"/>
      <c r="L1904" s="245"/>
      <c r="M1904" s="245"/>
      <c r="N1904" s="245"/>
      <c r="O1904" s="245"/>
      <c r="P1904" s="245"/>
      <c r="Q1904" s="246"/>
      <c r="R1904" s="233"/>
      <c r="S1904" s="234">
        <f>IF(C1904="",NA(),MATCH($B1904&amp;$C1904,'Smelter Reference List'!$J:$J,0))</f>
        <v>234</v>
      </c>
      <c r="T1904" s="235"/>
      <c r="U1904" s="235">
        <f t="shared" si="54"/>
        <v>0</v>
      </c>
      <c r="V1904" s="235"/>
      <c r="W1904" s="235"/>
      <c r="Y1904" s="228" t="str">
        <f t="shared" si="55"/>
        <v>GoldZhongyuan Gold Smelter of Zhongjin Gold Corporation</v>
      </c>
    </row>
    <row r="1905" spans="1:25" s="228" customFormat="1" ht="20.25">
      <c r="A1905" s="400" t="s">
        <v>1338</v>
      </c>
      <c r="B1905" s="396" t="s">
        <v>2325</v>
      </c>
      <c r="C1905" s="397" t="s">
        <v>3</v>
      </c>
      <c r="D1905" s="396" t="s">
        <v>3</v>
      </c>
      <c r="E1905" s="396" t="s">
        <v>2181</v>
      </c>
      <c r="F1905" s="396" t="s">
        <v>1338</v>
      </c>
      <c r="G1905" s="396" t="s">
        <v>3125</v>
      </c>
      <c r="H1905" s="398" t="s">
        <v>5024</v>
      </c>
      <c r="I1905" s="399" t="s">
        <v>3194</v>
      </c>
      <c r="J1905" s="399" t="s">
        <v>3186</v>
      </c>
      <c r="K1905" s="401" t="s">
        <v>5024</v>
      </c>
      <c r="L1905" s="401" t="s">
        <v>5024</v>
      </c>
      <c r="M1905" s="401" t="s">
        <v>5024</v>
      </c>
      <c r="N1905" s="401" t="s">
        <v>5024</v>
      </c>
      <c r="O1905" s="401" t="s">
        <v>5024</v>
      </c>
      <c r="P1905" s="401" t="s">
        <v>925</v>
      </c>
      <c r="Q1905" s="250" t="s">
        <v>5024</v>
      </c>
      <c r="R1905" s="233"/>
      <c r="S1905" s="234">
        <f>IF(C1905="",NA(),MATCH($B1905&amp;$C1905,'Smelter Reference List'!$J:$J,0))</f>
        <v>240</v>
      </c>
      <c r="T1905" s="235"/>
      <c r="U1905" s="235">
        <f t="shared" si="54"/>
        <v>0</v>
      </c>
      <c r="V1905" s="235"/>
      <c r="W1905" s="235"/>
      <c r="Y1905" s="228" t="str">
        <f t="shared" si="55"/>
        <v>TantalumChangsha South Tantalum Niobium Co., Ltd.</v>
      </c>
    </row>
    <row r="1906" spans="1:25" s="228" customFormat="1" ht="20.25">
      <c r="A1906" s="400" t="s">
        <v>1339</v>
      </c>
      <c r="B1906" s="396" t="s">
        <v>2325</v>
      </c>
      <c r="C1906" s="397" t="s">
        <v>2374</v>
      </c>
      <c r="D1906" s="396" t="s">
        <v>2374</v>
      </c>
      <c r="E1906" s="396" t="s">
        <v>2181</v>
      </c>
      <c r="F1906" s="396" t="s">
        <v>1339</v>
      </c>
      <c r="G1906" s="396" t="s">
        <v>3125</v>
      </c>
      <c r="H1906" s="398" t="s">
        <v>5024</v>
      </c>
      <c r="I1906" s="399" t="s">
        <v>3371</v>
      </c>
      <c r="J1906" s="399" t="s">
        <v>3335</v>
      </c>
      <c r="K1906" s="402" t="s">
        <v>5024</v>
      </c>
      <c r="L1906" s="402" t="s">
        <v>5024</v>
      </c>
      <c r="M1906" s="402" t="s">
        <v>5024</v>
      </c>
      <c r="N1906" s="402" t="s">
        <v>5024</v>
      </c>
      <c r="O1906" s="402" t="s">
        <v>5024</v>
      </c>
      <c r="P1906" s="402" t="s">
        <v>925</v>
      </c>
      <c r="Q1906" s="403" t="s">
        <v>5024</v>
      </c>
      <c r="R1906" s="233"/>
      <c r="S1906" s="234">
        <f>IF(C1906="",NA(),MATCH($B1906&amp;$C1906,'Smelter Reference List'!$J:$J,0))</f>
        <v>242</v>
      </c>
      <c r="T1906" s="235"/>
      <c r="U1906" s="235">
        <f t="shared" si="54"/>
        <v>0</v>
      </c>
      <c r="V1906" s="235"/>
      <c r="W1906" s="235"/>
      <c r="Y1906" s="228" t="str">
        <f t="shared" si="55"/>
        <v>TantalumConghua Tantalum and Niobium Smeltry</v>
      </c>
    </row>
    <row r="1907" spans="1:25" s="228" customFormat="1" ht="20.25">
      <c r="A1907" s="400" t="s">
        <v>2698</v>
      </c>
      <c r="B1907" s="396" t="s">
        <v>2325</v>
      </c>
      <c r="C1907" s="397" t="s">
        <v>2697</v>
      </c>
      <c r="D1907" s="396" t="s">
        <v>2697</v>
      </c>
      <c r="E1907" s="396" t="s">
        <v>5016</v>
      </c>
      <c r="F1907" s="396" t="s">
        <v>2698</v>
      </c>
      <c r="G1907" s="396" t="s">
        <v>3125</v>
      </c>
      <c r="H1907" s="398" t="s">
        <v>5024</v>
      </c>
      <c r="I1907" s="399" t="s">
        <v>3408</v>
      </c>
      <c r="J1907" s="399" t="s">
        <v>3409</v>
      </c>
      <c r="K1907" s="402" t="s">
        <v>5024</v>
      </c>
      <c r="L1907" s="402" t="s">
        <v>5024</v>
      </c>
      <c r="M1907" s="402" t="s">
        <v>5024</v>
      </c>
      <c r="N1907" s="402" t="s">
        <v>5024</v>
      </c>
      <c r="O1907" s="402" t="s">
        <v>5024</v>
      </c>
      <c r="P1907" s="402" t="s">
        <v>925</v>
      </c>
      <c r="Q1907" s="403" t="s">
        <v>5024</v>
      </c>
      <c r="R1907" s="233"/>
      <c r="S1907" s="234">
        <f>IF(C1907="",NA(),MATCH($B1907&amp;$C1907,'Smelter Reference List'!$J:$J,0))</f>
        <v>243</v>
      </c>
      <c r="T1907" s="235"/>
      <c r="U1907" s="235">
        <f t="shared" si="54"/>
        <v>0</v>
      </c>
      <c r="V1907" s="235"/>
      <c r="W1907" s="235"/>
      <c r="Y1907" s="228" t="str">
        <f t="shared" si="55"/>
        <v>TantalumD Block Metals, LLC</v>
      </c>
    </row>
    <row r="1908" spans="1:25" s="228" customFormat="1" ht="20.25">
      <c r="A1908" s="400" t="s">
        <v>1340</v>
      </c>
      <c r="B1908" s="396" t="s">
        <v>2325</v>
      </c>
      <c r="C1908" s="397" t="s">
        <v>2370</v>
      </c>
      <c r="D1908" s="396" t="s">
        <v>2370</v>
      </c>
      <c r="E1908" s="396" t="s">
        <v>2181</v>
      </c>
      <c r="F1908" s="396" t="s">
        <v>1340</v>
      </c>
      <c r="G1908" s="396" t="s">
        <v>3125</v>
      </c>
      <c r="H1908" s="398" t="s">
        <v>5024</v>
      </c>
      <c r="I1908" s="399" t="s">
        <v>3372</v>
      </c>
      <c r="J1908" s="399" t="s">
        <v>3335</v>
      </c>
      <c r="K1908" s="402" t="s">
        <v>5024</v>
      </c>
      <c r="L1908" s="402" t="s">
        <v>5024</v>
      </c>
      <c r="M1908" s="402" t="s">
        <v>5024</v>
      </c>
      <c r="N1908" s="402" t="s">
        <v>5024</v>
      </c>
      <c r="O1908" s="402" t="s">
        <v>5024</v>
      </c>
      <c r="P1908" s="402" t="s">
        <v>925</v>
      </c>
      <c r="Q1908" s="403" t="s">
        <v>5024</v>
      </c>
      <c r="R1908" s="233"/>
      <c r="S1908" s="234">
        <f>IF(C1908="",NA(),MATCH($B1908&amp;$C1908,'Smelter Reference List'!$J:$J,0))</f>
        <v>245</v>
      </c>
      <c r="T1908" s="235"/>
      <c r="U1908" s="235">
        <f t="shared" si="54"/>
        <v>0</v>
      </c>
      <c r="V1908" s="235"/>
      <c r="W1908" s="235"/>
      <c r="Y1908" s="228" t="str">
        <f t="shared" si="55"/>
        <v>TantalumDuoluoshan</v>
      </c>
    </row>
    <row r="1909" spans="1:25" s="228" customFormat="1" ht="20.25">
      <c r="A1909" s="400" t="s">
        <v>1341</v>
      </c>
      <c r="B1909" s="396" t="s">
        <v>2325</v>
      </c>
      <c r="C1909" s="397" t="s">
        <v>2307</v>
      </c>
      <c r="D1909" s="396" t="s">
        <v>2307</v>
      </c>
      <c r="E1909" s="396" t="s">
        <v>5016</v>
      </c>
      <c r="F1909" s="396" t="s">
        <v>1341</v>
      </c>
      <c r="G1909" s="396" t="s">
        <v>3125</v>
      </c>
      <c r="H1909" s="398" t="s">
        <v>5024</v>
      </c>
      <c r="I1909" s="399" t="s">
        <v>3373</v>
      </c>
      <c r="J1909" s="399" t="s">
        <v>3348</v>
      </c>
      <c r="K1909" s="402" t="s">
        <v>5024</v>
      </c>
      <c r="L1909" s="402" t="s">
        <v>5024</v>
      </c>
      <c r="M1909" s="402" t="s">
        <v>5024</v>
      </c>
      <c r="N1909" s="402" t="s">
        <v>5024</v>
      </c>
      <c r="O1909" s="402" t="s">
        <v>5024</v>
      </c>
      <c r="P1909" s="402" t="s">
        <v>925</v>
      </c>
      <c r="Q1909" s="403" t="s">
        <v>5024</v>
      </c>
      <c r="R1909" s="233"/>
      <c r="S1909" s="234">
        <f>IF(C1909="",NA(),MATCH($B1909&amp;$C1909,'Smelter Reference List'!$J:$J,0))</f>
        <v>247</v>
      </c>
      <c r="T1909" s="235"/>
      <c r="U1909" s="235">
        <f t="shared" si="54"/>
        <v>0</v>
      </c>
      <c r="V1909" s="235"/>
      <c r="W1909" s="235"/>
      <c r="Y1909" s="228" t="str">
        <f t="shared" si="55"/>
        <v>TantalumExotech Inc.</v>
      </c>
    </row>
    <row r="1910" spans="1:25" s="228" customFormat="1" ht="20.25">
      <c r="A1910" s="400" t="s">
        <v>1342</v>
      </c>
      <c r="B1910" s="396" t="s">
        <v>2325</v>
      </c>
      <c r="C1910" s="397" t="s">
        <v>63</v>
      </c>
      <c r="D1910" s="396" t="s">
        <v>63</v>
      </c>
      <c r="E1910" s="396" t="s">
        <v>2181</v>
      </c>
      <c r="F1910" s="396" t="s">
        <v>1342</v>
      </c>
      <c r="G1910" s="396" t="s">
        <v>3125</v>
      </c>
      <c r="H1910" s="398" t="s">
        <v>5024</v>
      </c>
      <c r="I1910" s="399" t="s">
        <v>3374</v>
      </c>
      <c r="J1910" s="399" t="s">
        <v>3335</v>
      </c>
      <c r="K1910" s="402" t="s">
        <v>5024</v>
      </c>
      <c r="L1910" s="402" t="s">
        <v>5024</v>
      </c>
      <c r="M1910" s="402" t="s">
        <v>5024</v>
      </c>
      <c r="N1910" s="402" t="s">
        <v>5024</v>
      </c>
      <c r="O1910" s="402" t="s">
        <v>5024</v>
      </c>
      <c r="P1910" s="402" t="s">
        <v>925</v>
      </c>
      <c r="Q1910" s="403" t="s">
        <v>5024</v>
      </c>
      <c r="R1910" s="233"/>
      <c r="S1910" s="234">
        <f>IF(C1910="",NA(),MATCH($B1910&amp;$C1910,'Smelter Reference List'!$J:$J,0))</f>
        <v>249</v>
      </c>
      <c r="T1910" s="235"/>
      <c r="U1910" s="235">
        <f t="shared" si="54"/>
        <v>0</v>
      </c>
      <c r="V1910" s="235"/>
      <c r="W1910" s="235"/>
      <c r="Y1910" s="228" t="str">
        <f t="shared" si="55"/>
        <v>TantalumF&amp;X Electro-Materials Ltd.</v>
      </c>
    </row>
    <row r="1911" spans="1:25" s="228" customFormat="1" ht="20.25">
      <c r="A1911" s="400" t="s">
        <v>2699</v>
      </c>
      <c r="B1911" s="396" t="s">
        <v>2325</v>
      </c>
      <c r="C1911" s="397" t="s">
        <v>4188</v>
      </c>
      <c r="D1911" s="396" t="s">
        <v>4188</v>
      </c>
      <c r="E1911" s="396" t="s">
        <v>2181</v>
      </c>
      <c r="F1911" s="396" t="s">
        <v>2699</v>
      </c>
      <c r="G1911" s="396" t="s">
        <v>3125</v>
      </c>
      <c r="H1911" s="398" t="s">
        <v>5024</v>
      </c>
      <c r="I1911" s="399" t="s">
        <v>3395</v>
      </c>
      <c r="J1911" s="399" t="s">
        <v>3186</v>
      </c>
      <c r="K1911" s="402" t="s">
        <v>5024</v>
      </c>
      <c r="L1911" s="402" t="s">
        <v>5024</v>
      </c>
      <c r="M1911" s="402" t="s">
        <v>5024</v>
      </c>
      <c r="N1911" s="402" t="s">
        <v>5024</v>
      </c>
      <c r="O1911" s="402" t="s">
        <v>5024</v>
      </c>
      <c r="P1911" s="402" t="s">
        <v>925</v>
      </c>
      <c r="Q1911" s="403" t="s">
        <v>5024</v>
      </c>
      <c r="R1911" s="233"/>
      <c r="S1911" s="234">
        <f>IF(C1911="",NA(),MATCH($B1911&amp;$C1911,'Smelter Reference List'!$J:$J,0))</f>
        <v>250</v>
      </c>
      <c r="T1911" s="235"/>
      <c r="U1911" s="235">
        <f t="shared" si="54"/>
        <v>0</v>
      </c>
      <c r="V1911" s="235"/>
      <c r="W1911" s="235"/>
      <c r="Y1911" s="228" t="str">
        <f t="shared" si="55"/>
        <v>TantalumFIR Metals &amp; Resource Ltd.</v>
      </c>
    </row>
    <row r="1912" spans="1:25" s="228" customFormat="1" ht="20.25">
      <c r="A1912" s="400" t="s">
        <v>2734</v>
      </c>
      <c r="B1912" s="396" t="s">
        <v>2325</v>
      </c>
      <c r="C1912" s="397" t="s">
        <v>2733</v>
      </c>
      <c r="D1912" s="396" t="s">
        <v>2733</v>
      </c>
      <c r="E1912" s="396" t="s">
        <v>2249</v>
      </c>
      <c r="F1912" s="396" t="s">
        <v>2734</v>
      </c>
      <c r="G1912" s="396" t="s">
        <v>3125</v>
      </c>
      <c r="H1912" s="398" t="s">
        <v>5024</v>
      </c>
      <c r="I1912" s="399" t="s">
        <v>3429</v>
      </c>
      <c r="J1912" s="399" t="s">
        <v>3143</v>
      </c>
      <c r="K1912" s="402" t="s">
        <v>5024</v>
      </c>
      <c r="L1912" s="402" t="s">
        <v>5024</v>
      </c>
      <c r="M1912" s="402" t="s">
        <v>5024</v>
      </c>
      <c r="N1912" s="402" t="s">
        <v>5024</v>
      </c>
      <c r="O1912" s="402" t="s">
        <v>5024</v>
      </c>
      <c r="P1912" s="402" t="s">
        <v>925</v>
      </c>
      <c r="Q1912" s="403" t="s">
        <v>5024</v>
      </c>
      <c r="R1912" s="233"/>
      <c r="S1912" s="234">
        <f>IF(C1912="",NA(),MATCH($B1912&amp;$C1912,'Smelter Reference List'!$J:$J,0))</f>
        <v>251</v>
      </c>
      <c r="T1912" s="235"/>
      <c r="U1912" s="235">
        <f t="shared" si="54"/>
        <v>0</v>
      </c>
      <c r="V1912" s="235"/>
      <c r="W1912" s="235"/>
      <c r="Y1912" s="228" t="str">
        <f t="shared" si="55"/>
        <v>TantalumGlobal Advanced Metals Aizu</v>
      </c>
    </row>
    <row r="1913" spans="1:25" s="228" customFormat="1" ht="20.25">
      <c r="A1913" s="400" t="s">
        <v>2736</v>
      </c>
      <c r="B1913" s="396" t="s">
        <v>2325</v>
      </c>
      <c r="C1913" s="397" t="s">
        <v>2735</v>
      </c>
      <c r="D1913" s="396" t="s">
        <v>2735</v>
      </c>
      <c r="E1913" s="396" t="s">
        <v>5016</v>
      </c>
      <c r="F1913" s="396" t="s">
        <v>2736</v>
      </c>
      <c r="G1913" s="396" t="s">
        <v>3125</v>
      </c>
      <c r="H1913" s="398" t="s">
        <v>5024</v>
      </c>
      <c r="I1913" s="399" t="s">
        <v>3428</v>
      </c>
      <c r="J1913" s="399" t="s">
        <v>3401</v>
      </c>
      <c r="K1913" s="402" t="s">
        <v>5024</v>
      </c>
      <c r="L1913" s="402" t="s">
        <v>5024</v>
      </c>
      <c r="M1913" s="402" t="s">
        <v>5024</v>
      </c>
      <c r="N1913" s="402" t="s">
        <v>5024</v>
      </c>
      <c r="O1913" s="402" t="s">
        <v>5024</v>
      </c>
      <c r="P1913" s="402" t="s">
        <v>925</v>
      </c>
      <c r="Q1913" s="403" t="s">
        <v>5024</v>
      </c>
      <c r="R1913" s="233"/>
      <c r="S1913" s="234">
        <f>IF(C1913="",NA(),MATCH($B1913&amp;$C1913,'Smelter Reference List'!$J:$J,0))</f>
        <v>252</v>
      </c>
      <c r="T1913" s="235"/>
      <c r="U1913" s="235">
        <f t="shared" si="54"/>
        <v>0</v>
      </c>
      <c r="V1913" s="235"/>
      <c r="W1913" s="235"/>
      <c r="Y1913" s="228" t="str">
        <f t="shared" si="55"/>
        <v>TantalumGlobal Advanced Metals Boyertown</v>
      </c>
    </row>
    <row r="1914" spans="1:25" s="228" customFormat="1" ht="20.25">
      <c r="A1914" s="400" t="s">
        <v>1344</v>
      </c>
      <c r="B1914" s="396" t="s">
        <v>2325</v>
      </c>
      <c r="C1914" s="397" t="s">
        <v>1343</v>
      </c>
      <c r="D1914" s="396" t="s">
        <v>1343</v>
      </c>
      <c r="E1914" s="396" t="s">
        <v>2181</v>
      </c>
      <c r="F1914" s="396" t="s">
        <v>1344</v>
      </c>
      <c r="G1914" s="396" t="s">
        <v>3125</v>
      </c>
      <c r="H1914" s="398" t="s">
        <v>5024</v>
      </c>
      <c r="I1914" s="399" t="s">
        <v>3376</v>
      </c>
      <c r="J1914" s="399" t="s">
        <v>3335</v>
      </c>
      <c r="K1914" s="402" t="s">
        <v>5024</v>
      </c>
      <c r="L1914" s="402" t="s">
        <v>5024</v>
      </c>
      <c r="M1914" s="402" t="s">
        <v>5024</v>
      </c>
      <c r="N1914" s="402" t="s">
        <v>5024</v>
      </c>
      <c r="O1914" s="402" t="s">
        <v>5024</v>
      </c>
      <c r="P1914" s="402" t="s">
        <v>925</v>
      </c>
      <c r="Q1914" s="403" t="s">
        <v>5024</v>
      </c>
      <c r="R1914" s="233"/>
      <c r="S1914" s="234">
        <f>IF(C1914="",NA(),MATCH($B1914&amp;$C1914,'Smelter Reference List'!$J:$J,0))</f>
        <v>253</v>
      </c>
      <c r="T1914" s="235"/>
      <c r="U1914" s="235">
        <f t="shared" si="54"/>
        <v>0</v>
      </c>
      <c r="V1914" s="235"/>
      <c r="W1914" s="235"/>
      <c r="Y1914" s="228" t="str">
        <f t="shared" si="55"/>
        <v>TantalumGuangdong Zhiyuan New Material Co., Ltd.</v>
      </c>
    </row>
    <row r="1915" spans="1:25" s="228" customFormat="1" ht="20.25">
      <c r="A1915" s="400" t="s">
        <v>2738</v>
      </c>
      <c r="B1915" s="396" t="s">
        <v>2325</v>
      </c>
      <c r="C1915" s="397" t="s">
        <v>2737</v>
      </c>
      <c r="D1915" s="396" t="s">
        <v>2737</v>
      </c>
      <c r="E1915" s="396" t="s">
        <v>1743</v>
      </c>
      <c r="F1915" s="396" t="s">
        <v>2738</v>
      </c>
      <c r="G1915" s="396" t="s">
        <v>3125</v>
      </c>
      <c r="H1915" s="398" t="s">
        <v>5024</v>
      </c>
      <c r="I1915" s="399" t="s">
        <v>3416</v>
      </c>
      <c r="J1915" s="399" t="s">
        <v>3417</v>
      </c>
      <c r="K1915" s="402" t="s">
        <v>5024</v>
      </c>
      <c r="L1915" s="402" t="s">
        <v>5024</v>
      </c>
      <c r="M1915" s="402" t="s">
        <v>5024</v>
      </c>
      <c r="N1915" s="402" t="s">
        <v>5024</v>
      </c>
      <c r="O1915" s="402" t="s">
        <v>5024</v>
      </c>
      <c r="P1915" s="402" t="s">
        <v>925</v>
      </c>
      <c r="Q1915" s="403" t="s">
        <v>5024</v>
      </c>
      <c r="R1915" s="233"/>
      <c r="S1915" s="234">
        <f>IF(C1915="",NA(),MATCH($B1915&amp;$C1915,'Smelter Reference List'!$J:$J,0))</f>
        <v>254</v>
      </c>
      <c r="T1915" s="235"/>
      <c r="U1915" s="235">
        <f t="shared" si="54"/>
        <v>0</v>
      </c>
      <c r="V1915" s="235"/>
      <c r="W1915" s="235"/>
      <c r="Y1915" s="228" t="str">
        <f t="shared" si="55"/>
        <v>TantalumH.C. Starck Co., Ltd.</v>
      </c>
    </row>
    <row r="1916" spans="1:25" s="228" customFormat="1" ht="20.25">
      <c r="A1916" s="400" t="s">
        <v>2744</v>
      </c>
      <c r="B1916" s="396" t="s">
        <v>2325</v>
      </c>
      <c r="C1916" s="397" t="s">
        <v>2743</v>
      </c>
      <c r="D1916" s="396" t="s">
        <v>2743</v>
      </c>
      <c r="E1916" s="396" t="s">
        <v>2195</v>
      </c>
      <c r="F1916" s="396" t="s">
        <v>2744</v>
      </c>
      <c r="G1916" s="396" t="s">
        <v>3125</v>
      </c>
      <c r="H1916" s="398" t="s">
        <v>5024</v>
      </c>
      <c r="I1916" s="399" t="s">
        <v>3421</v>
      </c>
      <c r="J1916" s="399" t="s">
        <v>3422</v>
      </c>
      <c r="K1916" s="402" t="s">
        <v>5024</v>
      </c>
      <c r="L1916" s="402" t="s">
        <v>5024</v>
      </c>
      <c r="M1916" s="402" t="s">
        <v>5024</v>
      </c>
      <c r="N1916" s="402" t="s">
        <v>5024</v>
      </c>
      <c r="O1916" s="402" t="s">
        <v>5024</v>
      </c>
      <c r="P1916" s="402" t="s">
        <v>925</v>
      </c>
      <c r="Q1916" s="403" t="s">
        <v>5024</v>
      </c>
      <c r="R1916" s="233"/>
      <c r="S1916" s="234">
        <f>IF(C1916="",NA(),MATCH($B1916&amp;$C1916,'Smelter Reference List'!$J:$J,0))</f>
        <v>257</v>
      </c>
      <c r="T1916" s="235"/>
      <c r="U1916" s="235">
        <f t="shared" si="54"/>
        <v>0</v>
      </c>
      <c r="V1916" s="235"/>
      <c r="W1916" s="235"/>
      <c r="Y1916" s="228" t="str">
        <f t="shared" si="55"/>
        <v>TantalumH.C. Starck Hermsdorf GmbH</v>
      </c>
    </row>
    <row r="1917" spans="1:25" s="228" customFormat="1" ht="20.25">
      <c r="A1917" s="400" t="s">
        <v>2746</v>
      </c>
      <c r="B1917" s="396" t="s">
        <v>2325</v>
      </c>
      <c r="C1917" s="397" t="s">
        <v>2745</v>
      </c>
      <c r="D1917" s="396" t="s">
        <v>2745</v>
      </c>
      <c r="E1917" s="396" t="s">
        <v>5016</v>
      </c>
      <c r="F1917" s="396" t="s">
        <v>2746</v>
      </c>
      <c r="G1917" s="396" t="s">
        <v>3125</v>
      </c>
      <c r="H1917" s="398" t="s">
        <v>5024</v>
      </c>
      <c r="I1917" s="399" t="s">
        <v>3423</v>
      </c>
      <c r="J1917" s="399" t="s">
        <v>3242</v>
      </c>
      <c r="K1917" s="402" t="s">
        <v>5024</v>
      </c>
      <c r="L1917" s="402" t="s">
        <v>5024</v>
      </c>
      <c r="M1917" s="402" t="s">
        <v>5024</v>
      </c>
      <c r="N1917" s="402" t="s">
        <v>5024</v>
      </c>
      <c r="O1917" s="402" t="s">
        <v>5024</v>
      </c>
      <c r="P1917" s="402" t="s">
        <v>925</v>
      </c>
      <c r="Q1917" s="403" t="s">
        <v>5024</v>
      </c>
      <c r="R1917" s="233"/>
      <c r="S1917" s="234">
        <f>IF(C1917="",NA(),MATCH($B1917&amp;$C1917,'Smelter Reference List'!$J:$J,0))</f>
        <v>258</v>
      </c>
      <c r="T1917" s="235"/>
      <c r="U1917" s="235">
        <f t="shared" si="54"/>
        <v>0</v>
      </c>
      <c r="V1917" s="235"/>
      <c r="W1917" s="235"/>
      <c r="Y1917" s="228" t="str">
        <f t="shared" si="55"/>
        <v>TantalumH.C. Starck Inc.</v>
      </c>
    </row>
    <row r="1918" spans="1:25" s="228" customFormat="1" ht="20.25">
      <c r="A1918" s="400" t="s">
        <v>2748</v>
      </c>
      <c r="B1918" s="396" t="s">
        <v>2325</v>
      </c>
      <c r="C1918" s="397" t="s">
        <v>2747</v>
      </c>
      <c r="D1918" s="396" t="s">
        <v>2747</v>
      </c>
      <c r="E1918" s="396" t="s">
        <v>2249</v>
      </c>
      <c r="F1918" s="396" t="s">
        <v>2748</v>
      </c>
      <c r="G1918" s="396" t="s">
        <v>3125</v>
      </c>
      <c r="H1918" s="398" t="s">
        <v>5024</v>
      </c>
      <c r="I1918" s="399" t="s">
        <v>3424</v>
      </c>
      <c r="J1918" s="399" t="s">
        <v>3425</v>
      </c>
      <c r="K1918" s="402" t="s">
        <v>5024</v>
      </c>
      <c r="L1918" s="402" t="s">
        <v>5024</v>
      </c>
      <c r="M1918" s="402" t="s">
        <v>5024</v>
      </c>
      <c r="N1918" s="402" t="s">
        <v>5024</v>
      </c>
      <c r="O1918" s="402" t="s">
        <v>5024</v>
      </c>
      <c r="P1918" s="402" t="s">
        <v>925</v>
      </c>
      <c r="Q1918" s="403" t="s">
        <v>5024</v>
      </c>
      <c r="R1918" s="233"/>
      <c r="S1918" s="234">
        <f>IF(C1918="",NA(),MATCH($B1918&amp;$C1918,'Smelter Reference List'!$J:$J,0))</f>
        <v>259</v>
      </c>
      <c r="T1918" s="235"/>
      <c r="U1918" s="235">
        <f t="shared" si="54"/>
        <v>0</v>
      </c>
      <c r="V1918" s="235"/>
      <c r="W1918" s="235"/>
      <c r="Y1918" s="228" t="str">
        <f t="shared" si="55"/>
        <v>TantalumH.C. Starck Ltd.</v>
      </c>
    </row>
    <row r="1919" spans="1:25" s="228" customFormat="1" ht="20.25">
      <c r="A1919" s="400" t="s">
        <v>2750</v>
      </c>
      <c r="B1919" s="396" t="s">
        <v>2325</v>
      </c>
      <c r="C1919" s="397" t="s">
        <v>4729</v>
      </c>
      <c r="D1919" s="396" t="s">
        <v>4729</v>
      </c>
      <c r="E1919" s="396" t="s">
        <v>2195</v>
      </c>
      <c r="F1919" s="396" t="s">
        <v>2750</v>
      </c>
      <c r="G1919" s="396" t="s">
        <v>3125</v>
      </c>
      <c r="H1919" s="398" t="s">
        <v>5024</v>
      </c>
      <c r="I1919" s="399" t="s">
        <v>3420</v>
      </c>
      <c r="J1919" s="399" t="s">
        <v>3131</v>
      </c>
      <c r="K1919" s="402" t="s">
        <v>5024</v>
      </c>
      <c r="L1919" s="402" t="s">
        <v>5024</v>
      </c>
      <c r="M1919" s="402" t="s">
        <v>5024</v>
      </c>
      <c r="N1919" s="402" t="s">
        <v>5024</v>
      </c>
      <c r="O1919" s="402" t="s">
        <v>5024</v>
      </c>
      <c r="P1919" s="402" t="s">
        <v>925</v>
      </c>
      <c r="Q1919" s="403" t="s">
        <v>5024</v>
      </c>
      <c r="R1919" s="233"/>
      <c r="S1919" s="234">
        <f>IF(C1919="",NA(),MATCH($B1919&amp;$C1919,'Smelter Reference List'!$J:$J,0))</f>
        <v>260</v>
      </c>
      <c r="T1919" s="235"/>
      <c r="U1919" s="235">
        <f t="shared" si="54"/>
        <v>0</v>
      </c>
      <c r="V1919" s="235"/>
      <c r="W1919" s="235"/>
      <c r="Y1919" s="228" t="str">
        <f t="shared" si="55"/>
        <v>TantalumH.C. Starck Smelting GmbH &amp; Co. KG</v>
      </c>
    </row>
    <row r="1920" spans="1:25" s="228" customFormat="1" ht="20.25">
      <c r="A1920" s="400" t="s">
        <v>2740</v>
      </c>
      <c r="B1920" s="396" t="s">
        <v>2325</v>
      </c>
      <c r="C1920" s="397" t="s">
        <v>2739</v>
      </c>
      <c r="D1920" s="396" t="s">
        <v>2739</v>
      </c>
      <c r="E1920" s="396" t="s">
        <v>2195</v>
      </c>
      <c r="F1920" s="396" t="s">
        <v>2740</v>
      </c>
      <c r="G1920" s="396" t="s">
        <v>3125</v>
      </c>
      <c r="H1920" s="398" t="s">
        <v>5024</v>
      </c>
      <c r="I1920" s="399" t="s">
        <v>3418</v>
      </c>
      <c r="J1920" s="399" t="s">
        <v>3419</v>
      </c>
      <c r="K1920" s="402" t="s">
        <v>5024</v>
      </c>
      <c r="L1920" s="402" t="s">
        <v>5024</v>
      </c>
      <c r="M1920" s="402" t="s">
        <v>5024</v>
      </c>
      <c r="N1920" s="402" t="s">
        <v>5024</v>
      </c>
      <c r="O1920" s="402" t="s">
        <v>5024</v>
      </c>
      <c r="P1920" s="402" t="s">
        <v>925</v>
      </c>
      <c r="Q1920" s="403" t="s">
        <v>5024</v>
      </c>
      <c r="R1920" s="233"/>
      <c r="S1920" s="234">
        <f>IF(C1920="",NA(),MATCH($B1920&amp;$C1920,'Smelter Reference List'!$J:$J,0))</f>
        <v>255</v>
      </c>
      <c r="T1920" s="235"/>
      <c r="U1920" s="235">
        <f t="shared" si="54"/>
        <v>0</v>
      </c>
      <c r="V1920" s="235"/>
      <c r="W1920" s="235"/>
      <c r="Y1920" s="228" t="str">
        <f t="shared" si="55"/>
        <v>TantalumH.C. Starck GmbH Goslar</v>
      </c>
    </row>
    <row r="1921" spans="1:25" s="228" customFormat="1" ht="25.5">
      <c r="A1921" s="400" t="s">
        <v>725</v>
      </c>
      <c r="B1921" s="396" t="s">
        <v>2325</v>
      </c>
      <c r="C1921" s="397" t="s">
        <v>4</v>
      </c>
      <c r="D1921" s="396" t="s">
        <v>4</v>
      </c>
      <c r="E1921" s="396" t="s">
        <v>2181</v>
      </c>
      <c r="F1921" s="396" t="s">
        <v>725</v>
      </c>
      <c r="G1921" s="396" t="s">
        <v>3125</v>
      </c>
      <c r="H1921" s="398" t="s">
        <v>5024</v>
      </c>
      <c r="I1921" s="399" t="s">
        <v>3407</v>
      </c>
      <c r="J1921" s="399" t="s">
        <v>3186</v>
      </c>
      <c r="K1921" s="402" t="s">
        <v>5024</v>
      </c>
      <c r="L1921" s="402" t="s">
        <v>5024</v>
      </c>
      <c r="M1921" s="402" t="s">
        <v>5024</v>
      </c>
      <c r="N1921" s="402" t="s">
        <v>5024</v>
      </c>
      <c r="O1921" s="402" t="s">
        <v>5024</v>
      </c>
      <c r="P1921" s="402" t="s">
        <v>925</v>
      </c>
      <c r="Q1921" s="403" t="s">
        <v>5024</v>
      </c>
      <c r="R1921" s="233"/>
      <c r="S1921" s="234">
        <f>IF(C1921="",NA(),MATCH($B1921&amp;$C1921,'Smelter Reference List'!$J:$J,0))</f>
        <v>261</v>
      </c>
      <c r="T1921" s="235"/>
      <c r="U1921" s="235">
        <f t="shared" si="54"/>
        <v>0</v>
      </c>
      <c r="V1921" s="235"/>
      <c r="W1921" s="235"/>
      <c r="Y1921" s="228" t="str">
        <f t="shared" si="55"/>
        <v>TantalumHengyang King Xing Lifeng New Materials Co., Ltd.</v>
      </c>
    </row>
    <row r="1922" spans="1:25" s="228" customFormat="1" ht="20.25">
      <c r="A1922" s="400" t="s">
        <v>1345</v>
      </c>
      <c r="B1922" s="396" t="s">
        <v>2325</v>
      </c>
      <c r="C1922" s="397" t="s">
        <v>3377</v>
      </c>
      <c r="D1922" s="396" t="s">
        <v>3377</v>
      </c>
      <c r="E1922" s="396" t="s">
        <v>5016</v>
      </c>
      <c r="F1922" s="396" t="s">
        <v>1345</v>
      </c>
      <c r="G1922" s="396" t="s">
        <v>3125</v>
      </c>
      <c r="H1922" s="398" t="s">
        <v>5024</v>
      </c>
      <c r="I1922" s="399" t="s">
        <v>3378</v>
      </c>
      <c r="J1922" s="399" t="s">
        <v>3230</v>
      </c>
      <c r="K1922" s="402" t="s">
        <v>5024</v>
      </c>
      <c r="L1922" s="402" t="s">
        <v>5024</v>
      </c>
      <c r="M1922" s="402" t="s">
        <v>5024</v>
      </c>
      <c r="N1922" s="402" t="s">
        <v>5024</v>
      </c>
      <c r="O1922" s="402" t="s">
        <v>5024</v>
      </c>
      <c r="P1922" s="402" t="s">
        <v>925</v>
      </c>
      <c r="Q1922" s="403" t="s">
        <v>5024</v>
      </c>
      <c r="R1922" s="233"/>
      <c r="S1922" s="234">
        <f>IF(C1922="",NA(),MATCH($B1922&amp;$C1922,'Smelter Reference List'!$J:$J,0))</f>
        <v>263</v>
      </c>
      <c r="T1922" s="235"/>
      <c r="U1922" s="235">
        <f t="shared" si="54"/>
        <v>0</v>
      </c>
      <c r="V1922" s="235"/>
      <c r="W1922" s="235"/>
      <c r="Y1922" s="228" t="str">
        <f t="shared" si="55"/>
        <v>TantalumHi-Temp Specialty Metals, Inc.</v>
      </c>
    </row>
    <row r="1923" spans="1:25" s="228" customFormat="1" ht="20.25">
      <c r="A1923" s="400" t="s">
        <v>2700</v>
      </c>
      <c r="B1923" s="396" t="s">
        <v>2325</v>
      </c>
      <c r="C1923" s="397" t="s">
        <v>4192</v>
      </c>
      <c r="D1923" s="396" t="s">
        <v>4192</v>
      </c>
      <c r="E1923" s="396" t="s">
        <v>2181</v>
      </c>
      <c r="F1923" s="396" t="s">
        <v>2700</v>
      </c>
      <c r="G1923" s="396" t="s">
        <v>3125</v>
      </c>
      <c r="H1923" s="398" t="s">
        <v>5024</v>
      </c>
      <c r="I1923" s="399" t="s">
        <v>3411</v>
      </c>
      <c r="J1923" s="399" t="s">
        <v>3204</v>
      </c>
      <c r="K1923" s="402" t="s">
        <v>5024</v>
      </c>
      <c r="L1923" s="402" t="s">
        <v>5024</v>
      </c>
      <c r="M1923" s="402" t="s">
        <v>5024</v>
      </c>
      <c r="N1923" s="402" t="s">
        <v>5024</v>
      </c>
      <c r="O1923" s="402" t="s">
        <v>5024</v>
      </c>
      <c r="P1923" s="402" t="s">
        <v>925</v>
      </c>
      <c r="Q1923" s="403" t="s">
        <v>5024</v>
      </c>
      <c r="R1923" s="233"/>
      <c r="S1923" s="234">
        <f>IF(C1923="",NA(),MATCH($B1923&amp;$C1923,'Smelter Reference List'!$J:$J,0))</f>
        <v>264</v>
      </c>
      <c r="T1923" s="235"/>
      <c r="U1923" s="235">
        <f t="shared" si="54"/>
        <v>0</v>
      </c>
      <c r="V1923" s="235"/>
      <c r="W1923" s="235"/>
      <c r="Y1923" s="228" t="str">
        <f t="shared" si="55"/>
        <v>TantalumJiangxi Dinghai Tantalum &amp; Niobium Co., Ltd.</v>
      </c>
    </row>
    <row r="1924" spans="1:25" s="228" customFormat="1" ht="20.25">
      <c r="A1924" s="400" t="s">
        <v>4371</v>
      </c>
      <c r="B1924" s="396" t="s">
        <v>2325</v>
      </c>
      <c r="C1924" s="397" t="s">
        <v>4370</v>
      </c>
      <c r="D1924" s="396" t="s">
        <v>4370</v>
      </c>
      <c r="E1924" s="396" t="s">
        <v>2181</v>
      </c>
      <c r="F1924" s="396" t="s">
        <v>4371</v>
      </c>
      <c r="G1924" s="396" t="s">
        <v>3125</v>
      </c>
      <c r="H1924" s="398" t="s">
        <v>5024</v>
      </c>
      <c r="I1924" s="399" t="s">
        <v>3406</v>
      </c>
      <c r="J1924" s="399" t="s">
        <v>3204</v>
      </c>
      <c r="K1924" s="402" t="s">
        <v>5024</v>
      </c>
      <c r="L1924" s="402" t="s">
        <v>5024</v>
      </c>
      <c r="M1924" s="402" t="s">
        <v>5024</v>
      </c>
      <c r="N1924" s="402" t="s">
        <v>5024</v>
      </c>
      <c r="O1924" s="402" t="s">
        <v>5024</v>
      </c>
      <c r="P1924" s="402" t="s">
        <v>925</v>
      </c>
      <c r="Q1924" s="403" t="s">
        <v>5024</v>
      </c>
      <c r="R1924" s="233"/>
      <c r="S1924" s="234">
        <f>IF(C1924="",NA(),MATCH($B1924&amp;$C1924,'Smelter Reference List'!$J:$J,0))</f>
        <v>265</v>
      </c>
      <c r="T1924" s="235"/>
      <c r="U1924" s="235">
        <f t="shared" si="54"/>
        <v>0</v>
      </c>
      <c r="V1924" s="235"/>
      <c r="W1924" s="235"/>
      <c r="Y1924" s="228" t="str">
        <f t="shared" si="55"/>
        <v>TantalumJiangxi Tuohong New Raw Material</v>
      </c>
    </row>
    <row r="1925" spans="1:25" s="228" customFormat="1" ht="20.25">
      <c r="A1925" s="400" t="s">
        <v>1346</v>
      </c>
      <c r="B1925" s="396" t="s">
        <v>2325</v>
      </c>
      <c r="C1925" s="397" t="s">
        <v>5</v>
      </c>
      <c r="D1925" s="396" t="s">
        <v>5</v>
      </c>
      <c r="E1925" s="396" t="s">
        <v>2181</v>
      </c>
      <c r="F1925" s="396" t="s">
        <v>1346</v>
      </c>
      <c r="G1925" s="396" t="s">
        <v>3125</v>
      </c>
      <c r="H1925" s="398" t="s">
        <v>5024</v>
      </c>
      <c r="I1925" s="399" t="s">
        <v>3379</v>
      </c>
      <c r="J1925" s="399" t="s">
        <v>3204</v>
      </c>
      <c r="K1925" s="402" t="s">
        <v>5024</v>
      </c>
      <c r="L1925" s="402" t="s">
        <v>5024</v>
      </c>
      <c r="M1925" s="402" t="s">
        <v>5024</v>
      </c>
      <c r="N1925" s="402" t="s">
        <v>5024</v>
      </c>
      <c r="O1925" s="402" t="s">
        <v>5024</v>
      </c>
      <c r="P1925" s="402" t="s">
        <v>925</v>
      </c>
      <c r="Q1925" s="403" t="s">
        <v>5024</v>
      </c>
      <c r="R1925" s="233"/>
      <c r="S1925" s="234">
        <f>IF(C1925="",NA(),MATCH($B1925&amp;$C1925,'Smelter Reference List'!$J:$J,0))</f>
        <v>266</v>
      </c>
      <c r="T1925" s="235"/>
      <c r="U1925" s="235">
        <f t="shared" si="54"/>
        <v>0</v>
      </c>
      <c r="V1925" s="235"/>
      <c r="W1925" s="235"/>
      <c r="Y1925" s="228" t="str">
        <f t="shared" si="55"/>
        <v>TantalumJiuJiang JinXin Nonferrous Metals Co., Ltd.</v>
      </c>
    </row>
    <row r="1926" spans="1:25" s="228" customFormat="1" ht="20.25">
      <c r="A1926" s="400" t="s">
        <v>1347</v>
      </c>
      <c r="B1926" s="396" t="s">
        <v>2325</v>
      </c>
      <c r="C1926" s="397" t="s">
        <v>64</v>
      </c>
      <c r="D1926" s="396" t="s">
        <v>64</v>
      </c>
      <c r="E1926" s="396" t="s">
        <v>2181</v>
      </c>
      <c r="F1926" s="396" t="s">
        <v>1347</v>
      </c>
      <c r="G1926" s="396" t="s">
        <v>3125</v>
      </c>
      <c r="H1926" s="398" t="s">
        <v>5024</v>
      </c>
      <c r="I1926" s="399" t="s">
        <v>3379</v>
      </c>
      <c r="J1926" s="399" t="s">
        <v>3204</v>
      </c>
      <c r="K1926" s="402" t="s">
        <v>5024</v>
      </c>
      <c r="L1926" s="402" t="s">
        <v>5024</v>
      </c>
      <c r="M1926" s="402" t="s">
        <v>5024</v>
      </c>
      <c r="N1926" s="402" t="s">
        <v>5024</v>
      </c>
      <c r="O1926" s="402" t="s">
        <v>5024</v>
      </c>
      <c r="P1926" s="402" t="s">
        <v>925</v>
      </c>
      <c r="Q1926" s="403" t="s">
        <v>5024</v>
      </c>
      <c r="R1926" s="233"/>
      <c r="S1926" s="234">
        <f>IF(C1926="",NA(),MATCH($B1926&amp;$C1926,'Smelter Reference List'!$J:$J,0))</f>
        <v>267</v>
      </c>
      <c r="T1926" s="235"/>
      <c r="U1926" s="235">
        <f t="shared" ref="U1926:U1989" si="56">IF(AND(C1926="Smelter not listed",OR(LEN(D1926)=0,LEN(E1926)=0)),1,0)</f>
        <v>0</v>
      </c>
      <c r="V1926" s="235"/>
      <c r="W1926" s="235"/>
      <c r="Y1926" s="228" t="str">
        <f t="shared" ref="Y1926:Y1989" si="57">B1926&amp;C1926</f>
        <v>TantalumJiujiang Tanbre Co., Ltd.</v>
      </c>
    </row>
    <row r="1927" spans="1:25" s="228" customFormat="1" ht="20.25">
      <c r="A1927" s="400" t="s">
        <v>2701</v>
      </c>
      <c r="B1927" s="396" t="s">
        <v>2325</v>
      </c>
      <c r="C1927" s="397" t="s">
        <v>4189</v>
      </c>
      <c r="D1927" s="396" t="s">
        <v>4189</v>
      </c>
      <c r="E1927" s="396" t="s">
        <v>2181</v>
      </c>
      <c r="F1927" s="396" t="s">
        <v>2701</v>
      </c>
      <c r="G1927" s="396" t="s">
        <v>3125</v>
      </c>
      <c r="H1927" s="398" t="s">
        <v>5024</v>
      </c>
      <c r="I1927" s="399" t="s">
        <v>3379</v>
      </c>
      <c r="J1927" s="399" t="s">
        <v>3204</v>
      </c>
      <c r="K1927" s="402" t="s">
        <v>5024</v>
      </c>
      <c r="L1927" s="402" t="s">
        <v>5024</v>
      </c>
      <c r="M1927" s="402" t="s">
        <v>5024</v>
      </c>
      <c r="N1927" s="402" t="s">
        <v>5024</v>
      </c>
      <c r="O1927" s="402" t="s">
        <v>5024</v>
      </c>
      <c r="P1927" s="402" t="s">
        <v>925</v>
      </c>
      <c r="Q1927" s="403" t="s">
        <v>5024</v>
      </c>
      <c r="R1927" s="233"/>
      <c r="S1927" s="234">
        <f>IF(C1927="",NA(),MATCH($B1927&amp;$C1927,'Smelter Reference List'!$J:$J,0))</f>
        <v>268</v>
      </c>
      <c r="T1927" s="235"/>
      <c r="U1927" s="235">
        <f t="shared" si="56"/>
        <v>0</v>
      </c>
      <c r="V1927" s="235"/>
      <c r="W1927" s="235"/>
      <c r="Y1927" s="228" t="str">
        <f t="shared" si="57"/>
        <v>TantalumJiujiang Zhongao Tantalum &amp; Niobium Co., Ltd.</v>
      </c>
    </row>
    <row r="1928" spans="1:25" s="228" customFormat="1" ht="20.25">
      <c r="A1928" s="400" t="s">
        <v>2752</v>
      </c>
      <c r="B1928" s="396" t="s">
        <v>2325</v>
      </c>
      <c r="C1928" s="397" t="s">
        <v>2751</v>
      </c>
      <c r="D1928" s="396" t="s">
        <v>2751</v>
      </c>
      <c r="E1928" s="396" t="s">
        <v>2275</v>
      </c>
      <c r="F1928" s="396" t="s">
        <v>2752</v>
      </c>
      <c r="G1928" s="396" t="s">
        <v>3125</v>
      </c>
      <c r="H1928" s="398" t="s">
        <v>5024</v>
      </c>
      <c r="I1928" s="399" t="s">
        <v>3412</v>
      </c>
      <c r="J1928" s="399" t="s">
        <v>3413</v>
      </c>
      <c r="K1928" s="402" t="s">
        <v>5024</v>
      </c>
      <c r="L1928" s="402" t="s">
        <v>5024</v>
      </c>
      <c r="M1928" s="402" t="s">
        <v>5024</v>
      </c>
      <c r="N1928" s="402" t="s">
        <v>5024</v>
      </c>
      <c r="O1928" s="402" t="s">
        <v>5024</v>
      </c>
      <c r="P1928" s="402" t="s">
        <v>925</v>
      </c>
      <c r="Q1928" s="403" t="s">
        <v>5024</v>
      </c>
      <c r="R1928" s="233"/>
      <c r="S1928" s="234">
        <f>IF(C1928="",NA(),MATCH($B1928&amp;$C1928,'Smelter Reference List'!$J:$J,0))</f>
        <v>269</v>
      </c>
      <c r="T1928" s="235"/>
      <c r="U1928" s="235">
        <f t="shared" si="56"/>
        <v>0</v>
      </c>
      <c r="V1928" s="235"/>
      <c r="W1928" s="235"/>
      <c r="Y1928" s="228" t="str">
        <f t="shared" si="57"/>
        <v>TantalumKEMET Blue Metals</v>
      </c>
    </row>
    <row r="1929" spans="1:25" s="228" customFormat="1" ht="20.25">
      <c r="A1929" s="400" t="s">
        <v>2769</v>
      </c>
      <c r="B1929" s="396" t="s">
        <v>2325</v>
      </c>
      <c r="C1929" s="397" t="s">
        <v>2768</v>
      </c>
      <c r="D1929" s="396" t="s">
        <v>2768</v>
      </c>
      <c r="E1929" s="396" t="s">
        <v>5016</v>
      </c>
      <c r="F1929" s="396" t="s">
        <v>2769</v>
      </c>
      <c r="G1929" s="396" t="s">
        <v>3125</v>
      </c>
      <c r="H1929" s="398" t="s">
        <v>5024</v>
      </c>
      <c r="I1929" s="399" t="s">
        <v>3430</v>
      </c>
      <c r="J1929" s="399" t="s">
        <v>3431</v>
      </c>
      <c r="K1929" s="402" t="s">
        <v>5024</v>
      </c>
      <c r="L1929" s="402" t="s">
        <v>5024</v>
      </c>
      <c r="M1929" s="402" t="s">
        <v>5024</v>
      </c>
      <c r="N1929" s="402" t="s">
        <v>5024</v>
      </c>
      <c r="O1929" s="402" t="s">
        <v>5024</v>
      </c>
      <c r="P1929" s="402" t="s">
        <v>925</v>
      </c>
      <c r="Q1929" s="403" t="s">
        <v>5024</v>
      </c>
      <c r="R1929" s="233"/>
      <c r="S1929" s="234">
        <f>IF(C1929="",NA(),MATCH($B1929&amp;$C1929,'Smelter Reference List'!$J:$J,0))</f>
        <v>270</v>
      </c>
      <c r="T1929" s="235"/>
      <c r="U1929" s="235">
        <f t="shared" si="56"/>
        <v>0</v>
      </c>
      <c r="V1929" s="235"/>
      <c r="W1929" s="235"/>
      <c r="Y1929" s="228" t="str">
        <f t="shared" si="57"/>
        <v>TantalumKEMET Blue Powder</v>
      </c>
    </row>
    <row r="1930" spans="1:25" s="228" customFormat="1" ht="20.25">
      <c r="A1930" s="400" t="s">
        <v>1348</v>
      </c>
      <c r="B1930" s="396" t="s">
        <v>2325</v>
      </c>
      <c r="C1930" s="397" t="s">
        <v>4157</v>
      </c>
      <c r="D1930" s="396" t="s">
        <v>4157</v>
      </c>
      <c r="E1930" s="396" t="s">
        <v>2181</v>
      </c>
      <c r="F1930" s="396" t="s">
        <v>1348</v>
      </c>
      <c r="G1930" s="396" t="s">
        <v>3125</v>
      </c>
      <c r="H1930" s="398" t="s">
        <v>5024</v>
      </c>
      <c r="I1930" s="399" t="s">
        <v>3380</v>
      </c>
      <c r="J1930" s="399" t="s">
        <v>3204</v>
      </c>
      <c r="K1930" s="402" t="s">
        <v>5024</v>
      </c>
      <c r="L1930" s="402" t="s">
        <v>5024</v>
      </c>
      <c r="M1930" s="402" t="s">
        <v>5024</v>
      </c>
      <c r="N1930" s="402" t="s">
        <v>5024</v>
      </c>
      <c r="O1930" s="402" t="s">
        <v>5024</v>
      </c>
      <c r="P1930" s="402" t="s">
        <v>925</v>
      </c>
      <c r="Q1930" s="403" t="s">
        <v>5024</v>
      </c>
      <c r="R1930" s="233"/>
      <c r="S1930" s="234">
        <f>IF(C1930="",NA(),MATCH($B1930&amp;$C1930,'Smelter Reference List'!$J:$J,0))</f>
        <v>271</v>
      </c>
      <c r="T1930" s="235"/>
      <c r="U1930" s="235">
        <f t="shared" si="56"/>
        <v>0</v>
      </c>
      <c r="V1930" s="235"/>
      <c r="W1930" s="235"/>
      <c r="Y1930" s="228" t="str">
        <f t="shared" si="57"/>
        <v>TantalumKing-Tan Tantalum Industry Ltd.</v>
      </c>
    </row>
    <row r="1931" spans="1:25" s="228" customFormat="1" ht="20.25">
      <c r="A1931" s="400" t="s">
        <v>1349</v>
      </c>
      <c r="B1931" s="396" t="s">
        <v>2325</v>
      </c>
      <c r="C1931" s="397" t="s">
        <v>65</v>
      </c>
      <c r="D1931" s="396" t="s">
        <v>65</v>
      </c>
      <c r="E1931" s="396" t="s">
        <v>2170</v>
      </c>
      <c r="F1931" s="396" t="s">
        <v>1349</v>
      </c>
      <c r="G1931" s="396" t="s">
        <v>3125</v>
      </c>
      <c r="H1931" s="398" t="s">
        <v>5024</v>
      </c>
      <c r="I1931" s="399" t="s">
        <v>3381</v>
      </c>
      <c r="J1931" s="399" t="s">
        <v>3136</v>
      </c>
      <c r="K1931" s="402" t="s">
        <v>5024</v>
      </c>
      <c r="L1931" s="402" t="s">
        <v>5024</v>
      </c>
      <c r="M1931" s="402" t="s">
        <v>5024</v>
      </c>
      <c r="N1931" s="402" t="s">
        <v>5024</v>
      </c>
      <c r="O1931" s="402" t="s">
        <v>5024</v>
      </c>
      <c r="P1931" s="402" t="s">
        <v>925</v>
      </c>
      <c r="Q1931" s="403" t="s">
        <v>5024</v>
      </c>
      <c r="R1931" s="233"/>
      <c r="S1931" s="234">
        <f>IF(C1931="",NA(),MATCH($B1931&amp;$C1931,'Smelter Reference List'!$J:$J,0))</f>
        <v>272</v>
      </c>
      <c r="T1931" s="235"/>
      <c r="U1931" s="235">
        <f t="shared" si="56"/>
        <v>0</v>
      </c>
      <c r="V1931" s="235"/>
      <c r="W1931" s="235"/>
      <c r="Y1931" s="228" t="str">
        <f t="shared" si="57"/>
        <v>TantalumLSM Brasil S.A.</v>
      </c>
    </row>
    <row r="1932" spans="1:25" s="228" customFormat="1" ht="20.25">
      <c r="A1932" s="400" t="s">
        <v>1350</v>
      </c>
      <c r="B1932" s="396" t="s">
        <v>2325</v>
      </c>
      <c r="C1932" s="397" t="s">
        <v>4164</v>
      </c>
      <c r="D1932" s="396" t="s">
        <v>4164</v>
      </c>
      <c r="E1932" s="396" t="s">
        <v>2239</v>
      </c>
      <c r="F1932" s="396" t="s">
        <v>1350</v>
      </c>
      <c r="G1932" s="396" t="s">
        <v>3125</v>
      </c>
      <c r="H1932" s="398" t="s">
        <v>5024</v>
      </c>
      <c r="I1932" s="399" t="s">
        <v>3382</v>
      </c>
      <c r="J1932" s="399" t="s">
        <v>3383</v>
      </c>
      <c r="K1932" s="402" t="s">
        <v>5024</v>
      </c>
      <c r="L1932" s="402" t="s">
        <v>5024</v>
      </c>
      <c r="M1932" s="402" t="s">
        <v>5024</v>
      </c>
      <c r="N1932" s="402" t="s">
        <v>5024</v>
      </c>
      <c r="O1932" s="402" t="s">
        <v>5024</v>
      </c>
      <c r="P1932" s="402" t="s">
        <v>925</v>
      </c>
      <c r="Q1932" s="403" t="s">
        <v>5024</v>
      </c>
      <c r="R1932" s="233"/>
      <c r="S1932" s="234">
        <f>IF(C1932="",NA(),MATCH($B1932&amp;$C1932,'Smelter Reference List'!$J:$J,0))</f>
        <v>274</v>
      </c>
      <c r="T1932" s="235"/>
      <c r="U1932" s="235">
        <f t="shared" si="56"/>
        <v>0</v>
      </c>
      <c r="V1932" s="235"/>
      <c r="W1932" s="235"/>
      <c r="Y1932" s="228" t="str">
        <f t="shared" si="57"/>
        <v>TantalumMetallurgical Products India Pvt., Ltd.</v>
      </c>
    </row>
    <row r="1933" spans="1:25" s="228" customFormat="1" ht="20.25">
      <c r="A1933" s="400" t="s">
        <v>1351</v>
      </c>
      <c r="B1933" s="396" t="s">
        <v>2325</v>
      </c>
      <c r="C1933" s="397" t="s">
        <v>1953</v>
      </c>
      <c r="D1933" s="396" t="s">
        <v>1953</v>
      </c>
      <c r="E1933" s="396" t="s">
        <v>2170</v>
      </c>
      <c r="F1933" s="396" t="s">
        <v>1351</v>
      </c>
      <c r="G1933" s="396" t="s">
        <v>3125</v>
      </c>
      <c r="H1933" s="398" t="s">
        <v>5024</v>
      </c>
      <c r="I1933" s="399" t="s">
        <v>3385</v>
      </c>
      <c r="J1933" s="399" t="s">
        <v>3386</v>
      </c>
      <c r="K1933" s="402" t="s">
        <v>5024</v>
      </c>
      <c r="L1933" s="402" t="s">
        <v>5024</v>
      </c>
      <c r="M1933" s="402" t="s">
        <v>5024</v>
      </c>
      <c r="N1933" s="402" t="s">
        <v>5024</v>
      </c>
      <c r="O1933" s="402" t="s">
        <v>5024</v>
      </c>
      <c r="P1933" s="402" t="s">
        <v>925</v>
      </c>
      <c r="Q1933" s="403" t="s">
        <v>5024</v>
      </c>
      <c r="R1933" s="233"/>
      <c r="S1933" s="234">
        <f>IF(C1933="",NA(),MATCH($B1933&amp;$C1933,'Smelter Reference List'!$J:$J,0))</f>
        <v>275</v>
      </c>
      <c r="T1933" s="235"/>
      <c r="U1933" s="235">
        <f t="shared" si="56"/>
        <v>0</v>
      </c>
      <c r="V1933" s="235"/>
      <c r="W1933" s="235"/>
      <c r="Y1933" s="228" t="str">
        <f t="shared" si="57"/>
        <v>TantalumMineração Taboca S.A.</v>
      </c>
    </row>
    <row r="1934" spans="1:25" s="228" customFormat="1" ht="20.25">
      <c r="A1934" s="400" t="s">
        <v>1352</v>
      </c>
      <c r="B1934" s="396" t="s">
        <v>2325</v>
      </c>
      <c r="C1934" s="397" t="s">
        <v>2454</v>
      </c>
      <c r="D1934" s="396" t="s">
        <v>2454</v>
      </c>
      <c r="E1934" s="396" t="s">
        <v>2249</v>
      </c>
      <c r="F1934" s="396" t="s">
        <v>1352</v>
      </c>
      <c r="G1934" s="396" t="s">
        <v>3125</v>
      </c>
      <c r="H1934" s="398" t="s">
        <v>5024</v>
      </c>
      <c r="I1934" s="399" t="s">
        <v>3387</v>
      </c>
      <c r="J1934" s="399" t="s">
        <v>3388</v>
      </c>
      <c r="K1934" s="402" t="s">
        <v>5024</v>
      </c>
      <c r="L1934" s="402" t="s">
        <v>5024</v>
      </c>
      <c r="M1934" s="402" t="s">
        <v>5024</v>
      </c>
      <c r="N1934" s="402" t="s">
        <v>5024</v>
      </c>
      <c r="O1934" s="402" t="s">
        <v>5024</v>
      </c>
      <c r="P1934" s="402" t="s">
        <v>925</v>
      </c>
      <c r="Q1934" s="403" t="s">
        <v>5024</v>
      </c>
      <c r="R1934" s="233"/>
      <c r="S1934" s="234" t="e">
        <f>IF(C1934="",NA(),MATCH($B1934&amp;$C1934,'Smelter Reference List'!$J:$J,0))</f>
        <v>#N/A</v>
      </c>
      <c r="T1934" s="235"/>
      <c r="U1934" s="235">
        <f t="shared" si="56"/>
        <v>0</v>
      </c>
      <c r="V1934" s="235"/>
      <c r="W1934" s="235"/>
      <c r="Y1934" s="228" t="str">
        <f t="shared" si="57"/>
        <v>TantalumMitsui Mining and Smelting Co., Ltd.</v>
      </c>
    </row>
    <row r="1935" spans="1:25" s="228" customFormat="1" ht="20.25">
      <c r="A1935" s="400" t="s">
        <v>1354</v>
      </c>
      <c r="B1935" s="396" t="s">
        <v>2325</v>
      </c>
      <c r="C1935" s="397" t="s">
        <v>1950</v>
      </c>
      <c r="D1935" s="396" t="s">
        <v>1950</v>
      </c>
      <c r="E1935" s="396" t="s">
        <v>2181</v>
      </c>
      <c r="F1935" s="396" t="s">
        <v>1354</v>
      </c>
      <c r="G1935" s="396" t="s">
        <v>3125</v>
      </c>
      <c r="H1935" s="398" t="s">
        <v>5024</v>
      </c>
      <c r="I1935" s="399" t="s">
        <v>3391</v>
      </c>
      <c r="J1935" s="399" t="s">
        <v>3392</v>
      </c>
      <c r="K1935" s="402" t="s">
        <v>5024</v>
      </c>
      <c r="L1935" s="402" t="s">
        <v>5024</v>
      </c>
      <c r="M1935" s="402" t="s">
        <v>5024</v>
      </c>
      <c r="N1935" s="402" t="s">
        <v>5024</v>
      </c>
      <c r="O1935" s="402" t="s">
        <v>5024</v>
      </c>
      <c r="P1935" s="402" t="s">
        <v>925</v>
      </c>
      <c r="Q1935" s="403" t="s">
        <v>5024</v>
      </c>
      <c r="R1935" s="233"/>
      <c r="S1935" s="234">
        <f>IF(C1935="",NA(),MATCH($B1935&amp;$C1935,'Smelter Reference List'!$J:$J,0))</f>
        <v>278</v>
      </c>
      <c r="T1935" s="235"/>
      <c r="U1935" s="235">
        <f t="shared" si="56"/>
        <v>0</v>
      </c>
      <c r="V1935" s="235"/>
      <c r="W1935" s="235"/>
      <c r="Y1935" s="228" t="str">
        <f t="shared" si="57"/>
        <v>TantalumNingxia Orient Tantalum Industry Co., Ltd.</v>
      </c>
    </row>
    <row r="1936" spans="1:25" s="228" customFormat="1" ht="20.25">
      <c r="A1936" s="400" t="s">
        <v>1353</v>
      </c>
      <c r="B1936" s="396" t="s">
        <v>2325</v>
      </c>
      <c r="C1936" s="397" t="s">
        <v>66</v>
      </c>
      <c r="D1936" s="396" t="s">
        <v>66</v>
      </c>
      <c r="E1936" s="396" t="s">
        <v>2206</v>
      </c>
      <c r="F1936" s="396" t="s">
        <v>1353</v>
      </c>
      <c r="G1936" s="396" t="s">
        <v>3125</v>
      </c>
      <c r="H1936" s="398" t="s">
        <v>5024</v>
      </c>
      <c r="I1936" s="399" t="s">
        <v>3389</v>
      </c>
      <c r="J1936" s="399" t="s">
        <v>3390</v>
      </c>
      <c r="K1936" s="402" t="s">
        <v>5024</v>
      </c>
      <c r="L1936" s="402" t="s">
        <v>5024</v>
      </c>
      <c r="M1936" s="402" t="s">
        <v>5024</v>
      </c>
      <c r="N1936" s="402" t="s">
        <v>5024</v>
      </c>
      <c r="O1936" s="402" t="s">
        <v>5024</v>
      </c>
      <c r="P1936" s="402" t="s">
        <v>925</v>
      </c>
      <c r="Q1936" s="403" t="s">
        <v>5024</v>
      </c>
      <c r="R1936" s="233"/>
      <c r="S1936" s="234">
        <f>IF(C1936="",NA(),MATCH($B1936&amp;$C1936,'Smelter Reference List'!$J:$J,0))</f>
        <v>277</v>
      </c>
      <c r="T1936" s="235"/>
      <c r="U1936" s="235">
        <f t="shared" si="56"/>
        <v>0</v>
      </c>
      <c r="V1936" s="235"/>
      <c r="W1936" s="235"/>
      <c r="Y1936" s="228" t="str">
        <f t="shared" si="57"/>
        <v>TantalumMolycorp Silmet A.S.</v>
      </c>
    </row>
    <row r="1937" spans="1:25" s="228" customFormat="1" ht="20.25">
      <c r="A1937" s="400" t="s">
        <v>2754</v>
      </c>
      <c r="B1937" s="396" t="s">
        <v>2325</v>
      </c>
      <c r="C1937" s="397" t="s">
        <v>2753</v>
      </c>
      <c r="D1937" s="396" t="s">
        <v>2753</v>
      </c>
      <c r="E1937" s="396" t="s">
        <v>2155</v>
      </c>
      <c r="F1937" s="396" t="s">
        <v>2754</v>
      </c>
      <c r="G1937" s="396" t="s">
        <v>3125</v>
      </c>
      <c r="H1937" s="398" t="s">
        <v>5024</v>
      </c>
      <c r="I1937" s="399" t="s">
        <v>3414</v>
      </c>
      <c r="J1937" s="399" t="s">
        <v>3415</v>
      </c>
      <c r="K1937" s="402" t="s">
        <v>5024</v>
      </c>
      <c r="L1937" s="402" t="s">
        <v>5024</v>
      </c>
      <c r="M1937" s="402" t="s">
        <v>5024</v>
      </c>
      <c r="N1937" s="402" t="s">
        <v>5024</v>
      </c>
      <c r="O1937" s="402" t="s">
        <v>5024</v>
      </c>
      <c r="P1937" s="402" t="s">
        <v>925</v>
      </c>
      <c r="Q1937" s="403" t="s">
        <v>5024</v>
      </c>
      <c r="R1937" s="233"/>
      <c r="S1937" s="234">
        <f>IF(C1937="",NA(),MATCH($B1937&amp;$C1937,'Smelter Reference List'!$J:$J,0))</f>
        <v>279</v>
      </c>
      <c r="T1937" s="235"/>
      <c r="U1937" s="235">
        <f t="shared" si="56"/>
        <v>0</v>
      </c>
      <c r="V1937" s="235"/>
      <c r="W1937" s="235"/>
      <c r="Y1937" s="228" t="str">
        <f t="shared" si="57"/>
        <v>TantalumPlansee SE Liezen</v>
      </c>
    </row>
    <row r="1938" spans="1:25" s="228" customFormat="1" ht="20.25">
      <c r="A1938" s="400" t="s">
        <v>2756</v>
      </c>
      <c r="B1938" s="396" t="s">
        <v>2325</v>
      </c>
      <c r="C1938" s="397" t="s">
        <v>2755</v>
      </c>
      <c r="D1938" s="396" t="s">
        <v>2755</v>
      </c>
      <c r="E1938" s="396" t="s">
        <v>2155</v>
      </c>
      <c r="F1938" s="396" t="s">
        <v>2756</v>
      </c>
      <c r="G1938" s="396" t="s">
        <v>3125</v>
      </c>
      <c r="H1938" s="398" t="s">
        <v>5024</v>
      </c>
      <c r="I1938" s="399" t="s">
        <v>3426</v>
      </c>
      <c r="J1938" s="399" t="s">
        <v>3427</v>
      </c>
      <c r="K1938" s="402" t="s">
        <v>5024</v>
      </c>
      <c r="L1938" s="402" t="s">
        <v>5024</v>
      </c>
      <c r="M1938" s="402" t="s">
        <v>5024</v>
      </c>
      <c r="N1938" s="402" t="s">
        <v>5024</v>
      </c>
      <c r="O1938" s="402" t="s">
        <v>5024</v>
      </c>
      <c r="P1938" s="402" t="s">
        <v>925</v>
      </c>
      <c r="Q1938" s="403" t="s">
        <v>5024</v>
      </c>
      <c r="R1938" s="233"/>
      <c r="S1938" s="234">
        <f>IF(C1938="",NA(),MATCH($B1938&amp;$C1938,'Smelter Reference List'!$J:$J,0))</f>
        <v>280</v>
      </c>
      <c r="T1938" s="235"/>
      <c r="U1938" s="235">
        <f t="shared" si="56"/>
        <v>0</v>
      </c>
      <c r="V1938" s="235"/>
      <c r="W1938" s="235"/>
      <c r="Y1938" s="228" t="str">
        <f t="shared" si="57"/>
        <v>TantalumPlansee SE Reutte</v>
      </c>
    </row>
    <row r="1939" spans="1:25" s="228" customFormat="1" ht="20.25">
      <c r="A1939" s="400" t="s">
        <v>1355</v>
      </c>
      <c r="B1939" s="396" t="s">
        <v>2325</v>
      </c>
      <c r="C1939" s="397" t="s">
        <v>1467</v>
      </c>
      <c r="D1939" s="396" t="s">
        <v>1467</v>
      </c>
      <c r="E1939" s="396" t="s">
        <v>5016</v>
      </c>
      <c r="F1939" s="396" t="s">
        <v>1355</v>
      </c>
      <c r="G1939" s="396" t="s">
        <v>3125</v>
      </c>
      <c r="H1939" s="398" t="s">
        <v>5024</v>
      </c>
      <c r="I1939" s="399" t="s">
        <v>3393</v>
      </c>
      <c r="J1939" s="399" t="s">
        <v>3394</v>
      </c>
      <c r="K1939" s="402" t="s">
        <v>5024</v>
      </c>
      <c r="L1939" s="402" t="s">
        <v>5024</v>
      </c>
      <c r="M1939" s="402" t="s">
        <v>5024</v>
      </c>
      <c r="N1939" s="402" t="s">
        <v>5024</v>
      </c>
      <c r="O1939" s="402" t="s">
        <v>5024</v>
      </c>
      <c r="P1939" s="402" t="s">
        <v>924</v>
      </c>
      <c r="Q1939" s="403" t="s">
        <v>5024</v>
      </c>
      <c r="R1939" s="233"/>
      <c r="S1939" s="234">
        <f>IF(C1939="",NA(),MATCH($B1939&amp;$C1939,'Smelter Reference List'!$J:$J,0))</f>
        <v>282</v>
      </c>
      <c r="T1939" s="235"/>
      <c r="U1939" s="235">
        <f t="shared" si="56"/>
        <v>0</v>
      </c>
      <c r="V1939" s="235"/>
      <c r="W1939" s="235"/>
      <c r="Y1939" s="228" t="str">
        <f t="shared" si="57"/>
        <v>TantalumQuantumClean</v>
      </c>
    </row>
    <row r="1940" spans="1:25" s="228" customFormat="1" ht="20.25">
      <c r="A1940" s="400" t="s">
        <v>3435</v>
      </c>
      <c r="B1940" s="396" t="s">
        <v>2325</v>
      </c>
      <c r="C1940" s="397" t="s">
        <v>4294</v>
      </c>
      <c r="D1940" s="396" t="s">
        <v>4294</v>
      </c>
      <c r="E1940" s="396" t="s">
        <v>2170</v>
      </c>
      <c r="F1940" s="396" t="s">
        <v>3435</v>
      </c>
      <c r="G1940" s="396" t="s">
        <v>3125</v>
      </c>
      <c r="H1940" s="398" t="s">
        <v>5024</v>
      </c>
      <c r="I1940" s="399" t="s">
        <v>3381</v>
      </c>
      <c r="J1940" s="399" t="s">
        <v>3436</v>
      </c>
      <c r="K1940" s="402" t="s">
        <v>5024</v>
      </c>
      <c r="L1940" s="402" t="s">
        <v>5024</v>
      </c>
      <c r="M1940" s="402" t="s">
        <v>5024</v>
      </c>
      <c r="N1940" s="402" t="s">
        <v>5024</v>
      </c>
      <c r="O1940" s="402" t="s">
        <v>5024</v>
      </c>
      <c r="P1940" s="402" t="s">
        <v>925</v>
      </c>
      <c r="Q1940" s="403" t="s">
        <v>5024</v>
      </c>
      <c r="R1940" s="233"/>
      <c r="S1940" s="234">
        <f>IF(C1940="",NA(),MATCH($B1940&amp;$C1940,'Smelter Reference List'!$J:$J,0))</f>
        <v>283</v>
      </c>
      <c r="T1940" s="235"/>
      <c r="U1940" s="235">
        <f t="shared" si="56"/>
        <v>0</v>
      </c>
      <c r="V1940" s="235"/>
      <c r="W1940" s="235"/>
      <c r="Y1940" s="228" t="str">
        <f t="shared" si="57"/>
        <v>TantalumResind Indústria e Comércio Ltda.</v>
      </c>
    </row>
    <row r="1941" spans="1:25" s="228" customFormat="1" ht="20.25">
      <c r="A1941" s="400" t="s">
        <v>1357</v>
      </c>
      <c r="B1941" s="396" t="s">
        <v>2325</v>
      </c>
      <c r="C1941" s="397" t="s">
        <v>2658</v>
      </c>
      <c r="D1941" s="396" t="s">
        <v>2658</v>
      </c>
      <c r="E1941" s="396" t="s">
        <v>1717</v>
      </c>
      <c r="F1941" s="396" t="s">
        <v>1357</v>
      </c>
      <c r="G1941" s="396" t="s">
        <v>3125</v>
      </c>
      <c r="H1941" s="398" t="s">
        <v>5024</v>
      </c>
      <c r="I1941" s="399" t="s">
        <v>3396</v>
      </c>
      <c r="J1941" s="399" t="s">
        <v>3397</v>
      </c>
      <c r="K1941" s="402" t="s">
        <v>5024</v>
      </c>
      <c r="L1941" s="402" t="s">
        <v>5024</v>
      </c>
      <c r="M1941" s="402" t="s">
        <v>5024</v>
      </c>
      <c r="N1941" s="402" t="s">
        <v>5024</v>
      </c>
      <c r="O1941" s="402" t="s">
        <v>5024</v>
      </c>
      <c r="P1941" s="402" t="s">
        <v>925</v>
      </c>
      <c r="Q1941" s="403" t="s">
        <v>5024</v>
      </c>
      <c r="R1941" s="233"/>
      <c r="S1941" s="234">
        <f>IF(C1941="",NA(),MATCH($B1941&amp;$C1941,'Smelter Reference List'!$J:$J,0))</f>
        <v>288</v>
      </c>
      <c r="T1941" s="235"/>
      <c r="U1941" s="235">
        <f t="shared" si="56"/>
        <v>0</v>
      </c>
      <c r="V1941" s="235"/>
      <c r="W1941" s="235"/>
      <c r="Y1941" s="228" t="str">
        <f t="shared" si="57"/>
        <v>TantalumSolikamsk Magnesium Works OAO</v>
      </c>
    </row>
    <row r="1942" spans="1:25" s="228" customFormat="1" ht="20.25">
      <c r="A1942" s="400" t="s">
        <v>1358</v>
      </c>
      <c r="B1942" s="396" t="s">
        <v>2325</v>
      </c>
      <c r="C1942" s="397" t="s">
        <v>5019</v>
      </c>
      <c r="D1942" s="396" t="s">
        <v>5019</v>
      </c>
      <c r="E1942" s="396" t="s">
        <v>2249</v>
      </c>
      <c r="F1942" s="396" t="s">
        <v>1358</v>
      </c>
      <c r="G1942" s="396" t="s">
        <v>3125</v>
      </c>
      <c r="H1942" s="398" t="s">
        <v>5024</v>
      </c>
      <c r="I1942" s="399" t="s">
        <v>3398</v>
      </c>
      <c r="J1942" s="399" t="s">
        <v>3140</v>
      </c>
      <c r="K1942" s="402" t="s">
        <v>5024</v>
      </c>
      <c r="L1942" s="402" t="s">
        <v>5024</v>
      </c>
      <c r="M1942" s="402" t="s">
        <v>5024</v>
      </c>
      <c r="N1942" s="402" t="s">
        <v>5024</v>
      </c>
      <c r="O1942" s="402" t="s">
        <v>5024</v>
      </c>
      <c r="P1942" s="402" t="s">
        <v>925</v>
      </c>
      <c r="Q1942" s="403" t="s">
        <v>5024</v>
      </c>
      <c r="R1942" s="233"/>
      <c r="S1942" s="234" t="e">
        <f>IF(C1942="",NA(),MATCH($B1942&amp;$C1942,'Smelter Reference List'!$J:$J,0))</f>
        <v>#N/A</v>
      </c>
      <c r="T1942" s="235"/>
      <c r="U1942" s="235">
        <f t="shared" si="56"/>
        <v>0</v>
      </c>
      <c r="V1942" s="235"/>
      <c r="W1942" s="235"/>
      <c r="Y1942" s="228" t="str">
        <f t="shared" si="57"/>
        <v>TantalumTaki Chemical Co., Ltd.</v>
      </c>
    </row>
    <row r="1943" spans="1:25" s="228" customFormat="1" ht="20.25">
      <c r="A1943" s="400" t="s">
        <v>1359</v>
      </c>
      <c r="B1943" s="396" t="s">
        <v>2325</v>
      </c>
      <c r="C1943" s="397" t="s">
        <v>3399</v>
      </c>
      <c r="D1943" s="396" t="s">
        <v>3399</v>
      </c>
      <c r="E1943" s="396" t="s">
        <v>5016</v>
      </c>
      <c r="F1943" s="396" t="s">
        <v>1359</v>
      </c>
      <c r="G1943" s="396" t="s">
        <v>3125</v>
      </c>
      <c r="H1943" s="398" t="s">
        <v>5024</v>
      </c>
      <c r="I1943" s="399" t="s">
        <v>3400</v>
      </c>
      <c r="J1943" s="399" t="s">
        <v>3401</v>
      </c>
      <c r="K1943" s="402" t="s">
        <v>5024</v>
      </c>
      <c r="L1943" s="402" t="s">
        <v>5024</v>
      </c>
      <c r="M1943" s="402" t="s">
        <v>5024</v>
      </c>
      <c r="N1943" s="402" t="s">
        <v>5024</v>
      </c>
      <c r="O1943" s="402" t="s">
        <v>5024</v>
      </c>
      <c r="P1943" s="402" t="s">
        <v>925</v>
      </c>
      <c r="Q1943" s="403" t="s">
        <v>5024</v>
      </c>
      <c r="R1943" s="233"/>
      <c r="S1943" s="234">
        <f>IF(C1943="",NA(),MATCH($B1943&amp;$C1943,'Smelter Reference List'!$J:$J,0))</f>
        <v>291</v>
      </c>
      <c r="T1943" s="235"/>
      <c r="U1943" s="235">
        <f t="shared" si="56"/>
        <v>0</v>
      </c>
      <c r="V1943" s="235"/>
      <c r="W1943" s="235"/>
      <c r="Y1943" s="228" t="str">
        <f t="shared" si="57"/>
        <v>TantalumTelex Metals</v>
      </c>
    </row>
    <row r="1944" spans="1:25" s="228" customFormat="1" ht="20.25">
      <c r="A1944" s="400" t="s">
        <v>3433</v>
      </c>
      <c r="B1944" s="396" t="s">
        <v>2325</v>
      </c>
      <c r="C1944" s="397" t="s">
        <v>3432</v>
      </c>
      <c r="D1944" s="396" t="s">
        <v>3432</v>
      </c>
      <c r="E1944" s="396" t="s">
        <v>5016</v>
      </c>
      <c r="F1944" s="396" t="s">
        <v>3433</v>
      </c>
      <c r="G1944" s="396" t="s">
        <v>3125</v>
      </c>
      <c r="H1944" s="398" t="s">
        <v>5024</v>
      </c>
      <c r="I1944" s="399" t="s">
        <v>3434</v>
      </c>
      <c r="J1944" s="399" t="s">
        <v>3401</v>
      </c>
      <c r="K1944" s="402" t="s">
        <v>5024</v>
      </c>
      <c r="L1944" s="402" t="s">
        <v>5024</v>
      </c>
      <c r="M1944" s="402" t="s">
        <v>5024</v>
      </c>
      <c r="N1944" s="402" t="s">
        <v>5024</v>
      </c>
      <c r="O1944" s="402" t="s">
        <v>5024</v>
      </c>
      <c r="P1944" s="402" t="s">
        <v>925</v>
      </c>
      <c r="Q1944" s="403" t="s">
        <v>5024</v>
      </c>
      <c r="R1944" s="233"/>
      <c r="S1944" s="234">
        <f>IF(C1944="",NA(),MATCH($B1944&amp;$C1944,'Smelter Reference List'!$J:$J,0))</f>
        <v>292</v>
      </c>
      <c r="T1944" s="235"/>
      <c r="U1944" s="235">
        <f t="shared" si="56"/>
        <v>0</v>
      </c>
      <c r="V1944" s="235"/>
      <c r="W1944" s="235"/>
      <c r="Y1944" s="228" t="str">
        <f t="shared" si="57"/>
        <v>TantalumTranzact, Inc.</v>
      </c>
    </row>
    <row r="1945" spans="1:25" s="228" customFormat="1" ht="20.25">
      <c r="A1945" s="400" t="s">
        <v>1360</v>
      </c>
      <c r="B1945" s="396" t="s">
        <v>2325</v>
      </c>
      <c r="C1945" s="397" t="s">
        <v>3402</v>
      </c>
      <c r="D1945" s="396" t="s">
        <v>3402</v>
      </c>
      <c r="E1945" s="396" t="s">
        <v>2250</v>
      </c>
      <c r="F1945" s="396" t="s">
        <v>1360</v>
      </c>
      <c r="G1945" s="396" t="s">
        <v>3125</v>
      </c>
      <c r="H1945" s="398" t="s">
        <v>5024</v>
      </c>
      <c r="I1945" s="399" t="s">
        <v>3214</v>
      </c>
      <c r="J1945" s="399" t="s">
        <v>3403</v>
      </c>
      <c r="K1945" s="402" t="s">
        <v>5024</v>
      </c>
      <c r="L1945" s="402" t="s">
        <v>5024</v>
      </c>
      <c r="M1945" s="402" t="s">
        <v>5024</v>
      </c>
      <c r="N1945" s="402" t="s">
        <v>5024</v>
      </c>
      <c r="O1945" s="402" t="s">
        <v>5024</v>
      </c>
      <c r="P1945" s="402" t="s">
        <v>925</v>
      </c>
      <c r="Q1945" s="403" t="s">
        <v>5024</v>
      </c>
      <c r="R1945" s="233"/>
      <c r="S1945" s="234">
        <f>IF(C1945="",NA(),MATCH($B1945&amp;$C1945,'Smelter Reference List'!$J:$J,0))</f>
        <v>294</v>
      </c>
      <c r="T1945" s="235"/>
      <c r="U1945" s="235">
        <f t="shared" si="56"/>
        <v>0</v>
      </c>
      <c r="V1945" s="235"/>
      <c r="W1945" s="235"/>
      <c r="Y1945" s="228" t="str">
        <f t="shared" si="57"/>
        <v>TantalumUlba Metallurgical Plant JSC</v>
      </c>
    </row>
    <row r="1946" spans="1:25" s="228" customFormat="1" ht="20.25">
      <c r="A1946" s="400" t="s">
        <v>2703</v>
      </c>
      <c r="B1946" s="396" t="s">
        <v>2325</v>
      </c>
      <c r="C1946" s="397" t="s">
        <v>4190</v>
      </c>
      <c r="D1946" s="396" t="s">
        <v>4190</v>
      </c>
      <c r="E1946" s="396" t="s">
        <v>2181</v>
      </c>
      <c r="F1946" s="396" t="s">
        <v>2703</v>
      </c>
      <c r="G1946" s="396" t="s">
        <v>3125</v>
      </c>
      <c r="H1946" s="398" t="s">
        <v>5024</v>
      </c>
      <c r="I1946" s="399" t="s">
        <v>3410</v>
      </c>
      <c r="J1946" s="399" t="s">
        <v>3335</v>
      </c>
      <c r="K1946" s="402" t="s">
        <v>5024</v>
      </c>
      <c r="L1946" s="402" t="s">
        <v>5024</v>
      </c>
      <c r="M1946" s="402" t="s">
        <v>5024</v>
      </c>
      <c r="N1946" s="402" t="s">
        <v>5024</v>
      </c>
      <c r="O1946" s="402" t="s">
        <v>5024</v>
      </c>
      <c r="P1946" s="402" t="s">
        <v>925</v>
      </c>
      <c r="Q1946" s="403" t="s">
        <v>5024</v>
      </c>
      <c r="R1946" s="233"/>
      <c r="S1946" s="234">
        <f>IF(C1946="",NA(),MATCH($B1946&amp;$C1946,'Smelter Reference List'!$J:$J,0))</f>
        <v>295</v>
      </c>
      <c r="T1946" s="235"/>
      <c r="U1946" s="235">
        <f t="shared" si="56"/>
        <v>0</v>
      </c>
      <c r="V1946" s="235"/>
      <c r="W1946" s="235"/>
      <c r="Y1946" s="228" t="str">
        <f t="shared" si="57"/>
        <v>TantalumXinXing HaoRong Electronic Material Co., Ltd.</v>
      </c>
    </row>
    <row r="1947" spans="1:25" s="228" customFormat="1" ht="20.25">
      <c r="A1947" s="400" t="s">
        <v>1356</v>
      </c>
      <c r="B1947" s="396" t="s">
        <v>2325</v>
      </c>
      <c r="C1947" s="397" t="s">
        <v>4172</v>
      </c>
      <c r="D1947" s="396" t="s">
        <v>4172</v>
      </c>
      <c r="E1947" s="396" t="s">
        <v>2181</v>
      </c>
      <c r="F1947" s="396" t="s">
        <v>1356</v>
      </c>
      <c r="G1947" s="396" t="s">
        <v>3125</v>
      </c>
      <c r="H1947" s="398" t="s">
        <v>5024</v>
      </c>
      <c r="I1947" s="399" t="s">
        <v>3395</v>
      </c>
      <c r="J1947" s="399" t="s">
        <v>3186</v>
      </c>
      <c r="K1947" s="402" t="s">
        <v>5024</v>
      </c>
      <c r="L1947" s="402" t="s">
        <v>5024</v>
      </c>
      <c r="M1947" s="402" t="s">
        <v>5024</v>
      </c>
      <c r="N1947" s="402" t="s">
        <v>5024</v>
      </c>
      <c r="O1947" s="402" t="s">
        <v>5024</v>
      </c>
      <c r="P1947" s="402" t="s">
        <v>925</v>
      </c>
      <c r="Q1947" s="403" t="s">
        <v>5024</v>
      </c>
      <c r="R1947" s="233"/>
      <c r="S1947" s="234">
        <f>IF(C1947="",NA(),MATCH($B1947&amp;$C1947,'Smelter Reference List'!$J:$J,0))</f>
        <v>286</v>
      </c>
      <c r="T1947" s="235"/>
      <c r="U1947" s="235">
        <f t="shared" si="56"/>
        <v>0</v>
      </c>
      <c r="V1947" s="235"/>
      <c r="W1947" s="235"/>
      <c r="Y1947" s="228" t="str">
        <f t="shared" si="57"/>
        <v>TantalumRFH Tantalum Smeltry Co., Ltd.</v>
      </c>
    </row>
    <row r="1948" spans="1:25" s="228" customFormat="1" ht="20.25">
      <c r="A1948" s="400" t="s">
        <v>78</v>
      </c>
      <c r="B1948" s="396" t="s">
        <v>2325</v>
      </c>
      <c r="C1948" s="397" t="s">
        <v>4185</v>
      </c>
      <c r="D1948" s="396" t="s">
        <v>4185</v>
      </c>
      <c r="E1948" s="396" t="s">
        <v>2181</v>
      </c>
      <c r="F1948" s="396" t="s">
        <v>78</v>
      </c>
      <c r="G1948" s="396" t="s">
        <v>3125</v>
      </c>
      <c r="H1948" s="398" t="s">
        <v>5024</v>
      </c>
      <c r="I1948" s="399" t="s">
        <v>3380</v>
      </c>
      <c r="J1948" s="399" t="s">
        <v>3204</v>
      </c>
      <c r="K1948" s="402" t="s">
        <v>5024</v>
      </c>
      <c r="L1948" s="402" t="s">
        <v>5024</v>
      </c>
      <c r="M1948" s="402" t="s">
        <v>5024</v>
      </c>
      <c r="N1948" s="402" t="s">
        <v>5024</v>
      </c>
      <c r="O1948" s="402" t="s">
        <v>5024</v>
      </c>
      <c r="P1948" s="402" t="s">
        <v>925</v>
      </c>
      <c r="Q1948" s="403" t="s">
        <v>5024</v>
      </c>
      <c r="R1948" s="233"/>
      <c r="S1948" s="234">
        <f>IF(C1948="",NA(),MATCH($B1948&amp;$C1948,'Smelter Reference List'!$J:$J,0))</f>
        <v>296</v>
      </c>
      <c r="T1948" s="235"/>
      <c r="U1948" s="235">
        <f t="shared" si="56"/>
        <v>0</v>
      </c>
      <c r="V1948" s="235"/>
      <c r="W1948" s="235"/>
      <c r="Y1948" s="228" t="str">
        <f t="shared" si="57"/>
        <v>TantalumYichun Jin Yang Rare Metal Co., Ltd.</v>
      </c>
    </row>
    <row r="1949" spans="1:25" s="228" customFormat="1" ht="20.25">
      <c r="A1949" s="400" t="s">
        <v>1361</v>
      </c>
      <c r="B1949" s="396" t="s">
        <v>2325</v>
      </c>
      <c r="C1949" s="397" t="s">
        <v>5020</v>
      </c>
      <c r="D1949" s="396" t="s">
        <v>5020</v>
      </c>
      <c r="E1949" s="396" t="s">
        <v>2181</v>
      </c>
      <c r="F1949" s="396" t="s">
        <v>1361</v>
      </c>
      <c r="G1949" s="396" t="s">
        <v>3125</v>
      </c>
      <c r="H1949" s="398" t="s">
        <v>5024</v>
      </c>
      <c r="I1949" s="399" t="s">
        <v>3395</v>
      </c>
      <c r="J1949" s="399" t="s">
        <v>3186</v>
      </c>
      <c r="K1949" s="402" t="s">
        <v>5024</v>
      </c>
      <c r="L1949" s="402" t="s">
        <v>5024</v>
      </c>
      <c r="M1949" s="402" t="s">
        <v>5024</v>
      </c>
      <c r="N1949" s="402" t="s">
        <v>5024</v>
      </c>
      <c r="O1949" s="402" t="s">
        <v>5024</v>
      </c>
      <c r="P1949" s="402" t="s">
        <v>925</v>
      </c>
      <c r="Q1949" s="403" t="s">
        <v>5024</v>
      </c>
      <c r="R1949" s="233"/>
      <c r="S1949" s="234" t="e">
        <f>IF(C1949="",NA(),MATCH($B1949&amp;$C1949,'Smelter Reference List'!$J:$J,0))</f>
        <v>#N/A</v>
      </c>
      <c r="T1949" s="235"/>
      <c r="U1949" s="235">
        <f t="shared" si="56"/>
        <v>0</v>
      </c>
      <c r="V1949" s="235"/>
      <c r="W1949" s="235"/>
      <c r="Y1949" s="228" t="str">
        <f t="shared" si="57"/>
        <v>TantalumZhuzhou Cemented Carbide Group Co., Ltd.</v>
      </c>
    </row>
    <row r="1950" spans="1:25" s="228" customFormat="1" ht="20.25">
      <c r="A1950" s="400" t="s">
        <v>1364</v>
      </c>
      <c r="B1950" s="396" t="s">
        <v>2324</v>
      </c>
      <c r="C1950" s="397" t="s">
        <v>67</v>
      </c>
      <c r="D1950" s="396" t="s">
        <v>67</v>
      </c>
      <c r="E1950" s="396" t="s">
        <v>5016</v>
      </c>
      <c r="F1950" s="396" t="s">
        <v>1364</v>
      </c>
      <c r="G1950" s="396" t="s">
        <v>3125</v>
      </c>
      <c r="H1950" s="398" t="s">
        <v>5024</v>
      </c>
      <c r="I1950" s="399" t="s">
        <v>3444</v>
      </c>
      <c r="J1950" s="399" t="s">
        <v>3401</v>
      </c>
      <c r="K1950" s="402" t="s">
        <v>5024</v>
      </c>
      <c r="L1950" s="402" t="s">
        <v>5024</v>
      </c>
      <c r="M1950" s="402" t="s">
        <v>5024</v>
      </c>
      <c r="N1950" s="402" t="s">
        <v>5024</v>
      </c>
      <c r="O1950" s="402" t="s">
        <v>5024</v>
      </c>
      <c r="P1950" s="402" t="s">
        <v>925</v>
      </c>
      <c r="Q1950" s="403" t="s">
        <v>5024</v>
      </c>
      <c r="R1950" s="233"/>
      <c r="S1950" s="234">
        <f>IF(C1950="",NA(),MATCH($B1950&amp;$C1950,'Smelter Reference List'!$J:$J,0))</f>
        <v>304</v>
      </c>
      <c r="T1950" s="235"/>
      <c r="U1950" s="235">
        <f t="shared" si="56"/>
        <v>0</v>
      </c>
      <c r="V1950" s="235"/>
      <c r="W1950" s="235"/>
      <c r="Y1950" s="228" t="str">
        <f t="shared" si="57"/>
        <v>TinAlpha</v>
      </c>
    </row>
    <row r="1951" spans="1:25" s="228" customFormat="1" ht="25.5">
      <c r="A1951" s="400" t="s">
        <v>4141</v>
      </c>
      <c r="B1951" s="396" t="s">
        <v>2324</v>
      </c>
      <c r="C1951" s="397" t="s">
        <v>4140</v>
      </c>
      <c r="D1951" s="396" t="s">
        <v>4140</v>
      </c>
      <c r="E1951" s="396" t="s">
        <v>1766</v>
      </c>
      <c r="F1951" s="396" t="s">
        <v>4141</v>
      </c>
      <c r="G1951" s="396" t="s">
        <v>3125</v>
      </c>
      <c r="H1951" s="398" t="s">
        <v>5024</v>
      </c>
      <c r="I1951" s="399" t="s">
        <v>3537</v>
      </c>
      <c r="J1951" s="399" t="s">
        <v>3538</v>
      </c>
      <c r="K1951" s="402" t="s">
        <v>5024</v>
      </c>
      <c r="L1951" s="402" t="s">
        <v>5024</v>
      </c>
      <c r="M1951" s="402" t="s">
        <v>5024</v>
      </c>
      <c r="N1951" s="402" t="s">
        <v>5024</v>
      </c>
      <c r="O1951" s="402" t="s">
        <v>5024</v>
      </c>
      <c r="P1951" s="402" t="s">
        <v>5024</v>
      </c>
      <c r="Q1951" s="403" t="s">
        <v>5024</v>
      </c>
      <c r="R1951" s="233"/>
      <c r="S1951" s="234">
        <f>IF(C1951="",NA(),MATCH($B1951&amp;$C1951,'Smelter Reference List'!$J:$J,0))</f>
        <v>309</v>
      </c>
      <c r="T1951" s="235"/>
      <c r="U1951" s="235">
        <f t="shared" si="56"/>
        <v>0</v>
      </c>
      <c r="V1951" s="235"/>
      <c r="W1951" s="235"/>
      <c r="Y1951" s="228" t="str">
        <f t="shared" si="57"/>
        <v>TinAn Vinh Joint Stock Mineral Processing Company</v>
      </c>
    </row>
    <row r="1952" spans="1:25" s="228" customFormat="1" ht="25.5">
      <c r="A1952" s="400" t="s">
        <v>4393</v>
      </c>
      <c r="B1952" s="396" t="s">
        <v>2324</v>
      </c>
      <c r="C1952" s="397" t="s">
        <v>4733</v>
      </c>
      <c r="D1952" s="396" t="s">
        <v>4733</v>
      </c>
      <c r="E1952" s="396" t="s">
        <v>2181</v>
      </c>
      <c r="F1952" s="396" t="s">
        <v>4393</v>
      </c>
      <c r="G1952" s="396" t="s">
        <v>3125</v>
      </c>
      <c r="H1952" s="398" t="s">
        <v>5024</v>
      </c>
      <c r="I1952" s="399" t="s">
        <v>4845</v>
      </c>
      <c r="J1952" s="399" t="s">
        <v>3186</v>
      </c>
      <c r="K1952" s="402" t="s">
        <v>5024</v>
      </c>
      <c r="L1952" s="402" t="s">
        <v>5024</v>
      </c>
      <c r="M1952" s="402" t="s">
        <v>5024</v>
      </c>
      <c r="N1952" s="402" t="s">
        <v>5024</v>
      </c>
      <c r="O1952" s="402" t="s">
        <v>5024</v>
      </c>
      <c r="P1952" s="402" t="s">
        <v>925</v>
      </c>
      <c r="Q1952" s="403" t="s">
        <v>5024</v>
      </c>
      <c r="R1952" s="233"/>
      <c r="S1952" s="234">
        <f>IF(C1952="",NA(),MATCH($B1952&amp;$C1952,'Smelter Reference List'!$J:$J,0))</f>
        <v>315</v>
      </c>
      <c r="T1952" s="235"/>
      <c r="U1952" s="235">
        <f t="shared" si="56"/>
        <v>0</v>
      </c>
      <c r="V1952" s="235"/>
      <c r="W1952" s="235"/>
      <c r="Y1952" s="228" t="str">
        <f t="shared" si="57"/>
        <v>TinChenzhou Yunxiang Mining and Metallurgy Co., Ltd.</v>
      </c>
    </row>
    <row r="1953" spans="1:25" s="228" customFormat="1" ht="20.25">
      <c r="A1953" s="400" t="s">
        <v>1377</v>
      </c>
      <c r="B1953" s="396" t="s">
        <v>2324</v>
      </c>
      <c r="C1953" s="397" t="s">
        <v>2578</v>
      </c>
      <c r="D1953" s="396" t="s">
        <v>2578</v>
      </c>
      <c r="E1953" s="396" t="s">
        <v>2181</v>
      </c>
      <c r="F1953" s="396" t="s">
        <v>1377</v>
      </c>
      <c r="G1953" s="396" t="s">
        <v>3125</v>
      </c>
      <c r="H1953" s="398" t="s">
        <v>5024</v>
      </c>
      <c r="I1953" s="399" t="s">
        <v>3476</v>
      </c>
      <c r="J1953" s="399" t="s">
        <v>3442</v>
      </c>
      <c r="K1953" s="402" t="s">
        <v>5024</v>
      </c>
      <c r="L1953" s="402" t="s">
        <v>5024</v>
      </c>
      <c r="M1953" s="402" t="s">
        <v>5024</v>
      </c>
      <c r="N1953" s="402" t="s">
        <v>5024</v>
      </c>
      <c r="O1953" s="402" t="s">
        <v>5024</v>
      </c>
      <c r="P1953" s="402" t="s">
        <v>925</v>
      </c>
      <c r="Q1953" s="403" t="s">
        <v>5024</v>
      </c>
      <c r="R1953" s="233"/>
      <c r="S1953" s="234">
        <f>IF(C1953="",NA(),MATCH($B1953&amp;$C1953,'Smelter Reference List'!$J:$J,0))</f>
        <v>318</v>
      </c>
      <c r="T1953" s="235"/>
      <c r="U1953" s="235">
        <f t="shared" si="56"/>
        <v>0</v>
      </c>
      <c r="V1953" s="235"/>
      <c r="W1953" s="235"/>
      <c r="Y1953" s="228" t="str">
        <f t="shared" si="57"/>
        <v>TinChina Tin Group Co., Ltd.</v>
      </c>
    </row>
    <row r="1954" spans="1:25" s="228" customFormat="1" ht="20.25">
      <c r="A1954" s="400" t="s">
        <v>1365</v>
      </c>
      <c r="B1954" s="396" t="s">
        <v>2324</v>
      </c>
      <c r="C1954" s="397" t="s">
        <v>3450</v>
      </c>
      <c r="D1954" s="396" t="s">
        <v>3450</v>
      </c>
      <c r="E1954" s="396" t="s">
        <v>2170</v>
      </c>
      <c r="F1954" s="396" t="s">
        <v>1365</v>
      </c>
      <c r="G1954" s="396" t="s">
        <v>3125</v>
      </c>
      <c r="H1954" s="398" t="s">
        <v>5024</v>
      </c>
      <c r="I1954" s="399" t="s">
        <v>3451</v>
      </c>
      <c r="J1954" s="399" t="s">
        <v>3452</v>
      </c>
      <c r="K1954" s="402" t="s">
        <v>5024</v>
      </c>
      <c r="L1954" s="402" t="s">
        <v>5024</v>
      </c>
      <c r="M1954" s="402" t="s">
        <v>5024</v>
      </c>
      <c r="N1954" s="402" t="s">
        <v>5024</v>
      </c>
      <c r="O1954" s="402" t="s">
        <v>5024</v>
      </c>
      <c r="P1954" s="402" t="s">
        <v>925</v>
      </c>
      <c r="Q1954" s="403" t="s">
        <v>5024</v>
      </c>
      <c r="R1954" s="233"/>
      <c r="S1954" s="234">
        <f>IF(C1954="",NA(),MATCH($B1954&amp;$C1954,'Smelter Reference List'!$J:$J,0))</f>
        <v>326</v>
      </c>
      <c r="T1954" s="235"/>
      <c r="U1954" s="235">
        <f t="shared" si="56"/>
        <v>0</v>
      </c>
      <c r="V1954" s="235"/>
      <c r="W1954" s="235"/>
      <c r="Y1954" s="228" t="str">
        <f t="shared" si="57"/>
        <v>TinCooperativa Metalurgica de Rondônia Ltda.</v>
      </c>
    </row>
    <row r="1955" spans="1:25" s="228" customFormat="1" ht="20.25">
      <c r="A1955" s="400" t="s">
        <v>3530</v>
      </c>
      <c r="B1955" s="396" t="s">
        <v>2324</v>
      </c>
      <c r="C1955" s="397" t="s">
        <v>3529</v>
      </c>
      <c r="D1955" s="396" t="s">
        <v>3529</v>
      </c>
      <c r="E1955" s="396" t="s">
        <v>2238</v>
      </c>
      <c r="F1955" s="396" t="s">
        <v>3530</v>
      </c>
      <c r="G1955" s="396" t="s">
        <v>3125</v>
      </c>
      <c r="H1955" s="398" t="s">
        <v>5024</v>
      </c>
      <c r="I1955" s="399" t="s">
        <v>3453</v>
      </c>
      <c r="J1955" s="399" t="s">
        <v>3454</v>
      </c>
      <c r="K1955" s="402" t="s">
        <v>5024</v>
      </c>
      <c r="L1955" s="402" t="s">
        <v>5024</v>
      </c>
      <c r="M1955" s="402" t="s">
        <v>5024</v>
      </c>
      <c r="N1955" s="402" t="s">
        <v>5024</v>
      </c>
      <c r="O1955" s="402" t="s">
        <v>5024</v>
      </c>
      <c r="P1955" s="402" t="s">
        <v>925</v>
      </c>
      <c r="Q1955" s="403" t="s">
        <v>5024</v>
      </c>
      <c r="R1955" s="233"/>
      <c r="S1955" s="234">
        <f>IF(C1955="",NA(),MATCH($B1955&amp;$C1955,'Smelter Reference List'!$J:$J,0))</f>
        <v>328</v>
      </c>
      <c r="T1955" s="235"/>
      <c r="U1955" s="235">
        <f t="shared" si="56"/>
        <v>0</v>
      </c>
      <c r="V1955" s="235"/>
      <c r="W1955" s="235"/>
      <c r="Y1955" s="228" t="str">
        <f t="shared" si="57"/>
        <v>TinCV Ayi Jaya</v>
      </c>
    </row>
    <row r="1956" spans="1:25" s="228" customFormat="1" ht="20.25">
      <c r="A1956" s="400" t="s">
        <v>4390</v>
      </c>
      <c r="B1956" s="396" t="s">
        <v>2324</v>
      </c>
      <c r="C1956" s="397" t="s">
        <v>4389</v>
      </c>
      <c r="D1956" s="396" t="s">
        <v>4389</v>
      </c>
      <c r="E1956" s="396" t="s">
        <v>2238</v>
      </c>
      <c r="F1956" s="396" t="s">
        <v>4390</v>
      </c>
      <c r="G1956" s="396" t="s">
        <v>3125</v>
      </c>
      <c r="H1956" s="398" t="s">
        <v>5024</v>
      </c>
      <c r="I1956" s="399" t="s">
        <v>3457</v>
      </c>
      <c r="J1956" s="399" t="s">
        <v>3454</v>
      </c>
      <c r="K1956" s="402" t="s">
        <v>5024</v>
      </c>
      <c r="L1956" s="402" t="s">
        <v>5024</v>
      </c>
      <c r="M1956" s="402" t="s">
        <v>5024</v>
      </c>
      <c r="N1956" s="402" t="s">
        <v>5024</v>
      </c>
      <c r="O1956" s="402" t="s">
        <v>5024</v>
      </c>
      <c r="P1956" s="402" t="s">
        <v>925</v>
      </c>
      <c r="Q1956" s="403" t="s">
        <v>5024</v>
      </c>
      <c r="R1956" s="233"/>
      <c r="S1956" s="234">
        <f>IF(C1956="",NA(),MATCH($B1956&amp;$C1956,'Smelter Reference List'!$J:$J,0))</f>
        <v>329</v>
      </c>
      <c r="T1956" s="235"/>
      <c r="U1956" s="235">
        <f t="shared" si="56"/>
        <v>0</v>
      </c>
      <c r="V1956" s="235"/>
      <c r="W1956" s="235"/>
      <c r="Y1956" s="228" t="str">
        <f t="shared" si="57"/>
        <v>TinCV Dua Sekawan</v>
      </c>
    </row>
    <row r="1957" spans="1:25" s="228" customFormat="1" ht="20.25">
      <c r="A1957" s="400" t="s">
        <v>2665</v>
      </c>
      <c r="B1957" s="396" t="s">
        <v>2324</v>
      </c>
      <c r="C1957" s="397" t="s">
        <v>2664</v>
      </c>
      <c r="D1957" s="396" t="s">
        <v>2664</v>
      </c>
      <c r="E1957" s="396" t="s">
        <v>2238</v>
      </c>
      <c r="F1957" s="396" t="s">
        <v>2665</v>
      </c>
      <c r="G1957" s="396" t="s">
        <v>3125</v>
      </c>
      <c r="H1957" s="398" t="s">
        <v>5024</v>
      </c>
      <c r="I1957" s="399" t="s">
        <v>3453</v>
      </c>
      <c r="J1957" s="399" t="s">
        <v>3454</v>
      </c>
      <c r="K1957" s="402" t="s">
        <v>5024</v>
      </c>
      <c r="L1957" s="402" t="s">
        <v>5024</v>
      </c>
      <c r="M1957" s="402" t="s">
        <v>5024</v>
      </c>
      <c r="N1957" s="402" t="s">
        <v>5024</v>
      </c>
      <c r="O1957" s="402" t="s">
        <v>5024</v>
      </c>
      <c r="P1957" s="402" t="s">
        <v>925</v>
      </c>
      <c r="Q1957" s="403" t="s">
        <v>5024</v>
      </c>
      <c r="R1957" s="233"/>
      <c r="S1957" s="234">
        <f>IF(C1957="",NA(),MATCH($B1957&amp;$C1957,'Smelter Reference List'!$J:$J,0))</f>
        <v>330</v>
      </c>
      <c r="T1957" s="235"/>
      <c r="U1957" s="235">
        <f t="shared" si="56"/>
        <v>0</v>
      </c>
      <c r="V1957" s="235"/>
      <c r="W1957" s="235"/>
      <c r="Y1957" s="228" t="str">
        <f t="shared" si="57"/>
        <v>TinCV Gita Pesona</v>
      </c>
    </row>
    <row r="1958" spans="1:25" s="228" customFormat="1" ht="20.25">
      <c r="A1958" s="400" t="s">
        <v>1366</v>
      </c>
      <c r="B1958" s="396" t="s">
        <v>2324</v>
      </c>
      <c r="C1958" s="397" t="s">
        <v>1504</v>
      </c>
      <c r="D1958" s="396" t="s">
        <v>1504</v>
      </c>
      <c r="E1958" s="396" t="s">
        <v>2238</v>
      </c>
      <c r="F1958" s="396" t="s">
        <v>1366</v>
      </c>
      <c r="G1958" s="396" t="s">
        <v>3125</v>
      </c>
      <c r="H1958" s="398" t="s">
        <v>5024</v>
      </c>
      <c r="I1958" s="399" t="s">
        <v>3456</v>
      </c>
      <c r="J1958" s="399" t="s">
        <v>3454</v>
      </c>
      <c r="K1958" s="402" t="s">
        <v>5024</v>
      </c>
      <c r="L1958" s="402" t="s">
        <v>5024</v>
      </c>
      <c r="M1958" s="402" t="s">
        <v>5024</v>
      </c>
      <c r="N1958" s="402" t="s">
        <v>5024</v>
      </c>
      <c r="O1958" s="402" t="s">
        <v>5024</v>
      </c>
      <c r="P1958" s="402" t="s">
        <v>925</v>
      </c>
      <c r="Q1958" s="403" t="s">
        <v>5024</v>
      </c>
      <c r="R1958" s="233"/>
      <c r="S1958" s="234">
        <f>IF(C1958="",NA(),MATCH($B1958&amp;$C1958,'Smelter Reference List'!$J:$J,0))</f>
        <v>333</v>
      </c>
      <c r="T1958" s="235"/>
      <c r="U1958" s="235">
        <f t="shared" si="56"/>
        <v>0</v>
      </c>
      <c r="V1958" s="235"/>
      <c r="W1958" s="235"/>
      <c r="Y1958" s="228" t="str">
        <f t="shared" si="57"/>
        <v>TinCV Serumpun Sebalai</v>
      </c>
    </row>
    <row r="1959" spans="1:25" s="228" customFormat="1" ht="20.25">
      <c r="A1959" s="400" t="s">
        <v>4357</v>
      </c>
      <c r="B1959" s="396" t="s">
        <v>2324</v>
      </c>
      <c r="C1959" s="397" t="s">
        <v>4356</v>
      </c>
      <c r="D1959" s="396" t="s">
        <v>4356</v>
      </c>
      <c r="E1959" s="396" t="s">
        <v>2238</v>
      </c>
      <c r="F1959" s="396" t="s">
        <v>4357</v>
      </c>
      <c r="G1959" s="396" t="s">
        <v>3125</v>
      </c>
      <c r="H1959" s="398" t="s">
        <v>5024</v>
      </c>
      <c r="I1959" s="399" t="s">
        <v>3457</v>
      </c>
      <c r="J1959" s="399" t="s">
        <v>3454</v>
      </c>
      <c r="K1959" s="402" t="s">
        <v>5024</v>
      </c>
      <c r="L1959" s="402" t="s">
        <v>5024</v>
      </c>
      <c r="M1959" s="402" t="s">
        <v>5024</v>
      </c>
      <c r="N1959" s="402" t="s">
        <v>5024</v>
      </c>
      <c r="O1959" s="402" t="s">
        <v>5024</v>
      </c>
      <c r="P1959" s="402" t="s">
        <v>925</v>
      </c>
      <c r="Q1959" s="403" t="s">
        <v>5024</v>
      </c>
      <c r="R1959" s="233"/>
      <c r="S1959" s="234">
        <f>IF(C1959="",NA(),MATCH($B1959&amp;$C1959,'Smelter Reference List'!$J:$J,0))</f>
        <v>334</v>
      </c>
      <c r="T1959" s="235"/>
      <c r="U1959" s="235">
        <f t="shared" si="56"/>
        <v>0</v>
      </c>
      <c r="V1959" s="235"/>
      <c r="W1959" s="235"/>
      <c r="Y1959" s="228" t="str">
        <f t="shared" si="57"/>
        <v>TinCV Tiga Sekawan</v>
      </c>
    </row>
    <row r="1960" spans="1:25" s="228" customFormat="1" ht="20.25">
      <c r="A1960" s="400" t="s">
        <v>1367</v>
      </c>
      <c r="B1960" s="396" t="s">
        <v>2324</v>
      </c>
      <c r="C1960" s="397" t="s">
        <v>1505</v>
      </c>
      <c r="D1960" s="396" t="s">
        <v>1505</v>
      </c>
      <c r="E1960" s="396" t="s">
        <v>2238</v>
      </c>
      <c r="F1960" s="396" t="s">
        <v>1367</v>
      </c>
      <c r="G1960" s="396" t="s">
        <v>3125</v>
      </c>
      <c r="H1960" s="398" t="s">
        <v>5024</v>
      </c>
      <c r="I1960" s="399" t="s">
        <v>3457</v>
      </c>
      <c r="J1960" s="399" t="s">
        <v>3454</v>
      </c>
      <c r="K1960" s="402" t="s">
        <v>5024</v>
      </c>
      <c r="L1960" s="402" t="s">
        <v>5024</v>
      </c>
      <c r="M1960" s="402" t="s">
        <v>5024</v>
      </c>
      <c r="N1960" s="402" t="s">
        <v>5024</v>
      </c>
      <c r="O1960" s="402" t="s">
        <v>5024</v>
      </c>
      <c r="P1960" s="402" t="s">
        <v>925</v>
      </c>
      <c r="Q1960" s="403" t="s">
        <v>5024</v>
      </c>
      <c r="R1960" s="233"/>
      <c r="S1960" s="234">
        <f>IF(C1960="",NA(),MATCH($B1960&amp;$C1960,'Smelter Reference List'!$J:$J,0))</f>
        <v>335</v>
      </c>
      <c r="T1960" s="235"/>
      <c r="U1960" s="235">
        <f t="shared" si="56"/>
        <v>0</v>
      </c>
      <c r="V1960" s="235"/>
      <c r="W1960" s="235"/>
      <c r="Y1960" s="228" t="str">
        <f t="shared" si="57"/>
        <v>TinCV United Smelting</v>
      </c>
    </row>
    <row r="1961" spans="1:25" s="228" customFormat="1" ht="20.25">
      <c r="A1961" s="400" t="s">
        <v>2705</v>
      </c>
      <c r="B1961" s="396" t="s">
        <v>2324</v>
      </c>
      <c r="C1961" s="397" t="s">
        <v>2704</v>
      </c>
      <c r="D1961" s="396" t="s">
        <v>2704</v>
      </c>
      <c r="E1961" s="396" t="s">
        <v>2238</v>
      </c>
      <c r="F1961" s="396" t="s">
        <v>2705</v>
      </c>
      <c r="G1961" s="396" t="s">
        <v>3125</v>
      </c>
      <c r="H1961" s="398" t="s">
        <v>5024</v>
      </c>
      <c r="I1961" s="399" t="s">
        <v>3457</v>
      </c>
      <c r="J1961" s="399" t="s">
        <v>3454</v>
      </c>
      <c r="K1961" s="402" t="s">
        <v>5024</v>
      </c>
      <c r="L1961" s="402" t="s">
        <v>5024</v>
      </c>
      <c r="M1961" s="402" t="s">
        <v>5024</v>
      </c>
      <c r="N1961" s="402" t="s">
        <v>5024</v>
      </c>
      <c r="O1961" s="402" t="s">
        <v>5024</v>
      </c>
      <c r="P1961" s="402" t="s">
        <v>925</v>
      </c>
      <c r="Q1961" s="403" t="s">
        <v>5024</v>
      </c>
      <c r="R1961" s="233"/>
      <c r="S1961" s="234">
        <f>IF(C1961="",NA(),MATCH($B1961&amp;$C1961,'Smelter Reference List'!$J:$J,0))</f>
        <v>336</v>
      </c>
      <c r="T1961" s="235"/>
      <c r="U1961" s="235">
        <f t="shared" si="56"/>
        <v>0</v>
      </c>
      <c r="V1961" s="235"/>
      <c r="W1961" s="235"/>
      <c r="Y1961" s="228" t="str">
        <f t="shared" si="57"/>
        <v>TinCV Venus Inti Perkasa</v>
      </c>
    </row>
    <row r="1962" spans="1:25" s="228" customFormat="1" ht="20.25">
      <c r="A1962" s="400" t="s">
        <v>2732</v>
      </c>
      <c r="B1962" s="396" t="s">
        <v>2324</v>
      </c>
      <c r="C1962" s="397" t="s">
        <v>1788</v>
      </c>
      <c r="D1962" s="396" t="s">
        <v>1788</v>
      </c>
      <c r="E1962" s="396" t="s">
        <v>2249</v>
      </c>
      <c r="F1962" s="396" t="s">
        <v>2732</v>
      </c>
      <c r="G1962" s="396" t="s">
        <v>3125</v>
      </c>
      <c r="H1962" s="398" t="s">
        <v>5024</v>
      </c>
      <c r="I1962" s="399" t="s">
        <v>3173</v>
      </c>
      <c r="J1962" s="399" t="s">
        <v>3174</v>
      </c>
      <c r="K1962" s="402" t="s">
        <v>5024</v>
      </c>
      <c r="L1962" s="402" t="s">
        <v>5024</v>
      </c>
      <c r="M1962" s="402" t="s">
        <v>5024</v>
      </c>
      <c r="N1962" s="402" t="s">
        <v>5024</v>
      </c>
      <c r="O1962" s="402" t="s">
        <v>5024</v>
      </c>
      <c r="P1962" s="402" t="s">
        <v>925</v>
      </c>
      <c r="Q1962" s="403" t="s">
        <v>5024</v>
      </c>
      <c r="R1962" s="233"/>
      <c r="S1962" s="234">
        <f>IF(C1962="",NA(),MATCH($B1962&amp;$C1962,'Smelter Reference List'!$J:$J,0))</f>
        <v>337</v>
      </c>
      <c r="T1962" s="235"/>
      <c r="U1962" s="235">
        <f t="shared" si="56"/>
        <v>0</v>
      </c>
      <c r="V1962" s="235"/>
      <c r="W1962" s="235"/>
      <c r="Y1962" s="228" t="str">
        <f t="shared" si="57"/>
        <v>TinDowa</v>
      </c>
    </row>
    <row r="1963" spans="1:25" s="228" customFormat="1" ht="25.5">
      <c r="A1963" s="400" t="s">
        <v>3532</v>
      </c>
      <c r="B1963" s="396" t="s">
        <v>2324</v>
      </c>
      <c r="C1963" s="397" t="s">
        <v>3531</v>
      </c>
      <c r="D1963" s="396" t="s">
        <v>3531</v>
      </c>
      <c r="E1963" s="396" t="s">
        <v>1766</v>
      </c>
      <c r="F1963" s="396" t="s">
        <v>3532</v>
      </c>
      <c r="G1963" s="396" t="s">
        <v>3125</v>
      </c>
      <c r="H1963" s="398" t="s">
        <v>5024</v>
      </c>
      <c r="I1963" s="399" t="s">
        <v>3533</v>
      </c>
      <c r="J1963" s="399" t="s">
        <v>3534</v>
      </c>
      <c r="K1963" s="402" t="s">
        <v>5024</v>
      </c>
      <c r="L1963" s="402" t="s">
        <v>5024</v>
      </c>
      <c r="M1963" s="402" t="s">
        <v>5024</v>
      </c>
      <c r="N1963" s="402" t="s">
        <v>5024</v>
      </c>
      <c r="O1963" s="402" t="s">
        <v>5024</v>
      </c>
      <c r="P1963" s="402" t="s">
        <v>5024</v>
      </c>
      <c r="Q1963" s="403" t="s">
        <v>5024</v>
      </c>
      <c r="R1963" s="233"/>
      <c r="S1963" s="234">
        <f>IF(C1963="",NA(),MATCH($B1963&amp;$C1963,'Smelter Reference List'!$J:$J,0))</f>
        <v>339</v>
      </c>
      <c r="T1963" s="235"/>
      <c r="U1963" s="235">
        <f t="shared" si="56"/>
        <v>0</v>
      </c>
      <c r="V1963" s="235"/>
      <c r="W1963" s="235"/>
      <c r="Y1963" s="228" t="str">
        <f t="shared" si="57"/>
        <v>TinElectro-Mechanical Facility of the Cao Bang Minerals &amp; Metallurgy Joint Stock Company</v>
      </c>
    </row>
    <row r="1964" spans="1:25" s="228" customFormat="1" ht="20.25">
      <c r="A1964" s="400" t="s">
        <v>3549</v>
      </c>
      <c r="B1964" s="396" t="s">
        <v>2324</v>
      </c>
      <c r="C1964" s="397" t="s">
        <v>4736</v>
      </c>
      <c r="D1964" s="396" t="s">
        <v>4736</v>
      </c>
      <c r="E1964" s="396" t="s">
        <v>2205</v>
      </c>
      <c r="F1964" s="396" t="s">
        <v>3549</v>
      </c>
      <c r="G1964" s="396" t="s">
        <v>3125</v>
      </c>
      <c r="H1964" s="398" t="s">
        <v>5024</v>
      </c>
      <c r="I1964" s="399" t="s">
        <v>3550</v>
      </c>
      <c r="J1964" s="399" t="s">
        <v>3551</v>
      </c>
      <c r="K1964" s="402" t="s">
        <v>5024</v>
      </c>
      <c r="L1964" s="402" t="s">
        <v>5024</v>
      </c>
      <c r="M1964" s="402" t="s">
        <v>5024</v>
      </c>
      <c r="N1964" s="402" t="s">
        <v>5024</v>
      </c>
      <c r="O1964" s="402" t="s">
        <v>5024</v>
      </c>
      <c r="P1964" s="402" t="s">
        <v>925</v>
      </c>
      <c r="Q1964" s="403" t="s">
        <v>5024</v>
      </c>
      <c r="R1964" s="233"/>
      <c r="S1964" s="234">
        <f>IF(C1964="",NA(),MATCH($B1964&amp;$C1964,'Smelter Reference List'!$J:$J,0))</f>
        <v>340</v>
      </c>
      <c r="T1964" s="235"/>
      <c r="U1964" s="235">
        <f t="shared" si="56"/>
        <v>0</v>
      </c>
      <c r="V1964" s="235"/>
      <c r="W1964" s="235"/>
      <c r="Y1964" s="228" t="str">
        <f t="shared" si="57"/>
        <v>TinElmet S.L.U.</v>
      </c>
    </row>
    <row r="1965" spans="1:25" s="228" customFormat="1" ht="25.5">
      <c r="A1965" s="400" t="s">
        <v>1368</v>
      </c>
      <c r="B1965" s="396" t="s">
        <v>2324</v>
      </c>
      <c r="C1965" s="397" t="s">
        <v>1506</v>
      </c>
      <c r="D1965" s="396" t="s">
        <v>1506</v>
      </c>
      <c r="E1965" s="396" t="s">
        <v>5022</v>
      </c>
      <c r="F1965" s="396" t="s">
        <v>1368</v>
      </c>
      <c r="G1965" s="396" t="s">
        <v>3125</v>
      </c>
      <c r="H1965" s="398" t="s">
        <v>5024</v>
      </c>
      <c r="I1965" s="399" t="s">
        <v>3459</v>
      </c>
      <c r="J1965" s="399" t="s">
        <v>3460</v>
      </c>
      <c r="K1965" s="402" t="s">
        <v>5024</v>
      </c>
      <c r="L1965" s="402" t="s">
        <v>5024</v>
      </c>
      <c r="M1965" s="402" t="s">
        <v>5024</v>
      </c>
      <c r="N1965" s="402" t="s">
        <v>5024</v>
      </c>
      <c r="O1965" s="402" t="s">
        <v>5024</v>
      </c>
      <c r="P1965" s="402" t="s">
        <v>925</v>
      </c>
      <c r="Q1965" s="403" t="s">
        <v>5024</v>
      </c>
      <c r="R1965" s="233"/>
      <c r="S1965" s="234">
        <f>IF(C1965="",NA(),MATCH($B1965&amp;$C1965,'Smelter Reference List'!$J:$J,0))</f>
        <v>341</v>
      </c>
      <c r="T1965" s="235"/>
      <c r="U1965" s="235">
        <f t="shared" si="56"/>
        <v>0</v>
      </c>
      <c r="V1965" s="235"/>
      <c r="W1965" s="235"/>
      <c r="Y1965" s="228" t="str">
        <f t="shared" si="57"/>
        <v>TinEM Vinto</v>
      </c>
    </row>
    <row r="1966" spans="1:25" s="228" customFormat="1" ht="25.5">
      <c r="A1966" s="400" t="s">
        <v>1371</v>
      </c>
      <c r="B1966" s="396" t="s">
        <v>2324</v>
      </c>
      <c r="C1966" s="397" t="s">
        <v>1462</v>
      </c>
      <c r="D1966" s="396" t="s">
        <v>1462</v>
      </c>
      <c r="E1966" s="396" t="s">
        <v>1708</v>
      </c>
      <c r="F1966" s="396" t="s">
        <v>1371</v>
      </c>
      <c r="G1966" s="396" t="s">
        <v>3125</v>
      </c>
      <c r="H1966" s="398" t="s">
        <v>5024</v>
      </c>
      <c r="I1966" s="399" t="s">
        <v>3466</v>
      </c>
      <c r="J1966" s="399" t="s">
        <v>3467</v>
      </c>
      <c r="K1966" s="402" t="s">
        <v>5024</v>
      </c>
      <c r="L1966" s="402" t="s">
        <v>5024</v>
      </c>
      <c r="M1966" s="402" t="s">
        <v>5024</v>
      </c>
      <c r="N1966" s="402" t="s">
        <v>5024</v>
      </c>
      <c r="O1966" s="402" t="s">
        <v>5024</v>
      </c>
      <c r="P1966" s="402" t="s">
        <v>925</v>
      </c>
      <c r="Q1966" s="403" t="s">
        <v>5024</v>
      </c>
      <c r="R1966" s="233"/>
      <c r="S1966" s="234">
        <f>IF(C1966="",NA(),MATCH($B1966&amp;$C1966,'Smelter Reference List'!$J:$J,0))</f>
        <v>347</v>
      </c>
      <c r="T1966" s="235"/>
      <c r="U1966" s="235">
        <f t="shared" si="56"/>
        <v>0</v>
      </c>
      <c r="V1966" s="235"/>
      <c r="W1966" s="235"/>
      <c r="Y1966" s="228" t="str">
        <f t="shared" si="57"/>
        <v>TinFenix Metals</v>
      </c>
    </row>
    <row r="1967" spans="1:25" s="228" customFormat="1" ht="20.25">
      <c r="A1967" s="400" t="s">
        <v>4358</v>
      </c>
      <c r="B1967" s="396" t="s">
        <v>2324</v>
      </c>
      <c r="C1967" s="397" t="s">
        <v>4737</v>
      </c>
      <c r="D1967" s="396" t="s">
        <v>4737</v>
      </c>
      <c r="E1967" s="396" t="s">
        <v>2181</v>
      </c>
      <c r="F1967" s="396" t="s">
        <v>4358</v>
      </c>
      <c r="G1967" s="396" t="s">
        <v>3125</v>
      </c>
      <c r="H1967" s="398" t="s">
        <v>5024</v>
      </c>
      <c r="I1967" s="399" t="s">
        <v>5023</v>
      </c>
      <c r="J1967" s="399" t="s">
        <v>3161</v>
      </c>
      <c r="K1967" s="402" t="s">
        <v>5024</v>
      </c>
      <c r="L1967" s="402" t="s">
        <v>5024</v>
      </c>
      <c r="M1967" s="402" t="s">
        <v>5024</v>
      </c>
      <c r="N1967" s="402" t="s">
        <v>5024</v>
      </c>
      <c r="O1967" s="402" t="s">
        <v>5024</v>
      </c>
      <c r="P1967" s="402" t="s">
        <v>5024</v>
      </c>
      <c r="Q1967" s="403" t="s">
        <v>5024</v>
      </c>
      <c r="R1967" s="233"/>
      <c r="S1967" s="234">
        <f>IF(C1967="",NA(),MATCH($B1967&amp;$C1967,'Smelter Reference List'!$J:$J,0))</f>
        <v>350</v>
      </c>
      <c r="T1967" s="235"/>
      <c r="U1967" s="235">
        <f t="shared" si="56"/>
        <v>0</v>
      </c>
      <c r="V1967" s="235"/>
      <c r="W1967" s="235"/>
      <c r="Y1967" s="228" t="str">
        <f t="shared" si="57"/>
        <v>TinGejiu Fengming Metallurgy Chemical Plant</v>
      </c>
    </row>
    <row r="1968" spans="1:25" s="228" customFormat="1" ht="20.25">
      <c r="A1968" s="400" t="s">
        <v>1375</v>
      </c>
      <c r="B1968" s="396" t="s">
        <v>2324</v>
      </c>
      <c r="C1968" s="397" t="s">
        <v>2757</v>
      </c>
      <c r="D1968" s="396" t="s">
        <v>2757</v>
      </c>
      <c r="E1968" s="396" t="s">
        <v>2181</v>
      </c>
      <c r="F1968" s="396" t="s">
        <v>1375</v>
      </c>
      <c r="G1968" s="396" t="s">
        <v>3125</v>
      </c>
      <c r="H1968" s="398" t="s">
        <v>5024</v>
      </c>
      <c r="I1968" s="399" t="s">
        <v>5023</v>
      </c>
      <c r="J1968" s="399" t="s">
        <v>3161</v>
      </c>
      <c r="K1968" s="402" t="s">
        <v>5024</v>
      </c>
      <c r="L1968" s="402" t="s">
        <v>5024</v>
      </c>
      <c r="M1968" s="402" t="s">
        <v>5024</v>
      </c>
      <c r="N1968" s="402" t="s">
        <v>5024</v>
      </c>
      <c r="O1968" s="402" t="s">
        <v>5024</v>
      </c>
      <c r="P1968" s="402" t="s">
        <v>5024</v>
      </c>
      <c r="Q1968" s="403" t="s">
        <v>5024</v>
      </c>
      <c r="R1968" s="233"/>
      <c r="S1968" s="234">
        <f>IF(C1968="",NA(),MATCH($B1968&amp;$C1968,'Smelter Reference List'!$J:$J,0))</f>
        <v>352</v>
      </c>
      <c r="T1968" s="235"/>
      <c r="U1968" s="235">
        <f t="shared" si="56"/>
        <v>0</v>
      </c>
      <c r="V1968" s="235"/>
      <c r="W1968" s="235"/>
      <c r="Y1968" s="228" t="str">
        <f t="shared" si="57"/>
        <v>TinGejiu Kai Meng Industry and Trade LLC</v>
      </c>
    </row>
    <row r="1969" spans="1:25" s="228" customFormat="1" ht="20.25">
      <c r="A1969" s="400" t="s">
        <v>1372</v>
      </c>
      <c r="B1969" s="396" t="s">
        <v>2324</v>
      </c>
      <c r="C1969" s="397" t="s">
        <v>4152</v>
      </c>
      <c r="D1969" s="396" t="s">
        <v>4152</v>
      </c>
      <c r="E1969" s="396" t="s">
        <v>2181</v>
      </c>
      <c r="F1969" s="396" t="s">
        <v>1372</v>
      </c>
      <c r="G1969" s="396" t="s">
        <v>3125</v>
      </c>
      <c r="H1969" s="398" t="s">
        <v>5024</v>
      </c>
      <c r="I1969" s="399" t="s">
        <v>5023</v>
      </c>
      <c r="J1969" s="399" t="s">
        <v>3161</v>
      </c>
      <c r="K1969" s="402" t="s">
        <v>5024</v>
      </c>
      <c r="L1969" s="402" t="s">
        <v>5024</v>
      </c>
      <c r="M1969" s="402" t="s">
        <v>5024</v>
      </c>
      <c r="N1969" s="402" t="s">
        <v>5024</v>
      </c>
      <c r="O1969" s="402" t="s">
        <v>5024</v>
      </c>
      <c r="P1969" s="402" t="s">
        <v>925</v>
      </c>
      <c r="Q1969" s="403" t="s">
        <v>5024</v>
      </c>
      <c r="R1969" s="233"/>
      <c r="S1969" s="234">
        <f>IF(C1969="",NA(),MATCH($B1969&amp;$C1969,'Smelter Reference List'!$J:$J,0))</f>
        <v>353</v>
      </c>
      <c r="T1969" s="235"/>
      <c r="U1969" s="235">
        <f t="shared" si="56"/>
        <v>0</v>
      </c>
      <c r="V1969" s="235"/>
      <c r="W1969" s="235"/>
      <c r="Y1969" s="228" t="str">
        <f t="shared" si="57"/>
        <v>TinGejiu Non-Ferrous Metal Processing Co., Ltd.</v>
      </c>
    </row>
    <row r="1970" spans="1:25" s="228" customFormat="1" ht="20.25">
      <c r="A1970" s="400" t="s">
        <v>3514</v>
      </c>
      <c r="B1970" s="396" t="s">
        <v>2324</v>
      </c>
      <c r="C1970" s="397" t="s">
        <v>3513</v>
      </c>
      <c r="D1970" s="396" t="s">
        <v>3513</v>
      </c>
      <c r="E1970" s="396" t="s">
        <v>2181</v>
      </c>
      <c r="F1970" s="396" t="s">
        <v>3514</v>
      </c>
      <c r="G1970" s="396" t="s">
        <v>3125</v>
      </c>
      <c r="H1970" s="398" t="s">
        <v>5024</v>
      </c>
      <c r="I1970" s="399" t="s">
        <v>5023</v>
      </c>
      <c r="J1970" s="399" t="s">
        <v>3161</v>
      </c>
      <c r="K1970" s="402" t="s">
        <v>5024</v>
      </c>
      <c r="L1970" s="402" t="s">
        <v>5024</v>
      </c>
      <c r="M1970" s="402" t="s">
        <v>5024</v>
      </c>
      <c r="N1970" s="402" t="s">
        <v>5024</v>
      </c>
      <c r="O1970" s="402" t="s">
        <v>5024</v>
      </c>
      <c r="P1970" s="402" t="s">
        <v>5024</v>
      </c>
      <c r="Q1970" s="403" t="s">
        <v>5024</v>
      </c>
      <c r="R1970" s="233"/>
      <c r="S1970" s="234">
        <f>IF(C1970="",NA(),MATCH($B1970&amp;$C1970,'Smelter Reference List'!$J:$J,0))</f>
        <v>354</v>
      </c>
      <c r="T1970" s="235"/>
      <c r="U1970" s="235">
        <f t="shared" si="56"/>
        <v>0</v>
      </c>
      <c r="V1970" s="235"/>
      <c r="W1970" s="235"/>
      <c r="Y1970" s="228" t="str">
        <f t="shared" si="57"/>
        <v>TinGejiu Yunxin Nonferrous Electrolysis Co., Ltd.</v>
      </c>
    </row>
    <row r="1971" spans="1:25" s="228" customFormat="1" ht="25.5">
      <c r="A1971" s="400" t="s">
        <v>4361</v>
      </c>
      <c r="B1971" s="396" t="s">
        <v>2324</v>
      </c>
      <c r="C1971" s="397" t="s">
        <v>4360</v>
      </c>
      <c r="D1971" s="396" t="s">
        <v>4360</v>
      </c>
      <c r="E1971" s="396" t="s">
        <v>2181</v>
      </c>
      <c r="F1971" s="396" t="s">
        <v>4361</v>
      </c>
      <c r="G1971" s="396" t="s">
        <v>3125</v>
      </c>
      <c r="H1971" s="398" t="s">
        <v>5024</v>
      </c>
      <c r="I1971" s="399" t="s">
        <v>4362</v>
      </c>
      <c r="J1971" s="399" t="s">
        <v>3442</v>
      </c>
      <c r="K1971" s="402" t="s">
        <v>5024</v>
      </c>
      <c r="L1971" s="402" t="s">
        <v>5024</v>
      </c>
      <c r="M1971" s="402" t="s">
        <v>5024</v>
      </c>
      <c r="N1971" s="402" t="s">
        <v>5024</v>
      </c>
      <c r="O1971" s="402" t="s">
        <v>5024</v>
      </c>
      <c r="P1971" s="402" t="s">
        <v>925</v>
      </c>
      <c r="Q1971" s="403" t="s">
        <v>5024</v>
      </c>
      <c r="R1971" s="233"/>
      <c r="S1971" s="234">
        <f>IF(C1971="",NA(),MATCH($B1971&amp;$C1971,'Smelter Reference List'!$J:$J,0))</f>
        <v>361</v>
      </c>
      <c r="T1971" s="235"/>
      <c r="U1971" s="235">
        <f t="shared" si="56"/>
        <v>0</v>
      </c>
      <c r="V1971" s="235"/>
      <c r="W1971" s="235"/>
      <c r="Y1971" s="228" t="str">
        <f t="shared" si="57"/>
        <v>TinGuanyang Guida Nonferrous Metal Smelting Plant</v>
      </c>
    </row>
    <row r="1972" spans="1:25" s="228" customFormat="1" ht="20.25">
      <c r="A1972" s="400" t="s">
        <v>4392</v>
      </c>
      <c r="B1972" s="396" t="s">
        <v>2324</v>
      </c>
      <c r="C1972" s="397" t="s">
        <v>4391</v>
      </c>
      <c r="D1972" s="396" t="s">
        <v>4391</v>
      </c>
      <c r="E1972" s="396" t="s">
        <v>2181</v>
      </c>
      <c r="F1972" s="396" t="s">
        <v>4392</v>
      </c>
      <c r="G1972" s="396" t="s">
        <v>3125</v>
      </c>
      <c r="H1972" s="398" t="s">
        <v>5024</v>
      </c>
      <c r="I1972" s="399" t="s">
        <v>3471</v>
      </c>
      <c r="J1972" s="399" t="s">
        <v>3204</v>
      </c>
      <c r="K1972" s="402" t="s">
        <v>5024</v>
      </c>
      <c r="L1972" s="402" t="s">
        <v>5024</v>
      </c>
      <c r="M1972" s="402" t="s">
        <v>5024</v>
      </c>
      <c r="N1972" s="402" t="s">
        <v>5024</v>
      </c>
      <c r="O1972" s="402" t="s">
        <v>5024</v>
      </c>
      <c r="P1972" s="402" t="s">
        <v>925</v>
      </c>
      <c r="Q1972" s="403" t="s">
        <v>5024</v>
      </c>
      <c r="R1972" s="233"/>
      <c r="S1972" s="234">
        <f>IF(C1972="",NA(),MATCH($B1972&amp;$C1972,'Smelter Reference List'!$J:$J,0))</f>
        <v>362</v>
      </c>
      <c r="T1972" s="235"/>
      <c r="U1972" s="235">
        <f t="shared" si="56"/>
        <v>0</v>
      </c>
      <c r="V1972" s="235"/>
      <c r="W1972" s="235"/>
      <c r="Y1972" s="228" t="str">
        <f t="shared" si="57"/>
        <v>TinHuiChang Hill Tin Industry Co., Ltd.</v>
      </c>
    </row>
    <row r="1973" spans="1:25" s="228" customFormat="1" ht="20.25">
      <c r="A1973" s="400" t="s">
        <v>1362</v>
      </c>
      <c r="B1973" s="396" t="s">
        <v>2324</v>
      </c>
      <c r="C1973" s="397" t="s">
        <v>3440</v>
      </c>
      <c r="D1973" s="396" t="s">
        <v>3440</v>
      </c>
      <c r="E1973" s="396" t="s">
        <v>2181</v>
      </c>
      <c r="F1973" s="396" t="s">
        <v>1362</v>
      </c>
      <c r="G1973" s="396" t="s">
        <v>3125</v>
      </c>
      <c r="H1973" s="398" t="s">
        <v>5024</v>
      </c>
      <c r="I1973" s="399" t="s">
        <v>3406</v>
      </c>
      <c r="J1973" s="399" t="s">
        <v>3204</v>
      </c>
      <c r="K1973" s="402" t="s">
        <v>5024</v>
      </c>
      <c r="L1973" s="402" t="s">
        <v>5024</v>
      </c>
      <c r="M1973" s="402" t="s">
        <v>5024</v>
      </c>
      <c r="N1973" s="402" t="s">
        <v>5024</v>
      </c>
      <c r="O1973" s="402" t="s">
        <v>5024</v>
      </c>
      <c r="P1973" s="402" t="s">
        <v>925</v>
      </c>
      <c r="Q1973" s="403" t="s">
        <v>5024</v>
      </c>
      <c r="R1973" s="233"/>
      <c r="S1973" s="234">
        <f>IF(C1973="",NA(),MATCH($B1973&amp;$C1973,'Smelter Reference List'!$J:$J,0))</f>
        <v>367</v>
      </c>
      <c r="T1973" s="235"/>
      <c r="U1973" s="235">
        <f t="shared" si="56"/>
        <v>0</v>
      </c>
      <c r="V1973" s="235"/>
      <c r="W1973" s="235"/>
      <c r="Y1973" s="228" t="str">
        <f t="shared" si="57"/>
        <v>TinJiangxi Ketai Advanced Material Co., Ltd.</v>
      </c>
    </row>
    <row r="1974" spans="1:25" s="228" customFormat="1" ht="20.25">
      <c r="A1974" s="400" t="s">
        <v>200</v>
      </c>
      <c r="B1974" s="396" t="s">
        <v>2324</v>
      </c>
      <c r="C1974" s="397" t="s">
        <v>4186</v>
      </c>
      <c r="D1974" s="396" t="s">
        <v>4186</v>
      </c>
      <c r="E1974" s="396" t="s">
        <v>2170</v>
      </c>
      <c r="F1974" s="396" t="s">
        <v>200</v>
      </c>
      <c r="G1974" s="396" t="s">
        <v>3125</v>
      </c>
      <c r="H1974" s="398" t="s">
        <v>5024</v>
      </c>
      <c r="I1974" s="399" t="s">
        <v>3381</v>
      </c>
      <c r="J1974" s="399" t="s">
        <v>3136</v>
      </c>
      <c r="K1974" s="402" t="s">
        <v>5024</v>
      </c>
      <c r="L1974" s="402" t="s">
        <v>5024</v>
      </c>
      <c r="M1974" s="402" t="s">
        <v>5024</v>
      </c>
      <c r="N1974" s="402" t="s">
        <v>5024</v>
      </c>
      <c r="O1974" s="402" t="s">
        <v>5024</v>
      </c>
      <c r="P1974" s="402" t="s">
        <v>925</v>
      </c>
      <c r="Q1974" s="403" t="s">
        <v>5024</v>
      </c>
      <c r="R1974" s="233"/>
      <c r="S1974" s="234">
        <f>IF(C1974="",NA(),MATCH($B1974&amp;$C1974,'Smelter Reference List'!$J:$J,0))</f>
        <v>376</v>
      </c>
      <c r="T1974" s="235"/>
      <c r="U1974" s="235">
        <f t="shared" si="56"/>
        <v>0</v>
      </c>
      <c r="V1974" s="235"/>
      <c r="W1974" s="235"/>
      <c r="Y1974" s="228" t="str">
        <f t="shared" si="57"/>
        <v>TinMagnu's Minerais Metais e Ligas Ltda.</v>
      </c>
    </row>
    <row r="1975" spans="1:25" s="228" customFormat="1" ht="20.25">
      <c r="A1975" s="400" t="s">
        <v>1378</v>
      </c>
      <c r="B1975" s="396" t="s">
        <v>2324</v>
      </c>
      <c r="C1975" s="397" t="s">
        <v>1471</v>
      </c>
      <c r="D1975" s="396" t="s">
        <v>1471</v>
      </c>
      <c r="E1975" s="396" t="s">
        <v>2289</v>
      </c>
      <c r="F1975" s="396" t="s">
        <v>1378</v>
      </c>
      <c r="G1975" s="396" t="s">
        <v>3125</v>
      </c>
      <c r="H1975" s="398" t="s">
        <v>5024</v>
      </c>
      <c r="I1975" s="399" t="s">
        <v>3481</v>
      </c>
      <c r="J1975" s="399" t="s">
        <v>3482</v>
      </c>
      <c r="K1975" s="402" t="s">
        <v>5024</v>
      </c>
      <c r="L1975" s="402" t="s">
        <v>5024</v>
      </c>
      <c r="M1975" s="402" t="s">
        <v>5024</v>
      </c>
      <c r="N1975" s="402" t="s">
        <v>5024</v>
      </c>
      <c r="O1975" s="402" t="s">
        <v>5024</v>
      </c>
      <c r="P1975" s="402" t="s">
        <v>925</v>
      </c>
      <c r="Q1975" s="403" t="s">
        <v>5024</v>
      </c>
      <c r="R1975" s="233"/>
      <c r="S1975" s="234">
        <f>IF(C1975="",NA(),MATCH($B1975&amp;$C1975,'Smelter Reference List'!$J:$J,0))</f>
        <v>377</v>
      </c>
      <c r="T1975" s="235"/>
      <c r="U1975" s="235">
        <f t="shared" si="56"/>
        <v>0</v>
      </c>
      <c r="V1975" s="235"/>
      <c r="W1975" s="235"/>
      <c r="Y1975" s="228" t="str">
        <f t="shared" si="57"/>
        <v>TinMalaysia Smelting Corporation (MSC)</v>
      </c>
    </row>
    <row r="1976" spans="1:25" s="228" customFormat="1" ht="20.25">
      <c r="A1976" s="400" t="s">
        <v>2576</v>
      </c>
      <c r="B1976" s="396" t="s">
        <v>2324</v>
      </c>
      <c r="C1976" s="397" t="s">
        <v>4743</v>
      </c>
      <c r="D1976" s="396" t="s">
        <v>4743</v>
      </c>
      <c r="E1976" s="396" t="s">
        <v>2170</v>
      </c>
      <c r="F1976" s="396" t="s">
        <v>2576</v>
      </c>
      <c r="G1976" s="396" t="s">
        <v>3125</v>
      </c>
      <c r="H1976" s="398" t="s">
        <v>5024</v>
      </c>
      <c r="I1976" s="399" t="s">
        <v>3451</v>
      </c>
      <c r="J1976" s="399" t="s">
        <v>3452</v>
      </c>
      <c r="K1976" s="402" t="s">
        <v>5024</v>
      </c>
      <c r="L1976" s="402" t="s">
        <v>5024</v>
      </c>
      <c r="M1976" s="402" t="s">
        <v>5024</v>
      </c>
      <c r="N1976" s="402" t="s">
        <v>5024</v>
      </c>
      <c r="O1976" s="402" t="s">
        <v>5024</v>
      </c>
      <c r="P1976" s="402" t="s">
        <v>925</v>
      </c>
      <c r="Q1976" s="403" t="s">
        <v>5024</v>
      </c>
      <c r="R1976" s="233"/>
      <c r="S1976" s="234">
        <f>IF(C1976="",NA(),MATCH($B1976&amp;$C1976,'Smelter Reference List'!$J:$J,0))</f>
        <v>378</v>
      </c>
      <c r="T1976" s="235"/>
      <c r="U1976" s="235">
        <f t="shared" si="56"/>
        <v>0</v>
      </c>
      <c r="V1976" s="235"/>
      <c r="W1976" s="235"/>
      <c r="Y1976" s="228" t="str">
        <f t="shared" si="57"/>
        <v>TinMelt Metais e Ligas S.A.</v>
      </c>
    </row>
    <row r="1977" spans="1:25" s="228" customFormat="1" ht="20.25">
      <c r="A1977" s="400" t="s">
        <v>3483</v>
      </c>
      <c r="B1977" s="396" t="s">
        <v>2324</v>
      </c>
      <c r="C1977" s="397" t="s">
        <v>4161</v>
      </c>
      <c r="D1977" s="396" t="s">
        <v>4161</v>
      </c>
      <c r="E1977" s="396" t="s">
        <v>5016</v>
      </c>
      <c r="F1977" s="396" t="s">
        <v>3483</v>
      </c>
      <c r="G1977" s="396" t="s">
        <v>3125</v>
      </c>
      <c r="H1977" s="398" t="s">
        <v>5024</v>
      </c>
      <c r="I1977" s="399" t="s">
        <v>3484</v>
      </c>
      <c r="J1977" s="399" t="s">
        <v>3256</v>
      </c>
      <c r="K1977" s="402" t="s">
        <v>5024</v>
      </c>
      <c r="L1977" s="402" t="s">
        <v>5024</v>
      </c>
      <c r="M1977" s="402" t="s">
        <v>5024</v>
      </c>
      <c r="N1977" s="402" t="s">
        <v>5024</v>
      </c>
      <c r="O1977" s="402" t="s">
        <v>5024</v>
      </c>
      <c r="P1977" s="402" t="s">
        <v>924</v>
      </c>
      <c r="Q1977" s="403" t="s">
        <v>5024</v>
      </c>
      <c r="R1977" s="233"/>
      <c r="S1977" s="234">
        <f>IF(C1977="",NA(),MATCH($B1977&amp;$C1977,'Smelter Reference List'!$J:$J,0))</f>
        <v>381</v>
      </c>
      <c r="T1977" s="235"/>
      <c r="U1977" s="235">
        <f t="shared" si="56"/>
        <v>0</v>
      </c>
      <c r="V1977" s="235"/>
      <c r="W1977" s="235"/>
      <c r="Y1977" s="228" t="str">
        <f t="shared" si="57"/>
        <v>TinMetallic Resources, Inc.</v>
      </c>
    </row>
    <row r="1978" spans="1:25" s="228" customFormat="1" ht="20.25">
      <c r="A1978" s="400" t="s">
        <v>3547</v>
      </c>
      <c r="B1978" s="396" t="s">
        <v>2324</v>
      </c>
      <c r="C1978" s="397" t="s">
        <v>3546</v>
      </c>
      <c r="D1978" s="396" t="s">
        <v>3546</v>
      </c>
      <c r="E1978" s="396" t="s">
        <v>2158</v>
      </c>
      <c r="F1978" s="396" t="s">
        <v>3547</v>
      </c>
      <c r="G1978" s="396" t="s">
        <v>3125</v>
      </c>
      <c r="H1978" s="398" t="s">
        <v>5024</v>
      </c>
      <c r="I1978" s="399" t="s">
        <v>3548</v>
      </c>
      <c r="J1978" s="399" t="s">
        <v>3315</v>
      </c>
      <c r="K1978" s="402" t="s">
        <v>5024</v>
      </c>
      <c r="L1978" s="402" t="s">
        <v>5024</v>
      </c>
      <c r="M1978" s="402" t="s">
        <v>5024</v>
      </c>
      <c r="N1978" s="402" t="s">
        <v>5024</v>
      </c>
      <c r="O1978" s="402" t="s">
        <v>5024</v>
      </c>
      <c r="P1978" s="402" t="s">
        <v>925</v>
      </c>
      <c r="Q1978" s="403" t="s">
        <v>5024</v>
      </c>
      <c r="R1978" s="233"/>
      <c r="S1978" s="234">
        <f>IF(C1978="",NA(),MATCH($B1978&amp;$C1978,'Smelter Reference List'!$J:$J,0))</f>
        <v>382</v>
      </c>
      <c r="T1978" s="235"/>
      <c r="U1978" s="235">
        <f t="shared" si="56"/>
        <v>0</v>
      </c>
      <c r="V1978" s="235"/>
      <c r="W1978" s="235"/>
      <c r="Y1978" s="228" t="str">
        <f t="shared" si="57"/>
        <v>TinMetallo-Chimique N.V.</v>
      </c>
    </row>
    <row r="1979" spans="1:25" s="228" customFormat="1" ht="20.25">
      <c r="A1979" s="400" t="s">
        <v>1379</v>
      </c>
      <c r="B1979" s="396" t="s">
        <v>2324</v>
      </c>
      <c r="C1979" s="397" t="s">
        <v>1953</v>
      </c>
      <c r="D1979" s="396" t="s">
        <v>1953</v>
      </c>
      <c r="E1979" s="396" t="s">
        <v>2170</v>
      </c>
      <c r="F1979" s="396" t="s">
        <v>1379</v>
      </c>
      <c r="G1979" s="396" t="s">
        <v>3125</v>
      </c>
      <c r="H1979" s="398" t="s">
        <v>5024</v>
      </c>
      <c r="I1979" s="399" t="s">
        <v>3485</v>
      </c>
      <c r="J1979" s="399" t="s">
        <v>3313</v>
      </c>
      <c r="K1979" s="402" t="s">
        <v>5024</v>
      </c>
      <c r="L1979" s="402" t="s">
        <v>5024</v>
      </c>
      <c r="M1979" s="402" t="s">
        <v>5024</v>
      </c>
      <c r="N1979" s="402" t="s">
        <v>5024</v>
      </c>
      <c r="O1979" s="402" t="s">
        <v>5024</v>
      </c>
      <c r="P1979" s="402" t="s">
        <v>925</v>
      </c>
      <c r="Q1979" s="403" t="s">
        <v>5024</v>
      </c>
      <c r="R1979" s="233"/>
      <c r="S1979" s="234">
        <f>IF(C1979="",NA(),MATCH($B1979&amp;$C1979,'Smelter Reference List'!$J:$J,0))</f>
        <v>383</v>
      </c>
      <c r="T1979" s="235"/>
      <c r="U1979" s="235">
        <f t="shared" si="56"/>
        <v>0</v>
      </c>
      <c r="V1979" s="235"/>
      <c r="W1979" s="235"/>
      <c r="Y1979" s="228" t="str">
        <f t="shared" si="57"/>
        <v>TinMineração Taboca S.A.</v>
      </c>
    </row>
    <row r="1980" spans="1:25" s="228" customFormat="1" ht="20.25">
      <c r="A1980" s="400" t="s">
        <v>1380</v>
      </c>
      <c r="B1980" s="396" t="s">
        <v>2324</v>
      </c>
      <c r="C1980" s="397" t="s">
        <v>1954</v>
      </c>
      <c r="D1980" s="396" t="s">
        <v>1954</v>
      </c>
      <c r="E1980" s="396" t="s">
        <v>1704</v>
      </c>
      <c r="F1980" s="396" t="s">
        <v>1380</v>
      </c>
      <c r="G1980" s="396" t="s">
        <v>3125</v>
      </c>
      <c r="H1980" s="398" t="s">
        <v>5024</v>
      </c>
      <c r="I1980" s="399" t="s">
        <v>3487</v>
      </c>
      <c r="J1980" s="399" t="s">
        <v>3488</v>
      </c>
      <c r="K1980" s="402" t="s">
        <v>5024</v>
      </c>
      <c r="L1980" s="402" t="s">
        <v>5024</v>
      </c>
      <c r="M1980" s="402" t="s">
        <v>5024</v>
      </c>
      <c r="N1980" s="402" t="s">
        <v>5024</v>
      </c>
      <c r="O1980" s="402" t="s">
        <v>5024</v>
      </c>
      <c r="P1980" s="402" t="s">
        <v>925</v>
      </c>
      <c r="Q1980" s="403" t="s">
        <v>5024</v>
      </c>
      <c r="R1980" s="233"/>
      <c r="S1980" s="234">
        <f>IF(C1980="",NA(),MATCH($B1980&amp;$C1980,'Smelter Reference List'!$J:$J,0))</f>
        <v>384</v>
      </c>
      <c r="T1980" s="235"/>
      <c r="U1980" s="235">
        <f t="shared" si="56"/>
        <v>0</v>
      </c>
      <c r="V1980" s="235"/>
      <c r="W1980" s="235"/>
      <c r="Y1980" s="228" t="str">
        <f t="shared" si="57"/>
        <v>TinMinsur</v>
      </c>
    </row>
    <row r="1981" spans="1:25" s="228" customFormat="1" ht="20.25">
      <c r="A1981" s="400" t="s">
        <v>1381</v>
      </c>
      <c r="B1981" s="396" t="s">
        <v>2324</v>
      </c>
      <c r="C1981" s="397" t="s">
        <v>2371</v>
      </c>
      <c r="D1981" s="396" t="s">
        <v>2371</v>
      </c>
      <c r="E1981" s="396" t="s">
        <v>2249</v>
      </c>
      <c r="F1981" s="396" t="s">
        <v>1381</v>
      </c>
      <c r="G1981" s="396" t="s">
        <v>3125</v>
      </c>
      <c r="H1981" s="398" t="s">
        <v>5024</v>
      </c>
      <c r="I1981" s="399" t="s">
        <v>3490</v>
      </c>
      <c r="J1981" s="399" t="s">
        <v>3140</v>
      </c>
      <c r="K1981" s="402" t="s">
        <v>5024</v>
      </c>
      <c r="L1981" s="402" t="s">
        <v>5024</v>
      </c>
      <c r="M1981" s="402" t="s">
        <v>5024</v>
      </c>
      <c r="N1981" s="402" t="s">
        <v>5024</v>
      </c>
      <c r="O1981" s="402" t="s">
        <v>5024</v>
      </c>
      <c r="P1981" s="402" t="s">
        <v>924</v>
      </c>
      <c r="Q1981" s="403" t="s">
        <v>5024</v>
      </c>
      <c r="R1981" s="233"/>
      <c r="S1981" s="234">
        <f>IF(C1981="",NA(),MATCH($B1981&amp;$C1981,'Smelter Reference List'!$J:$J,0))</f>
        <v>385</v>
      </c>
      <c r="T1981" s="235"/>
      <c r="U1981" s="235">
        <f t="shared" si="56"/>
        <v>0</v>
      </c>
      <c r="V1981" s="235"/>
      <c r="W1981" s="235"/>
      <c r="Y1981" s="228" t="str">
        <f t="shared" si="57"/>
        <v>TinMitsubishi Materials Corporation</v>
      </c>
    </row>
    <row r="1982" spans="1:25" s="228" customFormat="1" ht="20.25">
      <c r="A1982" s="400" t="s">
        <v>3491</v>
      </c>
      <c r="B1982" s="396" t="s">
        <v>2324</v>
      </c>
      <c r="C1982" s="397" t="s">
        <v>4165</v>
      </c>
      <c r="D1982" s="396" t="s">
        <v>4165</v>
      </c>
      <c r="E1982" s="396" t="s">
        <v>2181</v>
      </c>
      <c r="F1982" s="396" t="s">
        <v>3491</v>
      </c>
      <c r="G1982" s="396" t="s">
        <v>3125</v>
      </c>
      <c r="H1982" s="398" t="s">
        <v>5024</v>
      </c>
      <c r="I1982" s="399" t="s">
        <v>3471</v>
      </c>
      <c r="J1982" s="399" t="s">
        <v>3204</v>
      </c>
      <c r="K1982" s="402" t="s">
        <v>5024</v>
      </c>
      <c r="L1982" s="402" t="s">
        <v>5024</v>
      </c>
      <c r="M1982" s="402" t="s">
        <v>5024</v>
      </c>
      <c r="N1982" s="402" t="s">
        <v>5024</v>
      </c>
      <c r="O1982" s="402" t="s">
        <v>5024</v>
      </c>
      <c r="P1982" s="402" t="s">
        <v>5024</v>
      </c>
      <c r="Q1982" s="403" t="s">
        <v>5024</v>
      </c>
      <c r="R1982" s="233"/>
      <c r="S1982" s="234">
        <f>IF(C1982="",NA(),MATCH($B1982&amp;$C1982,'Smelter Reference List'!$J:$J,0))</f>
        <v>388</v>
      </c>
      <c r="T1982" s="235"/>
      <c r="U1982" s="235">
        <f t="shared" si="56"/>
        <v>0</v>
      </c>
      <c r="V1982" s="235"/>
      <c r="W1982" s="235"/>
      <c r="Y1982" s="228" t="str">
        <f t="shared" si="57"/>
        <v>TinNankang Nanshan Tin Manufactory Co., Ltd.</v>
      </c>
    </row>
    <row r="1983" spans="1:25" s="228" customFormat="1" ht="25.5">
      <c r="A1983" s="400" t="s">
        <v>3536</v>
      </c>
      <c r="B1983" s="396" t="s">
        <v>2324</v>
      </c>
      <c r="C1983" s="397" t="s">
        <v>3535</v>
      </c>
      <c r="D1983" s="396" t="s">
        <v>3535</v>
      </c>
      <c r="E1983" s="396" t="s">
        <v>1766</v>
      </c>
      <c r="F1983" s="396" t="s">
        <v>3536</v>
      </c>
      <c r="G1983" s="396" t="s">
        <v>3125</v>
      </c>
      <c r="H1983" s="398" t="s">
        <v>5024</v>
      </c>
      <c r="I1983" s="399" t="s">
        <v>3537</v>
      </c>
      <c r="J1983" s="399" t="s">
        <v>3538</v>
      </c>
      <c r="K1983" s="402" t="s">
        <v>5024</v>
      </c>
      <c r="L1983" s="402" t="s">
        <v>5024</v>
      </c>
      <c r="M1983" s="402" t="s">
        <v>5024</v>
      </c>
      <c r="N1983" s="402" t="s">
        <v>5024</v>
      </c>
      <c r="O1983" s="402" t="s">
        <v>5024</v>
      </c>
      <c r="P1983" s="402" t="s">
        <v>5024</v>
      </c>
      <c r="Q1983" s="403" t="s">
        <v>5024</v>
      </c>
      <c r="R1983" s="233"/>
      <c r="S1983" s="234">
        <f>IF(C1983="",NA(),MATCH($B1983&amp;$C1983,'Smelter Reference List'!$J:$J,0))</f>
        <v>390</v>
      </c>
      <c r="T1983" s="235"/>
      <c r="U1983" s="235">
        <f t="shared" si="56"/>
        <v>0</v>
      </c>
      <c r="V1983" s="235"/>
      <c r="W1983" s="235"/>
      <c r="Y1983" s="228" t="str">
        <f t="shared" si="57"/>
        <v>TinNghe Tinh Non-Ferrous Metals Joint Stock Company</v>
      </c>
    </row>
    <row r="1984" spans="1:25" s="228" customFormat="1" ht="20.25">
      <c r="A1984" s="400" t="s">
        <v>1383</v>
      </c>
      <c r="B1984" s="396" t="s">
        <v>2324</v>
      </c>
      <c r="C1984" s="397" t="s">
        <v>1382</v>
      </c>
      <c r="D1984" s="396" t="s">
        <v>1382</v>
      </c>
      <c r="E1984" s="396" t="s">
        <v>1743</v>
      </c>
      <c r="F1984" s="396" t="s">
        <v>1383</v>
      </c>
      <c r="G1984" s="396" t="s">
        <v>3125</v>
      </c>
      <c r="H1984" s="398" t="s">
        <v>5024</v>
      </c>
      <c r="I1984" s="399" t="s">
        <v>4744</v>
      </c>
      <c r="J1984" s="399" t="s">
        <v>3493</v>
      </c>
      <c r="K1984" s="402" t="s">
        <v>5024</v>
      </c>
      <c r="L1984" s="402" t="s">
        <v>5024</v>
      </c>
      <c r="M1984" s="402" t="s">
        <v>5024</v>
      </c>
      <c r="N1984" s="402" t="s">
        <v>5024</v>
      </c>
      <c r="O1984" s="402" t="s">
        <v>5024</v>
      </c>
      <c r="P1984" s="402" t="s">
        <v>924</v>
      </c>
      <c r="Q1984" s="403" t="s">
        <v>5024</v>
      </c>
      <c r="R1984" s="233"/>
      <c r="S1984" s="234">
        <f>IF(C1984="",NA(),MATCH($B1984&amp;$C1984,'Smelter Reference List'!$J:$J,0))</f>
        <v>391</v>
      </c>
      <c r="T1984" s="235"/>
      <c r="U1984" s="235">
        <f t="shared" si="56"/>
        <v>0</v>
      </c>
      <c r="V1984" s="235"/>
      <c r="W1984" s="235"/>
      <c r="Y1984" s="228" t="str">
        <f t="shared" si="57"/>
        <v>TinO.M. Manufacturing (Thailand) Co., Ltd.</v>
      </c>
    </row>
    <row r="1985" spans="1:25" s="228" customFormat="1" ht="20.25">
      <c r="A1985" s="400" t="s">
        <v>2707</v>
      </c>
      <c r="B1985" s="396" t="s">
        <v>2324</v>
      </c>
      <c r="C1985" s="397" t="s">
        <v>2706</v>
      </c>
      <c r="D1985" s="396" t="s">
        <v>2706</v>
      </c>
      <c r="E1985" s="396" t="s">
        <v>1705</v>
      </c>
      <c r="F1985" s="396" t="s">
        <v>2707</v>
      </c>
      <c r="G1985" s="396" t="s">
        <v>3125</v>
      </c>
      <c r="H1985" s="398" t="s">
        <v>5024</v>
      </c>
      <c r="I1985" s="399" t="s">
        <v>3527</v>
      </c>
      <c r="J1985" s="399" t="s">
        <v>3528</v>
      </c>
      <c r="K1985" s="402" t="s">
        <v>5024</v>
      </c>
      <c r="L1985" s="402" t="s">
        <v>5024</v>
      </c>
      <c r="M1985" s="402" t="s">
        <v>5024</v>
      </c>
      <c r="N1985" s="402" t="s">
        <v>5024</v>
      </c>
      <c r="O1985" s="402" t="s">
        <v>5024</v>
      </c>
      <c r="P1985" s="402" t="s">
        <v>925</v>
      </c>
      <c r="Q1985" s="403" t="s">
        <v>5024</v>
      </c>
      <c r="R1985" s="233"/>
      <c r="S1985" s="234">
        <f>IF(C1985="",NA(),MATCH($B1985&amp;$C1985,'Smelter Reference List'!$J:$J,0))</f>
        <v>392</v>
      </c>
      <c r="T1985" s="235"/>
      <c r="U1985" s="235">
        <f t="shared" si="56"/>
        <v>0</v>
      </c>
      <c r="V1985" s="235"/>
      <c r="W1985" s="235"/>
      <c r="Y1985" s="228" t="str">
        <f t="shared" si="57"/>
        <v>TinO.M. Manufacturing Philippines, Inc.</v>
      </c>
    </row>
    <row r="1986" spans="1:25" s="228" customFormat="1" ht="25.5">
      <c r="A1986" s="400" t="s">
        <v>1384</v>
      </c>
      <c r="B1986" s="396" t="s">
        <v>2324</v>
      </c>
      <c r="C1986" s="397" t="s">
        <v>3494</v>
      </c>
      <c r="D1986" s="396" t="s">
        <v>3494</v>
      </c>
      <c r="E1986" s="396" t="s">
        <v>5022</v>
      </c>
      <c r="F1986" s="396" t="s">
        <v>1384</v>
      </c>
      <c r="G1986" s="396" t="s">
        <v>3125</v>
      </c>
      <c r="H1986" s="398" t="s">
        <v>5024</v>
      </c>
      <c r="I1986" s="399" t="s">
        <v>3459</v>
      </c>
      <c r="J1986" s="399" t="s">
        <v>3460</v>
      </c>
      <c r="K1986" s="402" t="s">
        <v>5024</v>
      </c>
      <c r="L1986" s="402" t="s">
        <v>5024</v>
      </c>
      <c r="M1986" s="402" t="s">
        <v>5024</v>
      </c>
      <c r="N1986" s="402" t="s">
        <v>5024</v>
      </c>
      <c r="O1986" s="402" t="s">
        <v>5024</v>
      </c>
      <c r="P1986" s="402" t="s">
        <v>925</v>
      </c>
      <c r="Q1986" s="403" t="s">
        <v>5024</v>
      </c>
      <c r="R1986" s="233"/>
      <c r="S1986" s="234">
        <f>IF(C1986="",NA(),MATCH($B1986&amp;$C1986,'Smelter Reference List'!$J:$J,0))</f>
        <v>394</v>
      </c>
      <c r="T1986" s="235"/>
      <c r="U1986" s="235">
        <f t="shared" si="56"/>
        <v>0</v>
      </c>
      <c r="V1986" s="235"/>
      <c r="W1986" s="235"/>
      <c r="Y1986" s="228" t="str">
        <f t="shared" si="57"/>
        <v>TinOperaciones Metalurgical S.A.</v>
      </c>
    </row>
    <row r="1987" spans="1:25" s="228" customFormat="1" ht="20.25">
      <c r="A1987" s="400" t="s">
        <v>2667</v>
      </c>
      <c r="B1987" s="396" t="s">
        <v>2324</v>
      </c>
      <c r="C1987" s="397" t="s">
        <v>4289</v>
      </c>
      <c r="D1987" s="396" t="s">
        <v>4289</v>
      </c>
      <c r="E1987" s="396" t="s">
        <v>2238</v>
      </c>
      <c r="F1987" s="396" t="s">
        <v>2667</v>
      </c>
      <c r="G1987" s="396" t="s">
        <v>3125</v>
      </c>
      <c r="H1987" s="398" t="s">
        <v>5024</v>
      </c>
      <c r="I1987" s="399" t="s">
        <v>5021</v>
      </c>
      <c r="J1987" s="399" t="s">
        <v>3454</v>
      </c>
      <c r="K1987" s="402" t="s">
        <v>5024</v>
      </c>
      <c r="L1987" s="402" t="s">
        <v>5024</v>
      </c>
      <c r="M1987" s="402" t="s">
        <v>5024</v>
      </c>
      <c r="N1987" s="402" t="s">
        <v>5024</v>
      </c>
      <c r="O1987" s="402" t="s">
        <v>5024</v>
      </c>
      <c r="P1987" s="402" t="s">
        <v>925</v>
      </c>
      <c r="Q1987" s="403" t="s">
        <v>5024</v>
      </c>
      <c r="R1987" s="233"/>
      <c r="S1987" s="234">
        <f>IF(C1987="",NA(),MATCH($B1987&amp;$C1987,'Smelter Reference List'!$J:$J,0))</f>
        <v>398</v>
      </c>
      <c r="T1987" s="235"/>
      <c r="U1987" s="235">
        <f t="shared" si="56"/>
        <v>0</v>
      </c>
      <c r="V1987" s="235"/>
      <c r="W1987" s="235"/>
      <c r="Y1987" s="228" t="str">
        <f t="shared" si="57"/>
        <v>TinPT Aries Kencana Sejahtera</v>
      </c>
    </row>
    <row r="1988" spans="1:25" s="228" customFormat="1" ht="20.25">
      <c r="A1988" s="400" t="s">
        <v>1385</v>
      </c>
      <c r="B1988" s="396" t="s">
        <v>2324</v>
      </c>
      <c r="C1988" s="397" t="s">
        <v>1508</v>
      </c>
      <c r="D1988" s="396" t="s">
        <v>1508</v>
      </c>
      <c r="E1988" s="396" t="s">
        <v>2238</v>
      </c>
      <c r="F1988" s="396" t="s">
        <v>1385</v>
      </c>
      <c r="G1988" s="396" t="s">
        <v>3125</v>
      </c>
      <c r="H1988" s="398" t="s">
        <v>5024</v>
      </c>
      <c r="I1988" s="399" t="s">
        <v>3453</v>
      </c>
      <c r="J1988" s="399" t="s">
        <v>3454</v>
      </c>
      <c r="K1988" s="402" t="s">
        <v>5024</v>
      </c>
      <c r="L1988" s="402" t="s">
        <v>5024</v>
      </c>
      <c r="M1988" s="402" t="s">
        <v>5024</v>
      </c>
      <c r="N1988" s="402" t="s">
        <v>5024</v>
      </c>
      <c r="O1988" s="402" t="s">
        <v>5024</v>
      </c>
      <c r="P1988" s="402" t="s">
        <v>925</v>
      </c>
      <c r="Q1988" s="403" t="s">
        <v>5024</v>
      </c>
      <c r="R1988" s="233"/>
      <c r="S1988" s="234">
        <f>IF(C1988="",NA(),MATCH($B1988&amp;$C1988,'Smelter Reference List'!$J:$J,0))</f>
        <v>399</v>
      </c>
      <c r="T1988" s="235"/>
      <c r="U1988" s="235">
        <f t="shared" si="56"/>
        <v>0</v>
      </c>
      <c r="V1988" s="235"/>
      <c r="W1988" s="235"/>
      <c r="Y1988" s="228" t="str">
        <f t="shared" si="57"/>
        <v>TinPT Artha Cipta Langgeng</v>
      </c>
    </row>
    <row r="1989" spans="1:25" s="228" customFormat="1" ht="20.25">
      <c r="A1989" s="400" t="s">
        <v>2709</v>
      </c>
      <c r="B1989" s="396" t="s">
        <v>2324</v>
      </c>
      <c r="C1989" s="397" t="s">
        <v>2708</v>
      </c>
      <c r="D1989" s="396" t="s">
        <v>2708</v>
      </c>
      <c r="E1989" s="396" t="s">
        <v>2238</v>
      </c>
      <c r="F1989" s="396" t="s">
        <v>2709</v>
      </c>
      <c r="G1989" s="396" t="s">
        <v>3125</v>
      </c>
      <c r="H1989" s="398" t="s">
        <v>5024</v>
      </c>
      <c r="I1989" s="399" t="s">
        <v>3453</v>
      </c>
      <c r="J1989" s="399" t="s">
        <v>3454</v>
      </c>
      <c r="K1989" s="402" t="s">
        <v>5024</v>
      </c>
      <c r="L1989" s="402" t="s">
        <v>5024</v>
      </c>
      <c r="M1989" s="402" t="s">
        <v>5024</v>
      </c>
      <c r="N1989" s="402" t="s">
        <v>5024</v>
      </c>
      <c r="O1989" s="402" t="s">
        <v>5024</v>
      </c>
      <c r="P1989" s="402" t="s">
        <v>925</v>
      </c>
      <c r="Q1989" s="403" t="s">
        <v>5024</v>
      </c>
      <c r="R1989" s="233"/>
      <c r="S1989" s="234">
        <f>IF(C1989="",NA(),MATCH($B1989&amp;$C1989,'Smelter Reference List'!$J:$J,0))</f>
        <v>400</v>
      </c>
      <c r="T1989" s="235"/>
      <c r="U1989" s="235">
        <f t="shared" si="56"/>
        <v>0</v>
      </c>
      <c r="V1989" s="235"/>
      <c r="W1989" s="235"/>
      <c r="Y1989" s="228" t="str">
        <f t="shared" si="57"/>
        <v>TinPT ATD Makmur Mandiri Jaya</v>
      </c>
    </row>
    <row r="1990" spans="1:25" s="228" customFormat="1" ht="20.25">
      <c r="A1990" s="400" t="s">
        <v>1386</v>
      </c>
      <c r="B1990" s="396" t="s">
        <v>2324</v>
      </c>
      <c r="C1990" s="397" t="s">
        <v>1509</v>
      </c>
      <c r="D1990" s="396" t="s">
        <v>1509</v>
      </c>
      <c r="E1990" s="396" t="s">
        <v>2238</v>
      </c>
      <c r="F1990" s="396" t="s">
        <v>1386</v>
      </c>
      <c r="G1990" s="396" t="s">
        <v>3125</v>
      </c>
      <c r="H1990" s="398" t="s">
        <v>5024</v>
      </c>
      <c r="I1990" s="399" t="s">
        <v>3495</v>
      </c>
      <c r="J1990" s="399" t="s">
        <v>3454</v>
      </c>
      <c r="K1990" s="402" t="s">
        <v>5024</v>
      </c>
      <c r="L1990" s="402" t="s">
        <v>5024</v>
      </c>
      <c r="M1990" s="402" t="s">
        <v>5024</v>
      </c>
      <c r="N1990" s="402" t="s">
        <v>5024</v>
      </c>
      <c r="O1990" s="402" t="s">
        <v>5024</v>
      </c>
      <c r="P1990" s="402" t="s">
        <v>925</v>
      </c>
      <c r="Q1990" s="403" t="s">
        <v>5024</v>
      </c>
      <c r="R1990" s="233"/>
      <c r="S1990" s="234">
        <f>IF(C1990="",NA(),MATCH($B1990&amp;$C1990,'Smelter Reference List'!$J:$J,0))</f>
        <v>401</v>
      </c>
      <c r="T1990" s="235"/>
      <c r="U1990" s="235">
        <f t="shared" ref="U1990:U2053" si="58">IF(AND(C1990="Smelter not listed",OR(LEN(D1990)=0,LEN(E1990)=0)),1,0)</f>
        <v>0</v>
      </c>
      <c r="V1990" s="235"/>
      <c r="W1990" s="235"/>
      <c r="Y1990" s="228" t="str">
        <f t="shared" ref="Y1990:Y2053" si="59">B1990&amp;C1990</f>
        <v>TinPT Babel Inti Perkasa</v>
      </c>
    </row>
    <row r="1991" spans="1:25" s="228" customFormat="1" ht="20.25">
      <c r="A1991" s="400" t="s">
        <v>4278</v>
      </c>
      <c r="B1991" s="396" t="s">
        <v>2324</v>
      </c>
      <c r="C1991" s="397" t="s">
        <v>4277</v>
      </c>
      <c r="D1991" s="396" t="s">
        <v>4277</v>
      </c>
      <c r="E1991" s="396" t="s">
        <v>2238</v>
      </c>
      <c r="F1991" s="396" t="s">
        <v>4278</v>
      </c>
      <c r="G1991" s="396" t="s">
        <v>3125</v>
      </c>
      <c r="H1991" s="398" t="s">
        <v>5024</v>
      </c>
      <c r="I1991" s="399" t="s">
        <v>3455</v>
      </c>
      <c r="J1991" s="399" t="s">
        <v>3454</v>
      </c>
      <c r="K1991" s="402" t="s">
        <v>5024</v>
      </c>
      <c r="L1991" s="402" t="s">
        <v>5024</v>
      </c>
      <c r="M1991" s="402" t="s">
        <v>5024</v>
      </c>
      <c r="N1991" s="402" t="s">
        <v>5024</v>
      </c>
      <c r="O1991" s="402" t="s">
        <v>5024</v>
      </c>
      <c r="P1991" s="402" t="s">
        <v>925</v>
      </c>
      <c r="Q1991" s="403" t="s">
        <v>5024</v>
      </c>
      <c r="R1991" s="233"/>
      <c r="S1991" s="234">
        <f>IF(C1991="",NA(),MATCH($B1991&amp;$C1991,'Smelter Reference List'!$J:$J,0))</f>
        <v>403</v>
      </c>
      <c r="T1991" s="235"/>
      <c r="U1991" s="235">
        <f t="shared" si="58"/>
        <v>0</v>
      </c>
      <c r="V1991" s="235"/>
      <c r="W1991" s="235"/>
      <c r="Y1991" s="228" t="str">
        <f t="shared" si="59"/>
        <v>TinPT Bangka Prima Tin</v>
      </c>
    </row>
    <row r="1992" spans="1:25" s="228" customFormat="1" ht="20.25">
      <c r="A1992" s="400" t="s">
        <v>1387</v>
      </c>
      <c r="B1992" s="396" t="s">
        <v>2324</v>
      </c>
      <c r="C1992" s="397" t="s">
        <v>1173</v>
      </c>
      <c r="D1992" s="396" t="s">
        <v>1173</v>
      </c>
      <c r="E1992" s="396" t="s">
        <v>2238</v>
      </c>
      <c r="F1992" s="396" t="s">
        <v>1387</v>
      </c>
      <c r="G1992" s="396" t="s">
        <v>3125</v>
      </c>
      <c r="H1992" s="398" t="s">
        <v>5024</v>
      </c>
      <c r="I1992" s="399" t="s">
        <v>3453</v>
      </c>
      <c r="J1992" s="399" t="s">
        <v>3454</v>
      </c>
      <c r="K1992" s="402" t="s">
        <v>5024</v>
      </c>
      <c r="L1992" s="402" t="s">
        <v>5024</v>
      </c>
      <c r="M1992" s="402" t="s">
        <v>5024</v>
      </c>
      <c r="N1992" s="402" t="s">
        <v>5024</v>
      </c>
      <c r="O1992" s="402" t="s">
        <v>5024</v>
      </c>
      <c r="P1992" s="402" t="s">
        <v>925</v>
      </c>
      <c r="Q1992" s="403" t="s">
        <v>5024</v>
      </c>
      <c r="R1992" s="233"/>
      <c r="S1992" s="234">
        <f>IF(C1992="",NA(),MATCH($B1992&amp;$C1992,'Smelter Reference List'!$J:$J,0))</f>
        <v>405</v>
      </c>
      <c r="T1992" s="235"/>
      <c r="U1992" s="235">
        <f t="shared" si="58"/>
        <v>0</v>
      </c>
      <c r="V1992" s="235"/>
      <c r="W1992" s="235"/>
      <c r="Y1992" s="228" t="str">
        <f t="shared" si="59"/>
        <v>TinPT Bangka Tin Industry</v>
      </c>
    </row>
    <row r="1993" spans="1:25" s="228" customFormat="1" ht="20.25">
      <c r="A1993" s="400" t="s">
        <v>1388</v>
      </c>
      <c r="B1993" s="396" t="s">
        <v>2324</v>
      </c>
      <c r="C1993" s="397" t="s">
        <v>1193</v>
      </c>
      <c r="D1993" s="396" t="s">
        <v>1193</v>
      </c>
      <c r="E1993" s="396" t="s">
        <v>2238</v>
      </c>
      <c r="F1993" s="396" t="s">
        <v>1388</v>
      </c>
      <c r="G1993" s="396" t="s">
        <v>3125</v>
      </c>
      <c r="H1993" s="398" t="s">
        <v>5024</v>
      </c>
      <c r="I1993" s="399" t="s">
        <v>3457</v>
      </c>
      <c r="J1993" s="399" t="s">
        <v>3454</v>
      </c>
      <c r="K1993" s="402" t="s">
        <v>5024</v>
      </c>
      <c r="L1993" s="402" t="s">
        <v>5024</v>
      </c>
      <c r="M1993" s="402" t="s">
        <v>5024</v>
      </c>
      <c r="N1993" s="402" t="s">
        <v>5024</v>
      </c>
      <c r="O1993" s="402" t="s">
        <v>5024</v>
      </c>
      <c r="P1993" s="402" t="s">
        <v>925</v>
      </c>
      <c r="Q1993" s="403" t="s">
        <v>5024</v>
      </c>
      <c r="R1993" s="233"/>
      <c r="S1993" s="234">
        <f>IF(C1993="",NA(),MATCH($B1993&amp;$C1993,'Smelter Reference List'!$J:$J,0))</f>
        <v>406</v>
      </c>
      <c r="T1993" s="235"/>
      <c r="U1993" s="235">
        <f t="shared" si="58"/>
        <v>0</v>
      </c>
      <c r="V1993" s="235"/>
      <c r="W1993" s="235"/>
      <c r="Y1993" s="228" t="str">
        <f t="shared" si="59"/>
        <v>TinPT Belitung Industri Sejahtera</v>
      </c>
    </row>
    <row r="1994" spans="1:25" s="228" customFormat="1" ht="20.25">
      <c r="A1994" s="400" t="s">
        <v>1389</v>
      </c>
      <c r="B1994" s="396" t="s">
        <v>2324</v>
      </c>
      <c r="C1994" s="397" t="s">
        <v>1194</v>
      </c>
      <c r="D1994" s="396" t="s">
        <v>1194</v>
      </c>
      <c r="E1994" s="396" t="s">
        <v>2238</v>
      </c>
      <c r="F1994" s="396" t="s">
        <v>1389</v>
      </c>
      <c r="G1994" s="396" t="s">
        <v>3125</v>
      </c>
      <c r="H1994" s="398" t="s">
        <v>5024</v>
      </c>
      <c r="I1994" s="399" t="s">
        <v>3457</v>
      </c>
      <c r="J1994" s="399" t="s">
        <v>3454</v>
      </c>
      <c r="K1994" s="402" t="s">
        <v>5024</v>
      </c>
      <c r="L1994" s="402" t="s">
        <v>5024</v>
      </c>
      <c r="M1994" s="402" t="s">
        <v>5024</v>
      </c>
      <c r="N1994" s="402" t="s">
        <v>5024</v>
      </c>
      <c r="O1994" s="402" t="s">
        <v>5024</v>
      </c>
      <c r="P1994" s="402" t="s">
        <v>925</v>
      </c>
      <c r="Q1994" s="403" t="s">
        <v>5024</v>
      </c>
      <c r="R1994" s="233"/>
      <c r="S1994" s="234">
        <f>IF(C1994="",NA(),MATCH($B1994&amp;$C1994,'Smelter Reference List'!$J:$J,0))</f>
        <v>408</v>
      </c>
      <c r="T1994" s="235"/>
      <c r="U1994" s="235">
        <f t="shared" si="58"/>
        <v>0</v>
      </c>
      <c r="V1994" s="235"/>
      <c r="W1994" s="235"/>
      <c r="Y1994" s="228" t="str">
        <f t="shared" si="59"/>
        <v>TinPT Bukit Timah</v>
      </c>
    </row>
    <row r="1995" spans="1:25" s="228" customFormat="1" ht="20.25">
      <c r="A1995" s="400" t="s">
        <v>3544</v>
      </c>
      <c r="B1995" s="396" t="s">
        <v>2324</v>
      </c>
      <c r="C1995" s="397" t="s">
        <v>3543</v>
      </c>
      <c r="D1995" s="396" t="s">
        <v>3543</v>
      </c>
      <c r="E1995" s="396" t="s">
        <v>2238</v>
      </c>
      <c r="F1995" s="396" t="s">
        <v>3544</v>
      </c>
      <c r="G1995" s="396" t="s">
        <v>3125</v>
      </c>
      <c r="H1995" s="398" t="s">
        <v>5024</v>
      </c>
      <c r="I1995" s="399" t="s">
        <v>3457</v>
      </c>
      <c r="J1995" s="399" t="s">
        <v>3454</v>
      </c>
      <c r="K1995" s="402" t="s">
        <v>5024</v>
      </c>
      <c r="L1995" s="402" t="s">
        <v>5024</v>
      </c>
      <c r="M1995" s="402" t="s">
        <v>5024</v>
      </c>
      <c r="N1995" s="402" t="s">
        <v>5024</v>
      </c>
      <c r="O1995" s="402" t="s">
        <v>5024</v>
      </c>
      <c r="P1995" s="402" t="s">
        <v>925</v>
      </c>
      <c r="Q1995" s="403" t="s">
        <v>5024</v>
      </c>
      <c r="R1995" s="233"/>
      <c r="S1995" s="234">
        <f>IF(C1995="",NA(),MATCH($B1995&amp;$C1995,'Smelter Reference List'!$J:$J,0))</f>
        <v>409</v>
      </c>
      <c r="T1995" s="235"/>
      <c r="U1995" s="235">
        <f t="shared" si="58"/>
        <v>0</v>
      </c>
      <c r="V1995" s="235"/>
      <c r="W1995" s="235"/>
      <c r="Y1995" s="228" t="str">
        <f t="shared" si="59"/>
        <v>TinPT Cipta Persada Mulia</v>
      </c>
    </row>
    <row r="1996" spans="1:25" s="228" customFormat="1" ht="20.25">
      <c r="A1996" s="400" t="s">
        <v>1390</v>
      </c>
      <c r="B1996" s="396" t="s">
        <v>2324</v>
      </c>
      <c r="C1996" s="397" t="s">
        <v>1174</v>
      </c>
      <c r="D1996" s="396" t="s">
        <v>1174</v>
      </c>
      <c r="E1996" s="396" t="s">
        <v>2238</v>
      </c>
      <c r="F1996" s="396" t="s">
        <v>1390</v>
      </c>
      <c r="G1996" s="396" t="s">
        <v>3125</v>
      </c>
      <c r="H1996" s="398" t="s">
        <v>5024</v>
      </c>
      <c r="I1996" s="399" t="s">
        <v>3457</v>
      </c>
      <c r="J1996" s="399" t="s">
        <v>3454</v>
      </c>
      <c r="K1996" s="402" t="s">
        <v>5024</v>
      </c>
      <c r="L1996" s="402" t="s">
        <v>5024</v>
      </c>
      <c r="M1996" s="402" t="s">
        <v>5024</v>
      </c>
      <c r="N1996" s="402" t="s">
        <v>5024</v>
      </c>
      <c r="O1996" s="402" t="s">
        <v>5024</v>
      </c>
      <c r="P1996" s="402" t="s">
        <v>925</v>
      </c>
      <c r="Q1996" s="403" t="s">
        <v>5024</v>
      </c>
      <c r="R1996" s="233"/>
      <c r="S1996" s="234">
        <f>IF(C1996="",NA(),MATCH($B1996&amp;$C1996,'Smelter Reference List'!$J:$J,0))</f>
        <v>410</v>
      </c>
      <c r="T1996" s="235"/>
      <c r="U1996" s="235">
        <f t="shared" si="58"/>
        <v>0</v>
      </c>
      <c r="V1996" s="235"/>
      <c r="W1996" s="235"/>
      <c r="Y1996" s="228" t="str">
        <f t="shared" si="59"/>
        <v>TinPT DS Jaya Abadi</v>
      </c>
    </row>
    <row r="1997" spans="1:25" s="228" customFormat="1" ht="20.25">
      <c r="A1997" s="400" t="s">
        <v>1391</v>
      </c>
      <c r="B1997" s="396" t="s">
        <v>2324</v>
      </c>
      <c r="C1997" s="397" t="s">
        <v>1195</v>
      </c>
      <c r="D1997" s="396" t="s">
        <v>1195</v>
      </c>
      <c r="E1997" s="396" t="s">
        <v>2238</v>
      </c>
      <c r="F1997" s="396" t="s">
        <v>1391</v>
      </c>
      <c r="G1997" s="396" t="s">
        <v>3125</v>
      </c>
      <c r="H1997" s="398" t="s">
        <v>5024</v>
      </c>
      <c r="I1997" s="399" t="s">
        <v>3500</v>
      </c>
      <c r="J1997" s="399" t="s">
        <v>3499</v>
      </c>
      <c r="K1997" s="402" t="s">
        <v>5024</v>
      </c>
      <c r="L1997" s="402" t="s">
        <v>5024</v>
      </c>
      <c r="M1997" s="402" t="s">
        <v>5024</v>
      </c>
      <c r="N1997" s="402" t="s">
        <v>5024</v>
      </c>
      <c r="O1997" s="402" t="s">
        <v>5024</v>
      </c>
      <c r="P1997" s="402" t="s">
        <v>925</v>
      </c>
      <c r="Q1997" s="403" t="s">
        <v>5024</v>
      </c>
      <c r="R1997" s="233"/>
      <c r="S1997" s="234">
        <f>IF(C1997="",NA(),MATCH($B1997&amp;$C1997,'Smelter Reference List'!$J:$J,0))</f>
        <v>411</v>
      </c>
      <c r="T1997" s="235"/>
      <c r="U1997" s="235">
        <f t="shared" si="58"/>
        <v>0</v>
      </c>
      <c r="V1997" s="235"/>
      <c r="W1997" s="235"/>
      <c r="Y1997" s="228" t="str">
        <f t="shared" si="59"/>
        <v>TinPT Eunindo Usaha Mandiri</v>
      </c>
    </row>
    <row r="1998" spans="1:25" s="228" customFormat="1" ht="20.25">
      <c r="A1998" s="400" t="s">
        <v>2711</v>
      </c>
      <c r="B1998" s="396" t="s">
        <v>2324</v>
      </c>
      <c r="C1998" s="397" t="s">
        <v>2710</v>
      </c>
      <c r="D1998" s="396" t="s">
        <v>2710</v>
      </c>
      <c r="E1998" s="396" t="s">
        <v>2238</v>
      </c>
      <c r="F1998" s="396" t="s">
        <v>2711</v>
      </c>
      <c r="G1998" s="396" t="s">
        <v>3125</v>
      </c>
      <c r="H1998" s="398" t="s">
        <v>5024</v>
      </c>
      <c r="I1998" s="399" t="s">
        <v>3453</v>
      </c>
      <c r="J1998" s="399" t="s">
        <v>3454</v>
      </c>
      <c r="K1998" s="402" t="s">
        <v>5024</v>
      </c>
      <c r="L1998" s="402" t="s">
        <v>5024</v>
      </c>
      <c r="M1998" s="402" t="s">
        <v>5024</v>
      </c>
      <c r="N1998" s="402" t="s">
        <v>5024</v>
      </c>
      <c r="O1998" s="402" t="s">
        <v>5024</v>
      </c>
      <c r="P1998" s="402" t="s">
        <v>925</v>
      </c>
      <c r="Q1998" s="403" t="s">
        <v>5024</v>
      </c>
      <c r="R1998" s="233"/>
      <c r="S1998" s="234">
        <f>IF(C1998="",NA(),MATCH($B1998&amp;$C1998,'Smelter Reference List'!$J:$J,0))</f>
        <v>415</v>
      </c>
      <c r="T1998" s="235"/>
      <c r="U1998" s="235">
        <f t="shared" si="58"/>
        <v>0</v>
      </c>
      <c r="V1998" s="235"/>
      <c r="W1998" s="235"/>
      <c r="Y1998" s="228" t="str">
        <f t="shared" si="59"/>
        <v>TinPT Inti Stania Prima</v>
      </c>
    </row>
    <row r="1999" spans="1:25" s="228" customFormat="1" ht="20.25">
      <c r="A1999" s="400" t="s">
        <v>2666</v>
      </c>
      <c r="B1999" s="396" t="s">
        <v>2324</v>
      </c>
      <c r="C1999" s="397" t="s">
        <v>4252</v>
      </c>
      <c r="D1999" s="396" t="s">
        <v>4252</v>
      </c>
      <c r="E1999" s="396" t="s">
        <v>2238</v>
      </c>
      <c r="F1999" s="396" t="s">
        <v>2666</v>
      </c>
      <c r="G1999" s="396" t="s">
        <v>3125</v>
      </c>
      <c r="H1999" s="398" t="s">
        <v>5024</v>
      </c>
      <c r="I1999" s="399" t="s">
        <v>3455</v>
      </c>
      <c r="J1999" s="399" t="s">
        <v>3454</v>
      </c>
      <c r="K1999" s="402" t="s">
        <v>5024</v>
      </c>
      <c r="L1999" s="402" t="s">
        <v>5024</v>
      </c>
      <c r="M1999" s="402" t="s">
        <v>5024</v>
      </c>
      <c r="N1999" s="402" t="s">
        <v>5024</v>
      </c>
      <c r="O1999" s="402" t="s">
        <v>5024</v>
      </c>
      <c r="P1999" s="402" t="s">
        <v>925</v>
      </c>
      <c r="Q1999" s="403" t="s">
        <v>5024</v>
      </c>
      <c r="R1999" s="233"/>
      <c r="S1999" s="234">
        <f>IF(C1999="",NA(),MATCH($B1999&amp;$C1999,'Smelter Reference List'!$J:$J,0))</f>
        <v>416</v>
      </c>
      <c r="T1999" s="235"/>
      <c r="U1999" s="235">
        <f t="shared" si="58"/>
        <v>0</v>
      </c>
      <c r="V1999" s="235"/>
      <c r="W1999" s="235"/>
      <c r="Y1999" s="228" t="str">
        <f t="shared" si="59"/>
        <v>TinPT Justindo</v>
      </c>
    </row>
    <row r="2000" spans="1:25" s="228" customFormat="1" ht="20.25">
      <c r="A2000" s="400" t="s">
        <v>1392</v>
      </c>
      <c r="B2000" s="396" t="s">
        <v>2324</v>
      </c>
      <c r="C2000" s="397" t="s">
        <v>1175</v>
      </c>
      <c r="D2000" s="396" t="s">
        <v>1175</v>
      </c>
      <c r="E2000" s="396" t="s">
        <v>2238</v>
      </c>
      <c r="F2000" s="396" t="s">
        <v>1392</v>
      </c>
      <c r="G2000" s="396" t="s">
        <v>3125</v>
      </c>
      <c r="H2000" s="398" t="s">
        <v>5024</v>
      </c>
      <c r="I2000" s="399" t="s">
        <v>3500</v>
      </c>
      <c r="J2000" s="399" t="s">
        <v>3499</v>
      </c>
      <c r="K2000" s="402" t="s">
        <v>5024</v>
      </c>
      <c r="L2000" s="402" t="s">
        <v>5024</v>
      </c>
      <c r="M2000" s="402" t="s">
        <v>5024</v>
      </c>
      <c r="N2000" s="402" t="s">
        <v>5024</v>
      </c>
      <c r="O2000" s="402" t="s">
        <v>5024</v>
      </c>
      <c r="P2000" s="402" t="s">
        <v>5024</v>
      </c>
      <c r="Q2000" s="403" t="s">
        <v>5024</v>
      </c>
      <c r="R2000" s="233"/>
      <c r="S2000" s="234">
        <f>IF(C2000="",NA(),MATCH($B2000&amp;$C2000,'Smelter Reference List'!$J:$J,0))</f>
        <v>417</v>
      </c>
      <c r="T2000" s="235"/>
      <c r="U2000" s="235">
        <f t="shared" si="58"/>
        <v>0</v>
      </c>
      <c r="V2000" s="235"/>
      <c r="W2000" s="235"/>
      <c r="Y2000" s="228" t="str">
        <f t="shared" si="59"/>
        <v>TinPT Karimun Mining</v>
      </c>
    </row>
    <row r="2001" spans="1:25" s="228" customFormat="1" ht="20.25">
      <c r="A2001" s="400" t="s">
        <v>4364</v>
      </c>
      <c r="B2001" s="396" t="s">
        <v>2324</v>
      </c>
      <c r="C2001" s="397" t="s">
        <v>4363</v>
      </c>
      <c r="D2001" s="396" t="s">
        <v>4363</v>
      </c>
      <c r="E2001" s="396" t="s">
        <v>2238</v>
      </c>
      <c r="F2001" s="396" t="s">
        <v>4364</v>
      </c>
      <c r="G2001" s="396" t="s">
        <v>3125</v>
      </c>
      <c r="H2001" s="398" t="s">
        <v>5024</v>
      </c>
      <c r="I2001" s="399" t="s">
        <v>3453</v>
      </c>
      <c r="J2001" s="399" t="s">
        <v>3454</v>
      </c>
      <c r="K2001" s="402" t="s">
        <v>5024</v>
      </c>
      <c r="L2001" s="402" t="s">
        <v>5024</v>
      </c>
      <c r="M2001" s="402" t="s">
        <v>5024</v>
      </c>
      <c r="N2001" s="402" t="s">
        <v>5024</v>
      </c>
      <c r="O2001" s="402" t="s">
        <v>5024</v>
      </c>
      <c r="P2001" s="402" t="s">
        <v>925</v>
      </c>
      <c r="Q2001" s="403" t="s">
        <v>5024</v>
      </c>
      <c r="R2001" s="233"/>
      <c r="S2001" s="234">
        <f>IF(C2001="",NA(),MATCH($B2001&amp;$C2001,'Smelter Reference List'!$J:$J,0))</f>
        <v>418</v>
      </c>
      <c r="T2001" s="235"/>
      <c r="U2001" s="235">
        <f t="shared" si="58"/>
        <v>0</v>
      </c>
      <c r="V2001" s="235"/>
      <c r="W2001" s="235"/>
      <c r="Y2001" s="228" t="str">
        <f t="shared" si="59"/>
        <v>TinPT Kijang Jaya Mandiri</v>
      </c>
    </row>
    <row r="2002" spans="1:25" s="228" customFormat="1" ht="20.25">
      <c r="A2002" s="400" t="s">
        <v>1393</v>
      </c>
      <c r="B2002" s="396" t="s">
        <v>2324</v>
      </c>
      <c r="C2002" s="397" t="s">
        <v>1196</v>
      </c>
      <c r="D2002" s="396" t="s">
        <v>1196</v>
      </c>
      <c r="E2002" s="396" t="s">
        <v>2238</v>
      </c>
      <c r="F2002" s="396" t="s">
        <v>1393</v>
      </c>
      <c r="G2002" s="396" t="s">
        <v>3125</v>
      </c>
      <c r="H2002" s="398" t="s">
        <v>5024</v>
      </c>
      <c r="I2002" s="399" t="s">
        <v>3453</v>
      </c>
      <c r="J2002" s="399" t="s">
        <v>3454</v>
      </c>
      <c r="K2002" s="402" t="s">
        <v>5024</v>
      </c>
      <c r="L2002" s="402" t="s">
        <v>5024</v>
      </c>
      <c r="M2002" s="402" t="s">
        <v>5024</v>
      </c>
      <c r="N2002" s="402" t="s">
        <v>5024</v>
      </c>
      <c r="O2002" s="402" t="s">
        <v>5024</v>
      </c>
      <c r="P2002" s="402" t="s">
        <v>925</v>
      </c>
      <c r="Q2002" s="403" t="s">
        <v>5024</v>
      </c>
      <c r="R2002" s="233"/>
      <c r="S2002" s="234">
        <f>IF(C2002="",NA(),MATCH($B2002&amp;$C2002,'Smelter Reference List'!$J:$J,0))</f>
        <v>419</v>
      </c>
      <c r="T2002" s="235"/>
      <c r="U2002" s="235">
        <f t="shared" si="58"/>
        <v>0</v>
      </c>
      <c r="V2002" s="235"/>
      <c r="W2002" s="235"/>
      <c r="Y2002" s="228" t="str">
        <f t="shared" si="59"/>
        <v>TinPT Mitra Stania Prima</v>
      </c>
    </row>
    <row r="2003" spans="1:25" s="228" customFormat="1" ht="20.25">
      <c r="A2003" s="400" t="s">
        <v>2679</v>
      </c>
      <c r="B2003" s="396" t="s">
        <v>2324</v>
      </c>
      <c r="C2003" s="397" t="s">
        <v>2678</v>
      </c>
      <c r="D2003" s="396" t="s">
        <v>2678</v>
      </c>
      <c r="E2003" s="396" t="s">
        <v>2238</v>
      </c>
      <c r="F2003" s="396" t="s">
        <v>2679</v>
      </c>
      <c r="G2003" s="396" t="s">
        <v>3125</v>
      </c>
      <c r="H2003" s="398" t="s">
        <v>5024</v>
      </c>
      <c r="I2003" s="399" t="s">
        <v>3453</v>
      </c>
      <c r="J2003" s="399" t="s">
        <v>3454</v>
      </c>
      <c r="K2003" s="402" t="s">
        <v>5024</v>
      </c>
      <c r="L2003" s="402" t="s">
        <v>5024</v>
      </c>
      <c r="M2003" s="402" t="s">
        <v>5024</v>
      </c>
      <c r="N2003" s="402" t="s">
        <v>5024</v>
      </c>
      <c r="O2003" s="402" t="s">
        <v>5024</v>
      </c>
      <c r="P2003" s="402" t="s">
        <v>925</v>
      </c>
      <c r="Q2003" s="403" t="s">
        <v>5024</v>
      </c>
      <c r="R2003" s="233"/>
      <c r="S2003" s="234">
        <f>IF(C2003="",NA(),MATCH($B2003&amp;$C2003,'Smelter Reference List'!$J:$J,0))</f>
        <v>421</v>
      </c>
      <c r="T2003" s="235"/>
      <c r="U2003" s="235">
        <f t="shared" si="58"/>
        <v>0</v>
      </c>
      <c r="V2003" s="235"/>
      <c r="W2003" s="235"/>
      <c r="Y2003" s="228" t="str">
        <f t="shared" si="59"/>
        <v>TinPT Panca Mega Persada</v>
      </c>
    </row>
    <row r="2004" spans="1:25" s="228" customFormat="1" ht="20.25">
      <c r="A2004" s="400" t="s">
        <v>1395</v>
      </c>
      <c r="B2004" s="396" t="s">
        <v>2324</v>
      </c>
      <c r="C2004" s="397" t="s">
        <v>1394</v>
      </c>
      <c r="D2004" s="396" t="s">
        <v>1394</v>
      </c>
      <c r="E2004" s="396" t="s">
        <v>2238</v>
      </c>
      <c r="F2004" s="396" t="s">
        <v>1395</v>
      </c>
      <c r="G2004" s="396" t="s">
        <v>3125</v>
      </c>
      <c r="H2004" s="398" t="s">
        <v>5024</v>
      </c>
      <c r="I2004" s="399" t="s">
        <v>3457</v>
      </c>
      <c r="J2004" s="399" t="s">
        <v>3454</v>
      </c>
      <c r="K2004" s="402" t="s">
        <v>5024</v>
      </c>
      <c r="L2004" s="402" t="s">
        <v>5024</v>
      </c>
      <c r="M2004" s="402" t="s">
        <v>5024</v>
      </c>
      <c r="N2004" s="402" t="s">
        <v>5024</v>
      </c>
      <c r="O2004" s="402" t="s">
        <v>5024</v>
      </c>
      <c r="P2004" s="402" t="s">
        <v>925</v>
      </c>
      <c r="Q2004" s="403" t="s">
        <v>5024</v>
      </c>
      <c r="R2004" s="233"/>
      <c r="S2004" s="234">
        <f>IF(C2004="",NA(),MATCH($B2004&amp;$C2004,'Smelter Reference List'!$J:$J,0))</f>
        <v>423</v>
      </c>
      <c r="T2004" s="235"/>
      <c r="U2004" s="235">
        <f t="shared" si="58"/>
        <v>0</v>
      </c>
      <c r="V2004" s="235"/>
      <c r="W2004" s="235"/>
      <c r="Y2004" s="228" t="str">
        <f t="shared" si="59"/>
        <v>TinPT Prima Timah Utama</v>
      </c>
    </row>
    <row r="2005" spans="1:25" s="228" customFormat="1" ht="20.25">
      <c r="A2005" s="400" t="s">
        <v>1396</v>
      </c>
      <c r="B2005" s="396" t="s">
        <v>2324</v>
      </c>
      <c r="C2005" s="397" t="s">
        <v>4169</v>
      </c>
      <c r="D2005" s="396" t="s">
        <v>4169</v>
      </c>
      <c r="E2005" s="396" t="s">
        <v>2238</v>
      </c>
      <c r="F2005" s="396" t="s">
        <v>1396</v>
      </c>
      <c r="G2005" s="396" t="s">
        <v>3125</v>
      </c>
      <c r="H2005" s="398" t="s">
        <v>5024</v>
      </c>
      <c r="I2005" s="399" t="s">
        <v>3453</v>
      </c>
      <c r="J2005" s="399" t="s">
        <v>3454</v>
      </c>
      <c r="K2005" s="402" t="s">
        <v>5024</v>
      </c>
      <c r="L2005" s="402" t="s">
        <v>5024</v>
      </c>
      <c r="M2005" s="402" t="s">
        <v>5024</v>
      </c>
      <c r="N2005" s="402" t="s">
        <v>5024</v>
      </c>
      <c r="O2005" s="402" t="s">
        <v>5024</v>
      </c>
      <c r="P2005" s="402" t="s">
        <v>925</v>
      </c>
      <c r="Q2005" s="403" t="s">
        <v>5024</v>
      </c>
      <c r="R2005" s="233"/>
      <c r="S2005" s="234">
        <f>IF(C2005="",NA(),MATCH($B2005&amp;$C2005,'Smelter Reference List'!$J:$J,0))</f>
        <v>424</v>
      </c>
      <c r="T2005" s="235"/>
      <c r="U2005" s="235">
        <f t="shared" si="58"/>
        <v>0</v>
      </c>
      <c r="V2005" s="235"/>
      <c r="W2005" s="235"/>
      <c r="Y2005" s="228" t="str">
        <f t="shared" si="59"/>
        <v>TinPT Refined Bangka Tin</v>
      </c>
    </row>
    <row r="2006" spans="1:25" s="228" customFormat="1" ht="20.25">
      <c r="A2006" s="400" t="s">
        <v>1397</v>
      </c>
      <c r="B2006" s="396" t="s">
        <v>2324</v>
      </c>
      <c r="C2006" s="397" t="s">
        <v>1197</v>
      </c>
      <c r="D2006" s="396" t="s">
        <v>1197</v>
      </c>
      <c r="E2006" s="396" t="s">
        <v>2238</v>
      </c>
      <c r="F2006" s="396" t="s">
        <v>1397</v>
      </c>
      <c r="G2006" s="396" t="s">
        <v>3125</v>
      </c>
      <c r="H2006" s="398" t="s">
        <v>5024</v>
      </c>
      <c r="I2006" s="399" t="s">
        <v>3457</v>
      </c>
      <c r="J2006" s="399" t="s">
        <v>3454</v>
      </c>
      <c r="K2006" s="402" t="s">
        <v>5024</v>
      </c>
      <c r="L2006" s="402" t="s">
        <v>5024</v>
      </c>
      <c r="M2006" s="402" t="s">
        <v>5024</v>
      </c>
      <c r="N2006" s="402" t="s">
        <v>5024</v>
      </c>
      <c r="O2006" s="402" t="s">
        <v>5024</v>
      </c>
      <c r="P2006" s="402" t="s">
        <v>925</v>
      </c>
      <c r="Q2006" s="403" t="s">
        <v>5024</v>
      </c>
      <c r="R2006" s="233"/>
      <c r="S2006" s="234">
        <f>IF(C2006="",NA(),MATCH($B2006&amp;$C2006,'Smelter Reference List'!$J:$J,0))</f>
        <v>425</v>
      </c>
      <c r="T2006" s="235"/>
      <c r="U2006" s="235">
        <f t="shared" si="58"/>
        <v>0</v>
      </c>
      <c r="V2006" s="235"/>
      <c r="W2006" s="235"/>
      <c r="Y2006" s="228" t="str">
        <f t="shared" si="59"/>
        <v>TinPT Sariwiguna Binasentosa</v>
      </c>
    </row>
    <row r="2007" spans="1:25" s="228" customFormat="1" ht="20.25">
      <c r="A2007" s="400" t="s">
        <v>1398</v>
      </c>
      <c r="B2007" s="396" t="s">
        <v>2324</v>
      </c>
      <c r="C2007" s="397" t="s">
        <v>2369</v>
      </c>
      <c r="D2007" s="396" t="s">
        <v>2369</v>
      </c>
      <c r="E2007" s="396" t="s">
        <v>2238</v>
      </c>
      <c r="F2007" s="396" t="s">
        <v>1398</v>
      </c>
      <c r="G2007" s="396" t="s">
        <v>3125</v>
      </c>
      <c r="H2007" s="398" t="s">
        <v>5024</v>
      </c>
      <c r="I2007" s="399" t="s">
        <v>3457</v>
      </c>
      <c r="J2007" s="399" t="s">
        <v>3454</v>
      </c>
      <c r="K2007" s="402" t="s">
        <v>5024</v>
      </c>
      <c r="L2007" s="402" t="s">
        <v>5024</v>
      </c>
      <c r="M2007" s="402" t="s">
        <v>5024</v>
      </c>
      <c r="N2007" s="402" t="s">
        <v>5024</v>
      </c>
      <c r="O2007" s="402" t="s">
        <v>5024</v>
      </c>
      <c r="P2007" s="402" t="s">
        <v>925</v>
      </c>
      <c r="Q2007" s="403" t="s">
        <v>5024</v>
      </c>
      <c r="R2007" s="233"/>
      <c r="S2007" s="234">
        <f>IF(C2007="",NA(),MATCH($B2007&amp;$C2007,'Smelter Reference List'!$J:$J,0))</f>
        <v>427</v>
      </c>
      <c r="T2007" s="235"/>
      <c r="U2007" s="235">
        <f t="shared" si="58"/>
        <v>0</v>
      </c>
      <c r="V2007" s="235"/>
      <c r="W2007" s="235"/>
      <c r="Y2007" s="228" t="str">
        <f t="shared" si="59"/>
        <v>TinPT Stanindo Inti Perkasa</v>
      </c>
    </row>
    <row r="2008" spans="1:25" s="228" customFormat="1" ht="20.25">
      <c r="A2008" s="400" t="s">
        <v>4321</v>
      </c>
      <c r="B2008" s="396" t="s">
        <v>2324</v>
      </c>
      <c r="C2008" s="397" t="s">
        <v>4320</v>
      </c>
      <c r="D2008" s="396" t="s">
        <v>4320</v>
      </c>
      <c r="E2008" s="396" t="s">
        <v>2238</v>
      </c>
      <c r="F2008" s="396" t="s">
        <v>4321</v>
      </c>
      <c r="G2008" s="396" t="s">
        <v>3125</v>
      </c>
      <c r="H2008" s="398" t="s">
        <v>5024</v>
      </c>
      <c r="I2008" s="399" t="s">
        <v>3455</v>
      </c>
      <c r="J2008" s="399" t="s">
        <v>3454</v>
      </c>
      <c r="K2008" s="402" t="s">
        <v>5024</v>
      </c>
      <c r="L2008" s="402" t="s">
        <v>5024</v>
      </c>
      <c r="M2008" s="402" t="s">
        <v>5024</v>
      </c>
      <c r="N2008" s="402" t="s">
        <v>5024</v>
      </c>
      <c r="O2008" s="402" t="s">
        <v>5024</v>
      </c>
      <c r="P2008" s="402" t="s">
        <v>925</v>
      </c>
      <c r="Q2008" s="403" t="s">
        <v>5024</v>
      </c>
      <c r="R2008" s="233"/>
      <c r="S2008" s="234">
        <f>IF(C2008="",NA(),MATCH($B2008&amp;$C2008,'Smelter Reference List'!$J:$J,0))</f>
        <v>428</v>
      </c>
      <c r="T2008" s="235"/>
      <c r="U2008" s="235">
        <f t="shared" si="58"/>
        <v>0</v>
      </c>
      <c r="V2008" s="235"/>
      <c r="W2008" s="235"/>
      <c r="Y2008" s="228" t="str">
        <f t="shared" si="59"/>
        <v>TinPT Sukses Inti Makmur</v>
      </c>
    </row>
    <row r="2009" spans="1:25" s="228" customFormat="1" ht="20.25">
      <c r="A2009" s="400" t="s">
        <v>2682</v>
      </c>
      <c r="B2009" s="396" t="s">
        <v>2324</v>
      </c>
      <c r="C2009" s="397" t="s">
        <v>2681</v>
      </c>
      <c r="D2009" s="396" t="s">
        <v>2681</v>
      </c>
      <c r="E2009" s="396" t="s">
        <v>2238</v>
      </c>
      <c r="F2009" s="396" t="s">
        <v>2682</v>
      </c>
      <c r="G2009" s="396" t="s">
        <v>3125</v>
      </c>
      <c r="H2009" s="398" t="s">
        <v>5024</v>
      </c>
      <c r="I2009" s="399" t="s">
        <v>3457</v>
      </c>
      <c r="J2009" s="399" t="s">
        <v>3454</v>
      </c>
      <c r="K2009" s="402" t="s">
        <v>5024</v>
      </c>
      <c r="L2009" s="402" t="s">
        <v>5024</v>
      </c>
      <c r="M2009" s="402" t="s">
        <v>5024</v>
      </c>
      <c r="N2009" s="402" t="s">
        <v>5024</v>
      </c>
      <c r="O2009" s="402" t="s">
        <v>5024</v>
      </c>
      <c r="P2009" s="402" t="s">
        <v>925</v>
      </c>
      <c r="Q2009" s="403" t="s">
        <v>5024</v>
      </c>
      <c r="R2009" s="233"/>
      <c r="S2009" s="234">
        <f>IF(C2009="",NA(),MATCH($B2009&amp;$C2009,'Smelter Reference List'!$J:$J,0))</f>
        <v>429</v>
      </c>
      <c r="T2009" s="235"/>
      <c r="U2009" s="235">
        <f t="shared" si="58"/>
        <v>0</v>
      </c>
      <c r="V2009" s="235"/>
      <c r="W2009" s="235"/>
      <c r="Y2009" s="228" t="str">
        <f t="shared" si="59"/>
        <v>TinPT Sumber Jaya Indah</v>
      </c>
    </row>
    <row r="2010" spans="1:25" s="228" customFormat="1" ht="20.25">
      <c r="A2010" s="400" t="s">
        <v>1424</v>
      </c>
      <c r="B2010" s="396" t="s">
        <v>2324</v>
      </c>
      <c r="C2010" s="397" t="s">
        <v>3503</v>
      </c>
      <c r="D2010" s="396" t="s">
        <v>3503</v>
      </c>
      <c r="E2010" s="396" t="s">
        <v>2238</v>
      </c>
      <c r="F2010" s="396" t="s">
        <v>1424</v>
      </c>
      <c r="G2010" s="396" t="s">
        <v>3125</v>
      </c>
      <c r="H2010" s="398" t="s">
        <v>5024</v>
      </c>
      <c r="I2010" s="399" t="s">
        <v>3504</v>
      </c>
      <c r="J2010" s="399" t="s">
        <v>3505</v>
      </c>
      <c r="K2010" s="402" t="s">
        <v>5024</v>
      </c>
      <c r="L2010" s="402" t="s">
        <v>5024</v>
      </c>
      <c r="M2010" s="402" t="s">
        <v>5024</v>
      </c>
      <c r="N2010" s="402" t="s">
        <v>5024</v>
      </c>
      <c r="O2010" s="402" t="s">
        <v>5024</v>
      </c>
      <c r="P2010" s="402" t="s">
        <v>925</v>
      </c>
      <c r="Q2010" s="403" t="s">
        <v>5024</v>
      </c>
      <c r="R2010" s="233"/>
      <c r="S2010" s="234">
        <f>IF(C2010="",NA(),MATCH($B2010&amp;$C2010,'Smelter Reference List'!$J:$J,0))</f>
        <v>431</v>
      </c>
      <c r="T2010" s="235"/>
      <c r="U2010" s="235">
        <f t="shared" si="58"/>
        <v>0</v>
      </c>
      <c r="V2010" s="235"/>
      <c r="W2010" s="235"/>
      <c r="Y2010" s="228" t="str">
        <f t="shared" si="59"/>
        <v>TinPT Timah (Persero) Tbk Kundur</v>
      </c>
    </row>
    <row r="2011" spans="1:25" s="228" customFormat="1" ht="20.25">
      <c r="A2011" s="400" t="s">
        <v>1399</v>
      </c>
      <c r="B2011" s="396" t="s">
        <v>2324</v>
      </c>
      <c r="C2011" s="397" t="s">
        <v>4266</v>
      </c>
      <c r="D2011" s="396" t="s">
        <v>4266</v>
      </c>
      <c r="E2011" s="396" t="s">
        <v>2238</v>
      </c>
      <c r="F2011" s="396" t="s">
        <v>1399</v>
      </c>
      <c r="G2011" s="396" t="s">
        <v>3125</v>
      </c>
      <c r="H2011" s="398" t="s">
        <v>5024</v>
      </c>
      <c r="I2011" s="399" t="s">
        <v>3507</v>
      </c>
      <c r="J2011" s="399" t="s">
        <v>3454</v>
      </c>
      <c r="K2011" s="402" t="s">
        <v>5024</v>
      </c>
      <c r="L2011" s="402" t="s">
        <v>5024</v>
      </c>
      <c r="M2011" s="402" t="s">
        <v>5024</v>
      </c>
      <c r="N2011" s="402" t="s">
        <v>5024</v>
      </c>
      <c r="O2011" s="402" t="s">
        <v>5024</v>
      </c>
      <c r="P2011" s="402" t="s">
        <v>925</v>
      </c>
      <c r="Q2011" s="403" t="s">
        <v>5024</v>
      </c>
      <c r="R2011" s="233"/>
      <c r="S2011" s="234">
        <f>IF(C2011="",NA(),MATCH($B2011&amp;$C2011,'Smelter Reference List'!$J:$J,0))</f>
        <v>432</v>
      </c>
      <c r="T2011" s="235"/>
      <c r="U2011" s="235">
        <f t="shared" si="58"/>
        <v>0</v>
      </c>
      <c r="V2011" s="235"/>
      <c r="W2011" s="235"/>
      <c r="Y2011" s="228" t="str">
        <f t="shared" si="59"/>
        <v>TinPT Timah (Persero) Tbk Mentok</v>
      </c>
    </row>
    <row r="2012" spans="1:25" s="228" customFormat="1" ht="20.25">
      <c r="A2012" s="400" t="s">
        <v>1400</v>
      </c>
      <c r="B2012" s="396" t="s">
        <v>2324</v>
      </c>
      <c r="C2012" s="397" t="s">
        <v>972</v>
      </c>
      <c r="D2012" s="396" t="s">
        <v>972</v>
      </c>
      <c r="E2012" s="396" t="s">
        <v>2238</v>
      </c>
      <c r="F2012" s="396" t="s">
        <v>1400</v>
      </c>
      <c r="G2012" s="396" t="s">
        <v>3125</v>
      </c>
      <c r="H2012" s="398" t="s">
        <v>5024</v>
      </c>
      <c r="I2012" s="399" t="s">
        <v>3457</v>
      </c>
      <c r="J2012" s="399" t="s">
        <v>3454</v>
      </c>
      <c r="K2012" s="402" t="s">
        <v>5024</v>
      </c>
      <c r="L2012" s="402" t="s">
        <v>5024</v>
      </c>
      <c r="M2012" s="402" t="s">
        <v>5024</v>
      </c>
      <c r="N2012" s="402" t="s">
        <v>5024</v>
      </c>
      <c r="O2012" s="402" t="s">
        <v>5024</v>
      </c>
      <c r="P2012" s="402" t="s">
        <v>925</v>
      </c>
      <c r="Q2012" s="403" t="s">
        <v>5024</v>
      </c>
      <c r="R2012" s="233"/>
      <c r="S2012" s="234">
        <f>IF(C2012="",NA(),MATCH($B2012&amp;$C2012,'Smelter Reference List'!$J:$J,0))</f>
        <v>434</v>
      </c>
      <c r="T2012" s="235"/>
      <c r="U2012" s="235">
        <f t="shared" si="58"/>
        <v>0</v>
      </c>
      <c r="V2012" s="235"/>
      <c r="W2012" s="235"/>
      <c r="Y2012" s="228" t="str">
        <f t="shared" si="59"/>
        <v>TinPT Tinindo Inter Nusa</v>
      </c>
    </row>
    <row r="2013" spans="1:25" s="228" customFormat="1" ht="20.25">
      <c r="A2013" s="400" t="s">
        <v>4330</v>
      </c>
      <c r="B2013" s="396" t="s">
        <v>2324</v>
      </c>
      <c r="C2013" s="397" t="s">
        <v>4329</v>
      </c>
      <c r="D2013" s="396" t="s">
        <v>4329</v>
      </c>
      <c r="E2013" s="396" t="s">
        <v>2238</v>
      </c>
      <c r="F2013" s="396" t="s">
        <v>4330</v>
      </c>
      <c r="G2013" s="396" t="s">
        <v>3125</v>
      </c>
      <c r="H2013" s="398" t="s">
        <v>5024</v>
      </c>
      <c r="I2013" s="399" t="s">
        <v>4773</v>
      </c>
      <c r="J2013" s="399" t="s">
        <v>4772</v>
      </c>
      <c r="K2013" s="402" t="s">
        <v>5024</v>
      </c>
      <c r="L2013" s="402" t="s">
        <v>5024</v>
      </c>
      <c r="M2013" s="402" t="s">
        <v>5024</v>
      </c>
      <c r="N2013" s="402" t="s">
        <v>5024</v>
      </c>
      <c r="O2013" s="402" t="s">
        <v>5024</v>
      </c>
      <c r="P2013" s="402" t="s">
        <v>925</v>
      </c>
      <c r="Q2013" s="403" t="s">
        <v>5024</v>
      </c>
      <c r="R2013" s="233"/>
      <c r="S2013" s="234">
        <f>IF(C2013="",NA(),MATCH($B2013&amp;$C2013,'Smelter Reference List'!$J:$J,0))</f>
        <v>436</v>
      </c>
      <c r="T2013" s="235"/>
      <c r="U2013" s="235">
        <f t="shared" si="58"/>
        <v>0</v>
      </c>
      <c r="V2013" s="235"/>
      <c r="W2013" s="235"/>
      <c r="Y2013" s="228" t="str">
        <f t="shared" si="59"/>
        <v>TinPT Tommy Utama</v>
      </c>
    </row>
    <row r="2014" spans="1:25" s="228" customFormat="1" ht="20.25">
      <c r="A2014" s="400" t="s">
        <v>2714</v>
      </c>
      <c r="B2014" s="396" t="s">
        <v>2324</v>
      </c>
      <c r="C2014" s="397" t="s">
        <v>4187</v>
      </c>
      <c r="D2014" s="396" t="s">
        <v>4187</v>
      </c>
      <c r="E2014" s="396" t="s">
        <v>2238</v>
      </c>
      <c r="F2014" s="396" t="s">
        <v>2714</v>
      </c>
      <c r="G2014" s="396" t="s">
        <v>3125</v>
      </c>
      <c r="H2014" s="398" t="s">
        <v>5024</v>
      </c>
      <c r="I2014" s="399" t="s">
        <v>3525</v>
      </c>
      <c r="J2014" s="399" t="s">
        <v>3526</v>
      </c>
      <c r="K2014" s="402" t="s">
        <v>5024</v>
      </c>
      <c r="L2014" s="402" t="s">
        <v>5024</v>
      </c>
      <c r="M2014" s="402" t="s">
        <v>5024</v>
      </c>
      <c r="N2014" s="402" t="s">
        <v>5024</v>
      </c>
      <c r="O2014" s="402" t="s">
        <v>5024</v>
      </c>
      <c r="P2014" s="402" t="s">
        <v>925</v>
      </c>
      <c r="Q2014" s="403" t="s">
        <v>5024</v>
      </c>
      <c r="R2014" s="233"/>
      <c r="S2014" s="234">
        <f>IF(C2014="",NA(),MATCH($B2014&amp;$C2014,'Smelter Reference List'!$J:$J,0))</f>
        <v>437</v>
      </c>
      <c r="T2014" s="235"/>
      <c r="U2014" s="235">
        <f t="shared" si="58"/>
        <v>0</v>
      </c>
      <c r="V2014" s="235"/>
      <c r="W2014" s="235"/>
      <c r="Y2014" s="228" t="str">
        <f t="shared" si="59"/>
        <v>TinPT Wahana Perkit Jaya</v>
      </c>
    </row>
    <row r="2015" spans="1:25" s="228" customFormat="1" ht="20.25">
      <c r="A2015" s="400" t="s">
        <v>3545</v>
      </c>
      <c r="B2015" s="396" t="s">
        <v>2324</v>
      </c>
      <c r="C2015" s="397" t="s">
        <v>4294</v>
      </c>
      <c r="D2015" s="396" t="s">
        <v>4294</v>
      </c>
      <c r="E2015" s="396" t="s">
        <v>2170</v>
      </c>
      <c r="F2015" s="396" t="s">
        <v>3545</v>
      </c>
      <c r="G2015" s="396" t="s">
        <v>3125</v>
      </c>
      <c r="H2015" s="398" t="s">
        <v>5024</v>
      </c>
      <c r="I2015" s="399" t="s">
        <v>3381</v>
      </c>
      <c r="J2015" s="399" t="s">
        <v>3436</v>
      </c>
      <c r="K2015" s="402" t="s">
        <v>5024</v>
      </c>
      <c r="L2015" s="402" t="s">
        <v>5024</v>
      </c>
      <c r="M2015" s="402" t="s">
        <v>5024</v>
      </c>
      <c r="N2015" s="402" t="s">
        <v>5024</v>
      </c>
      <c r="O2015" s="402" t="s">
        <v>5024</v>
      </c>
      <c r="P2015" s="402" t="s">
        <v>925</v>
      </c>
      <c r="Q2015" s="403" t="s">
        <v>5024</v>
      </c>
      <c r="R2015" s="233"/>
      <c r="S2015" s="234">
        <f>IF(C2015="",NA(),MATCH($B2015&amp;$C2015,'Smelter Reference List'!$J:$J,0))</f>
        <v>438</v>
      </c>
      <c r="T2015" s="235"/>
      <c r="U2015" s="235">
        <f t="shared" si="58"/>
        <v>0</v>
      </c>
      <c r="V2015" s="235"/>
      <c r="W2015" s="235"/>
      <c r="Y2015" s="228" t="str">
        <f t="shared" si="59"/>
        <v>TinResind Indústria e Comércio Ltda.</v>
      </c>
    </row>
    <row r="2016" spans="1:25" s="228" customFormat="1" ht="25.5">
      <c r="A2016" s="400" t="s">
        <v>1402</v>
      </c>
      <c r="B2016" s="396" t="s">
        <v>2324</v>
      </c>
      <c r="C2016" s="397" t="s">
        <v>1401</v>
      </c>
      <c r="D2016" s="396" t="s">
        <v>1401</v>
      </c>
      <c r="E2016" s="396" t="s">
        <v>5018</v>
      </c>
      <c r="F2016" s="396" t="s">
        <v>1402</v>
      </c>
      <c r="G2016" s="396" t="s">
        <v>3125</v>
      </c>
      <c r="H2016" s="398" t="s">
        <v>5024</v>
      </c>
      <c r="I2016" s="399" t="s">
        <v>3508</v>
      </c>
      <c r="J2016" s="399" t="s">
        <v>3296</v>
      </c>
      <c r="K2016" s="402" t="s">
        <v>5024</v>
      </c>
      <c r="L2016" s="402" t="s">
        <v>5024</v>
      </c>
      <c r="M2016" s="402" t="s">
        <v>5024</v>
      </c>
      <c r="N2016" s="402" t="s">
        <v>5024</v>
      </c>
      <c r="O2016" s="402" t="s">
        <v>5024</v>
      </c>
      <c r="P2016" s="402" t="s">
        <v>925</v>
      </c>
      <c r="Q2016" s="403" t="s">
        <v>5024</v>
      </c>
      <c r="R2016" s="233"/>
      <c r="S2016" s="234">
        <f>IF(C2016="",NA(),MATCH($B2016&amp;$C2016,'Smelter Reference List'!$J:$J,0))</f>
        <v>439</v>
      </c>
      <c r="T2016" s="235"/>
      <c r="U2016" s="235">
        <f t="shared" si="58"/>
        <v>0</v>
      </c>
      <c r="V2016" s="235"/>
      <c r="W2016" s="235"/>
      <c r="Y2016" s="228" t="str">
        <f t="shared" si="59"/>
        <v>TinRui Da Hung</v>
      </c>
    </row>
    <row r="2017" spans="1:25" s="228" customFormat="1" ht="20.25">
      <c r="A2017" s="400" t="s">
        <v>1403</v>
      </c>
      <c r="B2017" s="396" t="s">
        <v>2324</v>
      </c>
      <c r="C2017" s="397" t="s">
        <v>4176</v>
      </c>
      <c r="D2017" s="396" t="s">
        <v>4176</v>
      </c>
      <c r="E2017" s="396" t="s">
        <v>2170</v>
      </c>
      <c r="F2017" s="396" t="s">
        <v>1403</v>
      </c>
      <c r="G2017" s="396" t="s">
        <v>3125</v>
      </c>
      <c r="H2017" s="398" t="s">
        <v>5024</v>
      </c>
      <c r="I2017" s="399" t="s">
        <v>3509</v>
      </c>
      <c r="J2017" s="399" t="s">
        <v>3313</v>
      </c>
      <c r="K2017" s="402" t="s">
        <v>5024</v>
      </c>
      <c r="L2017" s="402" t="s">
        <v>5024</v>
      </c>
      <c r="M2017" s="402" t="s">
        <v>5024</v>
      </c>
      <c r="N2017" s="402" t="s">
        <v>5024</v>
      </c>
      <c r="O2017" s="402" t="s">
        <v>5024</v>
      </c>
      <c r="P2017" s="402" t="s">
        <v>925</v>
      </c>
      <c r="Q2017" s="403" t="s">
        <v>5024</v>
      </c>
      <c r="R2017" s="233"/>
      <c r="S2017" s="234">
        <f>IF(C2017="",NA(),MATCH($B2017&amp;$C2017,'Smelter Reference List'!$J:$J,0))</f>
        <v>442</v>
      </c>
      <c r="T2017" s="235"/>
      <c r="U2017" s="235">
        <f t="shared" si="58"/>
        <v>0</v>
      </c>
      <c r="V2017" s="235"/>
      <c r="W2017" s="235"/>
      <c r="Y2017" s="228" t="str">
        <f t="shared" si="59"/>
        <v>TinSoft Metais Ltda.</v>
      </c>
    </row>
    <row r="2018" spans="1:25" s="228" customFormat="1" ht="20.25">
      <c r="A2018" s="400" t="s">
        <v>1404</v>
      </c>
      <c r="B2018" s="396" t="s">
        <v>2324</v>
      </c>
      <c r="C2018" s="397" t="s">
        <v>1951</v>
      </c>
      <c r="D2018" s="396" t="s">
        <v>1951</v>
      </c>
      <c r="E2018" s="396" t="s">
        <v>1743</v>
      </c>
      <c r="F2018" s="396" t="s">
        <v>1404</v>
      </c>
      <c r="G2018" s="396" t="s">
        <v>3125</v>
      </c>
      <c r="H2018" s="398" t="s">
        <v>5024</v>
      </c>
      <c r="I2018" s="399" t="s">
        <v>3510</v>
      </c>
      <c r="J2018" s="399" t="s">
        <v>3511</v>
      </c>
      <c r="K2018" s="402" t="s">
        <v>5024</v>
      </c>
      <c r="L2018" s="402" t="s">
        <v>5024</v>
      </c>
      <c r="M2018" s="402" t="s">
        <v>5024</v>
      </c>
      <c r="N2018" s="402" t="s">
        <v>5024</v>
      </c>
      <c r="O2018" s="402" t="s">
        <v>5024</v>
      </c>
      <c r="P2018" s="402" t="s">
        <v>925</v>
      </c>
      <c r="Q2018" s="403" t="s">
        <v>5024</v>
      </c>
      <c r="R2018" s="233"/>
      <c r="S2018" s="234">
        <f>IF(C2018="",NA(),MATCH($B2018&amp;$C2018,'Smelter Reference List'!$J:$J,0))</f>
        <v>445</v>
      </c>
      <c r="T2018" s="235"/>
      <c r="U2018" s="235">
        <f t="shared" si="58"/>
        <v>0</v>
      </c>
      <c r="V2018" s="235"/>
      <c r="W2018" s="235"/>
      <c r="Y2018" s="228" t="str">
        <f t="shared" si="59"/>
        <v>TinThaisarco</v>
      </c>
    </row>
    <row r="2019" spans="1:25" s="228" customFormat="1" ht="25.5">
      <c r="A2019" s="400" t="s">
        <v>3540</v>
      </c>
      <c r="B2019" s="396" t="s">
        <v>2324</v>
      </c>
      <c r="C2019" s="397" t="s">
        <v>3539</v>
      </c>
      <c r="D2019" s="396" t="s">
        <v>3539</v>
      </c>
      <c r="E2019" s="396" t="s">
        <v>1766</v>
      </c>
      <c r="F2019" s="396" t="s">
        <v>3540</v>
      </c>
      <c r="G2019" s="396" t="s">
        <v>3125</v>
      </c>
      <c r="H2019" s="398" t="s">
        <v>5024</v>
      </c>
      <c r="I2019" s="399" t="s">
        <v>3541</v>
      </c>
      <c r="J2019" s="399" t="s">
        <v>3542</v>
      </c>
      <c r="K2019" s="402" t="s">
        <v>5024</v>
      </c>
      <c r="L2019" s="402" t="s">
        <v>5024</v>
      </c>
      <c r="M2019" s="402" t="s">
        <v>5024</v>
      </c>
      <c r="N2019" s="402" t="s">
        <v>5024</v>
      </c>
      <c r="O2019" s="402" t="s">
        <v>5024</v>
      </c>
      <c r="P2019" s="402" t="s">
        <v>5024</v>
      </c>
      <c r="Q2019" s="403" t="s">
        <v>5024</v>
      </c>
      <c r="R2019" s="233"/>
      <c r="S2019" s="234">
        <f>IF(C2019="",NA(),MATCH($B2019&amp;$C2019,'Smelter Reference List'!$J:$J,0))</f>
        <v>449</v>
      </c>
      <c r="T2019" s="235"/>
      <c r="U2019" s="235">
        <f t="shared" si="58"/>
        <v>0</v>
      </c>
      <c r="V2019" s="235"/>
      <c r="W2019" s="235"/>
      <c r="Y2019" s="228" t="str">
        <f t="shared" si="59"/>
        <v>TinTuyen Quang Non-Ferrous Metals Joint Stock Company</v>
      </c>
    </row>
    <row r="2020" spans="1:25" s="228" customFormat="1" ht="20.25">
      <c r="A2020" s="400" t="s">
        <v>3518</v>
      </c>
      <c r="B2020" s="396" t="s">
        <v>2324</v>
      </c>
      <c r="C2020" s="397" t="s">
        <v>3517</v>
      </c>
      <c r="D2020" s="396" t="s">
        <v>3517</v>
      </c>
      <c r="E2020" s="396" t="s">
        <v>1766</v>
      </c>
      <c r="F2020" s="396" t="s">
        <v>3518</v>
      </c>
      <c r="G2020" s="396" t="s">
        <v>3125</v>
      </c>
      <c r="H2020" s="398" t="s">
        <v>5024</v>
      </c>
      <c r="I2020" s="399" t="s">
        <v>3519</v>
      </c>
      <c r="J2020" s="399" t="s">
        <v>3520</v>
      </c>
      <c r="K2020" s="402" t="s">
        <v>5024</v>
      </c>
      <c r="L2020" s="402" t="s">
        <v>5024</v>
      </c>
      <c r="M2020" s="402" t="s">
        <v>5024</v>
      </c>
      <c r="N2020" s="402" t="s">
        <v>5024</v>
      </c>
      <c r="O2020" s="402" t="s">
        <v>5024</v>
      </c>
      <c r="P2020" s="402" t="s">
        <v>925</v>
      </c>
      <c r="Q2020" s="403" t="s">
        <v>5024</v>
      </c>
      <c r="R2020" s="233"/>
      <c r="S2020" s="234">
        <f>IF(C2020="",NA(),MATCH($B2020&amp;$C2020,'Smelter Reference List'!$J:$J,0))</f>
        <v>451</v>
      </c>
      <c r="T2020" s="235"/>
      <c r="U2020" s="235">
        <f t="shared" si="58"/>
        <v>0</v>
      </c>
      <c r="V2020" s="235"/>
      <c r="W2020" s="235"/>
      <c r="Y2020" s="228" t="str">
        <f t="shared" si="59"/>
        <v>TinVQB Mineral and Trading Group JSC</v>
      </c>
    </row>
    <row r="2021" spans="1:25" s="228" customFormat="1" ht="20.25">
      <c r="A2021" s="400" t="s">
        <v>1405</v>
      </c>
      <c r="B2021" s="396" t="s">
        <v>2324</v>
      </c>
      <c r="C2021" s="397" t="s">
        <v>68</v>
      </c>
      <c r="D2021" s="396" t="s">
        <v>68</v>
      </c>
      <c r="E2021" s="396" t="s">
        <v>2170</v>
      </c>
      <c r="F2021" s="396" t="s">
        <v>1405</v>
      </c>
      <c r="G2021" s="396" t="s">
        <v>3125</v>
      </c>
      <c r="H2021" s="398" t="s">
        <v>5024</v>
      </c>
      <c r="I2021" s="399" t="s">
        <v>3451</v>
      </c>
      <c r="J2021" s="399" t="s">
        <v>3452</v>
      </c>
      <c r="K2021" s="402" t="s">
        <v>5024</v>
      </c>
      <c r="L2021" s="402" t="s">
        <v>5024</v>
      </c>
      <c r="M2021" s="402" t="s">
        <v>5024</v>
      </c>
      <c r="N2021" s="402" t="s">
        <v>5024</v>
      </c>
      <c r="O2021" s="402" t="s">
        <v>5024</v>
      </c>
      <c r="P2021" s="402" t="s">
        <v>925</v>
      </c>
      <c r="Q2021" s="403" t="s">
        <v>5024</v>
      </c>
      <c r="R2021" s="233"/>
      <c r="S2021" s="234">
        <f>IF(C2021="",NA(),MATCH($B2021&amp;$C2021,'Smelter Reference List'!$J:$J,0))</f>
        <v>452</v>
      </c>
      <c r="T2021" s="235"/>
      <c r="U2021" s="235">
        <f t="shared" si="58"/>
        <v>0</v>
      </c>
      <c r="V2021" s="235"/>
      <c r="W2021" s="235"/>
      <c r="Y2021" s="228" t="str">
        <f t="shared" si="59"/>
        <v>TinWhite Solder Metalurgia e Mineração Ltda.</v>
      </c>
    </row>
    <row r="2022" spans="1:25" s="228" customFormat="1" ht="25.5">
      <c r="A2022" s="400" t="s">
        <v>1406</v>
      </c>
      <c r="B2022" s="396" t="s">
        <v>2324</v>
      </c>
      <c r="C2022" s="397" t="s">
        <v>4183</v>
      </c>
      <c r="D2022" s="396" t="s">
        <v>4183</v>
      </c>
      <c r="E2022" s="396" t="s">
        <v>2181</v>
      </c>
      <c r="F2022" s="396" t="s">
        <v>1406</v>
      </c>
      <c r="G2022" s="396" t="s">
        <v>3125</v>
      </c>
      <c r="H2022" s="398" t="s">
        <v>5024</v>
      </c>
      <c r="I2022" s="399" t="s">
        <v>5023</v>
      </c>
      <c r="J2022" s="399" t="s">
        <v>3161</v>
      </c>
      <c r="K2022" s="402" t="s">
        <v>5024</v>
      </c>
      <c r="L2022" s="402" t="s">
        <v>5024</v>
      </c>
      <c r="M2022" s="402" t="s">
        <v>5024</v>
      </c>
      <c r="N2022" s="402" t="s">
        <v>5024</v>
      </c>
      <c r="O2022" s="402" t="s">
        <v>5024</v>
      </c>
      <c r="P2022" s="402" t="s">
        <v>5024</v>
      </c>
      <c r="Q2022" s="403" t="s">
        <v>5024</v>
      </c>
      <c r="R2022" s="233"/>
      <c r="S2022" s="234">
        <f>IF(C2022="",NA(),MATCH($B2022&amp;$C2022,'Smelter Reference List'!$J:$J,0))</f>
        <v>459</v>
      </c>
      <c r="T2022" s="235"/>
      <c r="U2022" s="235">
        <f t="shared" si="58"/>
        <v>0</v>
      </c>
      <c r="V2022" s="235"/>
      <c r="W2022" s="235"/>
      <c r="Y2022" s="228" t="str">
        <f t="shared" si="59"/>
        <v>TinYunnan Chengfeng Non-ferrous Metals Co., Ltd.</v>
      </c>
    </row>
    <row r="2023" spans="1:25" s="228" customFormat="1" ht="20.25">
      <c r="A2023" s="400" t="s">
        <v>1407</v>
      </c>
      <c r="B2023" s="396" t="s">
        <v>2324</v>
      </c>
      <c r="C2023" s="397" t="s">
        <v>4749</v>
      </c>
      <c r="D2023" s="396" t="s">
        <v>4749</v>
      </c>
      <c r="E2023" s="396" t="s">
        <v>2181</v>
      </c>
      <c r="F2023" s="396" t="s">
        <v>1407</v>
      </c>
      <c r="G2023" s="396" t="s">
        <v>3125</v>
      </c>
      <c r="H2023" s="398" t="s">
        <v>5024</v>
      </c>
      <c r="I2023" s="399" t="s">
        <v>5023</v>
      </c>
      <c r="J2023" s="399" t="s">
        <v>3161</v>
      </c>
      <c r="K2023" s="402" t="s">
        <v>5024</v>
      </c>
      <c r="L2023" s="402" t="s">
        <v>5024</v>
      </c>
      <c r="M2023" s="402" t="s">
        <v>5024</v>
      </c>
      <c r="N2023" s="402" t="s">
        <v>5024</v>
      </c>
      <c r="O2023" s="402" t="s">
        <v>5024</v>
      </c>
      <c r="P2023" s="402" t="s">
        <v>925</v>
      </c>
      <c r="Q2023" s="403" t="s">
        <v>5024</v>
      </c>
      <c r="R2023" s="233"/>
      <c r="S2023" s="234">
        <f>IF(C2023="",NA(),MATCH($B2023&amp;$C2023,'Smelter Reference List'!$J:$J,0))</f>
        <v>462</v>
      </c>
      <c r="T2023" s="235"/>
      <c r="U2023" s="235">
        <f t="shared" si="58"/>
        <v>0</v>
      </c>
      <c r="V2023" s="235"/>
      <c r="W2023" s="235"/>
      <c r="Y2023" s="228" t="str">
        <f t="shared" si="59"/>
        <v>TinYunnan Tin Company Limited</v>
      </c>
    </row>
    <row r="2024" spans="1:25" s="228" customFormat="1" ht="20.25">
      <c r="A2024" s="400" t="s">
        <v>2685</v>
      </c>
      <c r="B2024" s="396" t="s">
        <v>2323</v>
      </c>
      <c r="C2024" s="397" t="s">
        <v>2684</v>
      </c>
      <c r="D2024" s="396" t="s">
        <v>2684</v>
      </c>
      <c r="E2024" s="396" t="s">
        <v>5016</v>
      </c>
      <c r="F2024" s="396" t="s">
        <v>2685</v>
      </c>
      <c r="G2024" s="396" t="s">
        <v>3125</v>
      </c>
      <c r="H2024" s="398" t="s">
        <v>5024</v>
      </c>
      <c r="I2024" s="399" t="s">
        <v>3126</v>
      </c>
      <c r="J2024" s="399" t="s">
        <v>3127</v>
      </c>
      <c r="K2024" s="402" t="s">
        <v>5024</v>
      </c>
      <c r="L2024" s="402" t="s">
        <v>5024</v>
      </c>
      <c r="M2024" s="402" t="s">
        <v>5024</v>
      </c>
      <c r="N2024" s="402" t="s">
        <v>5024</v>
      </c>
      <c r="O2024" s="402" t="s">
        <v>5024</v>
      </c>
      <c r="P2024" s="402" t="s">
        <v>924</v>
      </c>
      <c r="Q2024" s="403" t="s">
        <v>5024</v>
      </c>
      <c r="R2024" s="233"/>
      <c r="S2024" s="234">
        <f>IF(C2024="",NA(),MATCH($B2024&amp;$C2024,'Smelter Reference List'!$J:$J,0))</f>
        <v>6</v>
      </c>
      <c r="T2024" s="235"/>
      <c r="U2024" s="235">
        <f t="shared" si="58"/>
        <v>0</v>
      </c>
      <c r="V2024" s="235"/>
      <c r="W2024" s="235"/>
      <c r="Y2024" s="228" t="str">
        <f t="shared" si="59"/>
        <v>GoldAdvanced Chemical Company</v>
      </c>
    </row>
    <row r="2025" spans="1:25" s="228" customFormat="1" ht="20.25">
      <c r="A2025" s="400" t="s">
        <v>1234</v>
      </c>
      <c r="B2025" s="396" t="s">
        <v>2323</v>
      </c>
      <c r="C2025" s="397" t="s">
        <v>4146</v>
      </c>
      <c r="D2025" s="396" t="s">
        <v>4146</v>
      </c>
      <c r="E2025" s="396" t="s">
        <v>2249</v>
      </c>
      <c r="F2025" s="396" t="s">
        <v>1234</v>
      </c>
      <c r="G2025" s="396" t="s">
        <v>3125</v>
      </c>
      <c r="H2025" s="398" t="s">
        <v>5024</v>
      </c>
      <c r="I2025" s="399" t="s">
        <v>3128</v>
      </c>
      <c r="J2025" s="399" t="s">
        <v>3129</v>
      </c>
      <c r="K2025" s="402" t="s">
        <v>5024</v>
      </c>
      <c r="L2025" s="402" t="s">
        <v>5024</v>
      </c>
      <c r="M2025" s="402" t="s">
        <v>5024</v>
      </c>
      <c r="N2025" s="402" t="s">
        <v>5024</v>
      </c>
      <c r="O2025" s="402" t="s">
        <v>5024</v>
      </c>
      <c r="P2025" s="402" t="s">
        <v>925</v>
      </c>
      <c r="Q2025" s="403" t="s">
        <v>5024</v>
      </c>
      <c r="R2025" s="233"/>
      <c r="S2025" s="234">
        <f>IF(C2025="",NA(),MATCH($B2025&amp;$C2025,'Smelter Reference List'!$J:$J,0))</f>
        <v>9</v>
      </c>
      <c r="T2025" s="235"/>
      <c r="U2025" s="235">
        <f t="shared" si="58"/>
        <v>0</v>
      </c>
      <c r="V2025" s="235"/>
      <c r="W2025" s="235"/>
      <c r="Y2025" s="228" t="str">
        <f t="shared" si="59"/>
        <v>GoldAida Chemical Industries Co., Ltd.</v>
      </c>
    </row>
    <row r="2026" spans="1:25" s="228" customFormat="1" ht="20.25">
      <c r="A2026" s="400" t="s">
        <v>1235</v>
      </c>
      <c r="B2026" s="396" t="s">
        <v>2323</v>
      </c>
      <c r="C2026" s="397" t="s">
        <v>70</v>
      </c>
      <c r="D2026" s="396" t="s">
        <v>70</v>
      </c>
      <c r="E2026" s="396" t="s">
        <v>2195</v>
      </c>
      <c r="F2026" s="396" t="s">
        <v>1235</v>
      </c>
      <c r="G2026" s="396" t="s">
        <v>3125</v>
      </c>
      <c r="H2026" s="398" t="s">
        <v>5024</v>
      </c>
      <c r="I2026" s="399" t="s">
        <v>3130</v>
      </c>
      <c r="J2026" s="399" t="s">
        <v>3131</v>
      </c>
      <c r="K2026" s="402" t="s">
        <v>5024</v>
      </c>
      <c r="L2026" s="402" t="s">
        <v>5024</v>
      </c>
      <c r="M2026" s="402" t="s">
        <v>5024</v>
      </c>
      <c r="N2026" s="402" t="s">
        <v>5024</v>
      </c>
      <c r="O2026" s="402" t="s">
        <v>5024</v>
      </c>
      <c r="P2026" s="402" t="s">
        <v>5024</v>
      </c>
      <c r="Q2026" s="403" t="s">
        <v>5024</v>
      </c>
      <c r="R2026" s="233"/>
      <c r="S2026" s="234">
        <f>IF(C2026="",NA(),MATCH($B2026&amp;$C2026,'Smelter Reference List'!$J:$J,0))</f>
        <v>11</v>
      </c>
      <c r="T2026" s="235"/>
      <c r="U2026" s="235">
        <f t="shared" si="58"/>
        <v>0</v>
      </c>
      <c r="V2026" s="235"/>
      <c r="W2026" s="235"/>
      <c r="Y2026" s="228" t="str">
        <f t="shared" si="59"/>
        <v>GoldAllgemeine Gold-und Silberscheideanstalt A.G.</v>
      </c>
    </row>
    <row r="2027" spans="1:25" s="228" customFormat="1" ht="25.5">
      <c r="A2027" s="400" t="s">
        <v>1236</v>
      </c>
      <c r="B2027" s="396" t="s">
        <v>2323</v>
      </c>
      <c r="C2027" s="397" t="s">
        <v>1190</v>
      </c>
      <c r="D2027" s="396" t="s">
        <v>1190</v>
      </c>
      <c r="E2027" s="396" t="s">
        <v>1760</v>
      </c>
      <c r="F2027" s="396" t="s">
        <v>1236</v>
      </c>
      <c r="G2027" s="396" t="s">
        <v>3125</v>
      </c>
      <c r="H2027" s="398" t="s">
        <v>5024</v>
      </c>
      <c r="I2027" s="399" t="s">
        <v>3132</v>
      </c>
      <c r="J2027" s="399" t="s">
        <v>3133</v>
      </c>
      <c r="K2027" s="402" t="s">
        <v>5024</v>
      </c>
      <c r="L2027" s="402" t="s">
        <v>5024</v>
      </c>
      <c r="M2027" s="402" t="s">
        <v>5024</v>
      </c>
      <c r="N2027" s="402" t="s">
        <v>5024</v>
      </c>
      <c r="O2027" s="402" t="s">
        <v>5024</v>
      </c>
      <c r="P2027" s="402" t="s">
        <v>5024</v>
      </c>
      <c r="Q2027" s="403" t="s">
        <v>5024</v>
      </c>
      <c r="R2027" s="233"/>
      <c r="S2027" s="234">
        <f>IF(C2027="",NA(),MATCH($B2027&amp;$C2027,'Smelter Reference List'!$J:$J,0))</f>
        <v>12</v>
      </c>
      <c r="T2027" s="235"/>
      <c r="U2027" s="235">
        <f t="shared" si="58"/>
        <v>0</v>
      </c>
      <c r="V2027" s="235"/>
      <c r="W2027" s="235"/>
      <c r="Y2027" s="228" t="str">
        <f t="shared" si="59"/>
        <v>GoldAlmalyk Mining and Metallurgical Complex (AMMC)</v>
      </c>
    </row>
    <row r="2028" spans="1:25" s="228" customFormat="1" ht="20.25">
      <c r="A2028" s="400" t="s">
        <v>1237</v>
      </c>
      <c r="B2028" s="396" t="s">
        <v>2323</v>
      </c>
      <c r="C2028" s="397" t="s">
        <v>3134</v>
      </c>
      <c r="D2028" s="396" t="s">
        <v>3134</v>
      </c>
      <c r="E2028" s="396" t="s">
        <v>2170</v>
      </c>
      <c r="F2028" s="396" t="s">
        <v>1237</v>
      </c>
      <c r="G2028" s="396" t="s">
        <v>3125</v>
      </c>
      <c r="H2028" s="398" t="s">
        <v>5024</v>
      </c>
      <c r="I2028" s="399" t="s">
        <v>3135</v>
      </c>
      <c r="J2028" s="399" t="s">
        <v>3136</v>
      </c>
      <c r="K2028" s="402" t="s">
        <v>5024</v>
      </c>
      <c r="L2028" s="402" t="s">
        <v>5024</v>
      </c>
      <c r="M2028" s="402" t="s">
        <v>5024</v>
      </c>
      <c r="N2028" s="402" t="s">
        <v>5024</v>
      </c>
      <c r="O2028" s="402" t="s">
        <v>5024</v>
      </c>
      <c r="P2028" s="402" t="s">
        <v>5024</v>
      </c>
      <c r="Q2028" s="403" t="s">
        <v>5024</v>
      </c>
      <c r="R2028" s="233"/>
      <c r="S2028" s="234">
        <f>IF(C2028="",NA(),MATCH($B2028&amp;$C2028,'Smelter Reference List'!$J:$J,0))</f>
        <v>14</v>
      </c>
      <c r="T2028" s="235"/>
      <c r="U2028" s="235">
        <f t="shared" si="58"/>
        <v>0</v>
      </c>
      <c r="V2028" s="235"/>
      <c r="W2028" s="235"/>
      <c r="Y2028" s="228" t="str">
        <f t="shared" si="59"/>
        <v>GoldAngloGold Ashanti Córrego do Sítio Mineração</v>
      </c>
    </row>
    <row r="2029" spans="1:25" s="228" customFormat="1" ht="20.25">
      <c r="A2029" s="400" t="s">
        <v>1238</v>
      </c>
      <c r="B2029" s="396" t="s">
        <v>2323</v>
      </c>
      <c r="C2029" s="397" t="s">
        <v>4669</v>
      </c>
      <c r="D2029" s="396" t="s">
        <v>4669</v>
      </c>
      <c r="E2029" s="396" t="s">
        <v>2179</v>
      </c>
      <c r="F2029" s="396" t="s">
        <v>1238</v>
      </c>
      <c r="G2029" s="396" t="s">
        <v>3125</v>
      </c>
      <c r="H2029" s="398" t="s">
        <v>5024</v>
      </c>
      <c r="I2029" s="399" t="s">
        <v>3137</v>
      </c>
      <c r="J2029" s="399" t="s">
        <v>3138</v>
      </c>
      <c r="K2029" s="402" t="s">
        <v>5024</v>
      </c>
      <c r="L2029" s="402" t="s">
        <v>5024</v>
      </c>
      <c r="M2029" s="402" t="s">
        <v>5024</v>
      </c>
      <c r="N2029" s="402" t="s">
        <v>5024</v>
      </c>
      <c r="O2029" s="402" t="s">
        <v>5024</v>
      </c>
      <c r="P2029" s="402" t="s">
        <v>5024</v>
      </c>
      <c r="Q2029" s="403" t="s">
        <v>5024</v>
      </c>
      <c r="R2029" s="233"/>
      <c r="S2029" s="234">
        <f>IF(C2029="",NA(),MATCH($B2029&amp;$C2029,'Smelter Reference List'!$J:$J,0))</f>
        <v>17</v>
      </c>
      <c r="T2029" s="235"/>
      <c r="U2029" s="235">
        <f t="shared" si="58"/>
        <v>0</v>
      </c>
      <c r="V2029" s="235"/>
      <c r="W2029" s="235"/>
      <c r="Y2029" s="228" t="str">
        <f t="shared" si="59"/>
        <v>GoldArgor-Heraeus S.A.</v>
      </c>
    </row>
    <row r="2030" spans="1:25" s="228" customFormat="1" ht="20.25">
      <c r="A2030" s="400" t="s">
        <v>1239</v>
      </c>
      <c r="B2030" s="396" t="s">
        <v>2323</v>
      </c>
      <c r="C2030" s="397" t="s">
        <v>4670</v>
      </c>
      <c r="D2030" s="396" t="s">
        <v>4670</v>
      </c>
      <c r="E2030" s="396" t="s">
        <v>2249</v>
      </c>
      <c r="F2030" s="396" t="s">
        <v>1239</v>
      </c>
      <c r="G2030" s="396" t="s">
        <v>3125</v>
      </c>
      <c r="H2030" s="398" t="s">
        <v>5024</v>
      </c>
      <c r="I2030" s="399" t="s">
        <v>3139</v>
      </c>
      <c r="J2030" s="399" t="s">
        <v>3140</v>
      </c>
      <c r="K2030" s="402" t="s">
        <v>5024</v>
      </c>
      <c r="L2030" s="402" t="s">
        <v>5024</v>
      </c>
      <c r="M2030" s="402" t="s">
        <v>5024</v>
      </c>
      <c r="N2030" s="402" t="s">
        <v>5024</v>
      </c>
      <c r="O2030" s="402" t="s">
        <v>5024</v>
      </c>
      <c r="P2030" s="402" t="s">
        <v>924</v>
      </c>
      <c r="Q2030" s="403" t="s">
        <v>5024</v>
      </c>
      <c r="R2030" s="233"/>
      <c r="S2030" s="234">
        <f>IF(C2030="",NA(),MATCH($B2030&amp;$C2030,'Smelter Reference List'!$J:$J,0))</f>
        <v>18</v>
      </c>
      <c r="T2030" s="235"/>
      <c r="U2030" s="235">
        <f t="shared" si="58"/>
        <v>0</v>
      </c>
      <c r="V2030" s="235"/>
      <c r="W2030" s="235"/>
      <c r="Y2030" s="228" t="str">
        <f t="shared" si="59"/>
        <v>GoldAsahi Pretec Corp.</v>
      </c>
    </row>
    <row r="2031" spans="1:25" s="228" customFormat="1" ht="20.25">
      <c r="A2031" s="400" t="s">
        <v>1274</v>
      </c>
      <c r="B2031" s="396" t="s">
        <v>2323</v>
      </c>
      <c r="C2031" s="397" t="s">
        <v>4671</v>
      </c>
      <c r="D2031" s="396" t="s">
        <v>4671</v>
      </c>
      <c r="E2031" s="396" t="s">
        <v>2177</v>
      </c>
      <c r="F2031" s="396" t="s">
        <v>1274</v>
      </c>
      <c r="G2031" s="396" t="s">
        <v>3125</v>
      </c>
      <c r="H2031" s="398" t="s">
        <v>5024</v>
      </c>
      <c r="I2031" s="399" t="s">
        <v>3209</v>
      </c>
      <c r="J2031" s="399" t="s">
        <v>3210</v>
      </c>
      <c r="K2031" s="402" t="s">
        <v>5024</v>
      </c>
      <c r="L2031" s="402" t="s">
        <v>5024</v>
      </c>
      <c r="M2031" s="402" t="s">
        <v>5024</v>
      </c>
      <c r="N2031" s="402" t="s">
        <v>5024</v>
      </c>
      <c r="O2031" s="402" t="s">
        <v>5024</v>
      </c>
      <c r="P2031" s="402" t="s">
        <v>5024</v>
      </c>
      <c r="Q2031" s="403" t="s">
        <v>5024</v>
      </c>
      <c r="R2031" s="233"/>
      <c r="S2031" s="234">
        <f>IF(C2031="",NA(),MATCH($B2031&amp;$C2031,'Smelter Reference List'!$J:$J,0))</f>
        <v>19</v>
      </c>
      <c r="T2031" s="235"/>
      <c r="U2031" s="235">
        <f t="shared" si="58"/>
        <v>0</v>
      </c>
      <c r="V2031" s="235"/>
      <c r="W2031" s="235"/>
      <c r="Y2031" s="228" t="str">
        <f t="shared" si="59"/>
        <v>GoldAsahi Refining Canada Ltd.</v>
      </c>
    </row>
    <row r="2032" spans="1:25" s="228" customFormat="1" ht="20.25">
      <c r="A2032" s="400" t="s">
        <v>1273</v>
      </c>
      <c r="B2032" s="396" t="s">
        <v>2323</v>
      </c>
      <c r="C2032" s="397" t="s">
        <v>4267</v>
      </c>
      <c r="D2032" s="396" t="s">
        <v>4267</v>
      </c>
      <c r="E2032" s="396" t="s">
        <v>5016</v>
      </c>
      <c r="F2032" s="396" t="s">
        <v>1273</v>
      </c>
      <c r="G2032" s="396" t="s">
        <v>3125</v>
      </c>
      <c r="H2032" s="398" t="s">
        <v>5024</v>
      </c>
      <c r="I2032" s="399" t="s">
        <v>3206</v>
      </c>
      <c r="J2032" s="399" t="s">
        <v>3207</v>
      </c>
      <c r="K2032" s="402" t="s">
        <v>5024</v>
      </c>
      <c r="L2032" s="402" t="s">
        <v>5024</v>
      </c>
      <c r="M2032" s="402" t="s">
        <v>5024</v>
      </c>
      <c r="N2032" s="402" t="s">
        <v>5024</v>
      </c>
      <c r="O2032" s="402" t="s">
        <v>5024</v>
      </c>
      <c r="P2032" s="402" t="s">
        <v>5024</v>
      </c>
      <c r="Q2032" s="403" t="s">
        <v>5024</v>
      </c>
      <c r="R2032" s="233"/>
      <c r="S2032" s="234">
        <f>IF(C2032="",NA(),MATCH($B2032&amp;$C2032,'Smelter Reference List'!$J:$J,0))</f>
        <v>20</v>
      </c>
      <c r="T2032" s="235"/>
      <c r="U2032" s="235">
        <f t="shared" si="58"/>
        <v>0</v>
      </c>
      <c r="V2032" s="235"/>
      <c r="W2032" s="235"/>
      <c r="Y2032" s="228" t="str">
        <f t="shared" si="59"/>
        <v>GoldAsahi Refining USA Inc.</v>
      </c>
    </row>
    <row r="2033" spans="1:25" s="228" customFormat="1" ht="20.25">
      <c r="A2033" s="400" t="s">
        <v>1240</v>
      </c>
      <c r="B2033" s="396" t="s">
        <v>2323</v>
      </c>
      <c r="C2033" s="397" t="s">
        <v>4147</v>
      </c>
      <c r="D2033" s="396" t="s">
        <v>4147</v>
      </c>
      <c r="E2033" s="396" t="s">
        <v>2249</v>
      </c>
      <c r="F2033" s="396" t="s">
        <v>1240</v>
      </c>
      <c r="G2033" s="396" t="s">
        <v>3125</v>
      </c>
      <c r="H2033" s="398" t="s">
        <v>5024</v>
      </c>
      <c r="I2033" s="399" t="s">
        <v>3142</v>
      </c>
      <c r="J2033" s="399" t="s">
        <v>3143</v>
      </c>
      <c r="K2033" s="402" t="s">
        <v>5024</v>
      </c>
      <c r="L2033" s="402" t="s">
        <v>5024</v>
      </c>
      <c r="M2033" s="402" t="s">
        <v>5024</v>
      </c>
      <c r="N2033" s="402" t="s">
        <v>5024</v>
      </c>
      <c r="O2033" s="402" t="s">
        <v>5024</v>
      </c>
      <c r="P2033" s="402" t="s">
        <v>925</v>
      </c>
      <c r="Q2033" s="403" t="s">
        <v>5024</v>
      </c>
      <c r="R2033" s="233"/>
      <c r="S2033" s="234">
        <f>IF(C2033="",NA(),MATCH($B2033&amp;$C2033,'Smelter Reference List'!$J:$J,0))</f>
        <v>21</v>
      </c>
      <c r="T2033" s="235"/>
      <c r="U2033" s="235">
        <f t="shared" si="58"/>
        <v>0</v>
      </c>
      <c r="V2033" s="235"/>
      <c r="W2033" s="235"/>
      <c r="Y2033" s="228" t="str">
        <f t="shared" si="59"/>
        <v>GoldAsaka Riken Co., Ltd.</v>
      </c>
    </row>
    <row r="2034" spans="1:25" s="228" customFormat="1" ht="20.25">
      <c r="A2034" s="400" t="s">
        <v>1242</v>
      </c>
      <c r="B2034" s="396" t="s">
        <v>2323</v>
      </c>
      <c r="C2034" s="397" t="s">
        <v>2448</v>
      </c>
      <c r="D2034" s="396" t="s">
        <v>2448</v>
      </c>
      <c r="E2034" s="396" t="s">
        <v>2195</v>
      </c>
      <c r="F2034" s="396" t="s">
        <v>1242</v>
      </c>
      <c r="G2034" s="396" t="s">
        <v>3125</v>
      </c>
      <c r="H2034" s="398" t="s">
        <v>5024</v>
      </c>
      <c r="I2034" s="399" t="s">
        <v>3146</v>
      </c>
      <c r="J2034" s="399" t="s">
        <v>3147</v>
      </c>
      <c r="K2034" s="402" t="s">
        <v>5024</v>
      </c>
      <c r="L2034" s="402" t="s">
        <v>5024</v>
      </c>
      <c r="M2034" s="402" t="s">
        <v>5024</v>
      </c>
      <c r="N2034" s="402" t="s">
        <v>5024</v>
      </c>
      <c r="O2034" s="402" t="s">
        <v>5024</v>
      </c>
      <c r="P2034" s="402" t="s">
        <v>5024</v>
      </c>
      <c r="Q2034" s="403" t="s">
        <v>5024</v>
      </c>
      <c r="R2034" s="233"/>
      <c r="S2034" s="234">
        <f>IF(C2034="",NA(),MATCH($B2034&amp;$C2034,'Smelter Reference List'!$J:$J,0))</f>
        <v>26</v>
      </c>
      <c r="T2034" s="235"/>
      <c r="U2034" s="235">
        <f t="shared" si="58"/>
        <v>0</v>
      </c>
      <c r="V2034" s="235"/>
      <c r="W2034" s="235"/>
      <c r="Y2034" s="228" t="str">
        <f t="shared" si="59"/>
        <v>GoldAurubis AG</v>
      </c>
    </row>
    <row r="2035" spans="1:25" s="228" customFormat="1" ht="20.25">
      <c r="A2035" s="400" t="s">
        <v>4680</v>
      </c>
      <c r="B2035" s="396" t="s">
        <v>2323</v>
      </c>
      <c r="C2035" s="397" t="s">
        <v>4679</v>
      </c>
      <c r="D2035" s="396" t="s">
        <v>4679</v>
      </c>
      <c r="E2035" s="396" t="s">
        <v>2239</v>
      </c>
      <c r="F2035" s="396" t="s">
        <v>4680</v>
      </c>
      <c r="G2035" s="396" t="s">
        <v>3125</v>
      </c>
      <c r="H2035" s="398" t="s">
        <v>5024</v>
      </c>
      <c r="I2035" s="399" t="s">
        <v>4760</v>
      </c>
      <c r="J2035" s="399" t="s">
        <v>4761</v>
      </c>
      <c r="K2035" s="402" t="s">
        <v>5024</v>
      </c>
      <c r="L2035" s="402" t="s">
        <v>5024</v>
      </c>
      <c r="M2035" s="402" t="s">
        <v>5024</v>
      </c>
      <c r="N2035" s="402" t="s">
        <v>5024</v>
      </c>
      <c r="O2035" s="402" t="s">
        <v>5024</v>
      </c>
      <c r="P2035" s="402" t="s">
        <v>5024</v>
      </c>
      <c r="Q2035" s="403" t="s">
        <v>5024</v>
      </c>
      <c r="R2035" s="233"/>
      <c r="S2035" s="234">
        <f>IF(C2035="",NA(),MATCH($B2035&amp;$C2035,'Smelter Reference List'!$J:$J,0))</f>
        <v>27</v>
      </c>
      <c r="T2035" s="235"/>
      <c r="U2035" s="235">
        <f t="shared" si="58"/>
        <v>0</v>
      </c>
      <c r="V2035" s="235"/>
      <c r="W2035" s="235"/>
      <c r="Y2035" s="228" t="str">
        <f t="shared" si="59"/>
        <v>GoldBangalore Refinery</v>
      </c>
    </row>
    <row r="2036" spans="1:25" s="228" customFormat="1" ht="25.5">
      <c r="A2036" s="400" t="s">
        <v>1243</v>
      </c>
      <c r="B2036" s="396" t="s">
        <v>2323</v>
      </c>
      <c r="C2036" s="397" t="s">
        <v>1786</v>
      </c>
      <c r="D2036" s="396" t="s">
        <v>1786</v>
      </c>
      <c r="E2036" s="396" t="s">
        <v>1705</v>
      </c>
      <c r="F2036" s="396" t="s">
        <v>1243</v>
      </c>
      <c r="G2036" s="396" t="s">
        <v>3125</v>
      </c>
      <c r="H2036" s="398" t="s">
        <v>5024</v>
      </c>
      <c r="I2036" s="399" t="s">
        <v>4269</v>
      </c>
      <c r="J2036" s="399" t="s">
        <v>3149</v>
      </c>
      <c r="K2036" s="402" t="s">
        <v>5024</v>
      </c>
      <c r="L2036" s="402" t="s">
        <v>5024</v>
      </c>
      <c r="M2036" s="402" t="s">
        <v>5024</v>
      </c>
      <c r="N2036" s="402" t="s">
        <v>5024</v>
      </c>
      <c r="O2036" s="402" t="s">
        <v>5024</v>
      </c>
      <c r="P2036" s="402" t="s">
        <v>5024</v>
      </c>
      <c r="Q2036" s="403" t="s">
        <v>5024</v>
      </c>
      <c r="R2036" s="233"/>
      <c r="S2036" s="234">
        <f>IF(C2036="",NA(),MATCH($B2036&amp;$C2036,'Smelter Reference List'!$J:$J,0))</f>
        <v>28</v>
      </c>
      <c r="T2036" s="235"/>
      <c r="U2036" s="235">
        <f t="shared" si="58"/>
        <v>0</v>
      </c>
      <c r="V2036" s="235"/>
      <c r="W2036" s="235"/>
      <c r="Y2036" s="228" t="str">
        <f t="shared" si="59"/>
        <v>GoldBangko Sentral ng Pilipinas (Central Bank of the Philippines)</v>
      </c>
    </row>
    <row r="2037" spans="1:25" s="228" customFormat="1" ht="20.25">
      <c r="A2037" s="400" t="s">
        <v>1244</v>
      </c>
      <c r="B2037" s="396" t="s">
        <v>2323</v>
      </c>
      <c r="C2037" s="397" t="s">
        <v>2450</v>
      </c>
      <c r="D2037" s="396" t="s">
        <v>2450</v>
      </c>
      <c r="E2037" s="396" t="s">
        <v>1736</v>
      </c>
      <c r="F2037" s="396" t="s">
        <v>1244</v>
      </c>
      <c r="G2037" s="396" t="s">
        <v>3125</v>
      </c>
      <c r="H2037" s="398" t="s">
        <v>5024</v>
      </c>
      <c r="I2037" s="399" t="s">
        <v>3150</v>
      </c>
      <c r="J2037" s="399" t="s">
        <v>3151</v>
      </c>
      <c r="K2037" s="402" t="s">
        <v>5024</v>
      </c>
      <c r="L2037" s="402" t="s">
        <v>5024</v>
      </c>
      <c r="M2037" s="402" t="s">
        <v>5024</v>
      </c>
      <c r="N2037" s="402" t="s">
        <v>5024</v>
      </c>
      <c r="O2037" s="402" t="s">
        <v>5024</v>
      </c>
      <c r="P2037" s="402" t="s">
        <v>5024</v>
      </c>
      <c r="Q2037" s="403" t="s">
        <v>5024</v>
      </c>
      <c r="R2037" s="233"/>
      <c r="S2037" s="234">
        <f>IF(C2037="",NA(),MATCH($B2037&amp;$C2037,'Smelter Reference List'!$J:$J,0))</f>
        <v>29</v>
      </c>
      <c r="T2037" s="235"/>
      <c r="U2037" s="235">
        <f t="shared" si="58"/>
        <v>0</v>
      </c>
      <c r="V2037" s="235"/>
      <c r="W2037" s="235"/>
      <c r="Y2037" s="228" t="str">
        <f t="shared" si="59"/>
        <v>GoldBoliden AB</v>
      </c>
    </row>
    <row r="2038" spans="1:25" s="228" customFormat="1" ht="20.25">
      <c r="A2038" s="400" t="s">
        <v>1246</v>
      </c>
      <c r="B2038" s="396" t="s">
        <v>2323</v>
      </c>
      <c r="C2038" s="397" t="s">
        <v>1245</v>
      </c>
      <c r="D2038" s="396" t="s">
        <v>1245</v>
      </c>
      <c r="E2038" s="396" t="s">
        <v>2195</v>
      </c>
      <c r="F2038" s="396" t="s">
        <v>1246</v>
      </c>
      <c r="G2038" s="396" t="s">
        <v>3125</v>
      </c>
      <c r="H2038" s="398" t="s">
        <v>5024</v>
      </c>
      <c r="I2038" s="399" t="s">
        <v>3130</v>
      </c>
      <c r="J2038" s="399" t="s">
        <v>3131</v>
      </c>
      <c r="K2038" s="402" t="s">
        <v>5024</v>
      </c>
      <c r="L2038" s="402" t="s">
        <v>5024</v>
      </c>
      <c r="M2038" s="402" t="s">
        <v>5024</v>
      </c>
      <c r="N2038" s="402" t="s">
        <v>5024</v>
      </c>
      <c r="O2038" s="402" t="s">
        <v>5024</v>
      </c>
      <c r="P2038" s="402" t="s">
        <v>5024</v>
      </c>
      <c r="Q2038" s="403" t="s">
        <v>5024</v>
      </c>
      <c r="R2038" s="233"/>
      <c r="S2038" s="234">
        <f>IF(C2038="",NA(),MATCH($B2038&amp;$C2038,'Smelter Reference List'!$J:$J,0))</f>
        <v>30</v>
      </c>
      <c r="T2038" s="235"/>
      <c r="U2038" s="235">
        <f t="shared" si="58"/>
        <v>0</v>
      </c>
      <c r="V2038" s="235"/>
      <c r="W2038" s="235"/>
      <c r="Y2038" s="228" t="str">
        <f t="shared" si="59"/>
        <v>GoldC. Hafner GmbH + Co. KG</v>
      </c>
    </row>
    <row r="2039" spans="1:25" s="228" customFormat="1" ht="20.25">
      <c r="A2039" s="400" t="s">
        <v>1248</v>
      </c>
      <c r="B2039" s="396" t="s">
        <v>2323</v>
      </c>
      <c r="C2039" s="397" t="s">
        <v>4323</v>
      </c>
      <c r="D2039" s="396" t="s">
        <v>4323</v>
      </c>
      <c r="E2039" s="396" t="s">
        <v>2177</v>
      </c>
      <c r="F2039" s="396" t="s">
        <v>1248</v>
      </c>
      <c r="G2039" s="396" t="s">
        <v>3125</v>
      </c>
      <c r="H2039" s="398" t="s">
        <v>5024</v>
      </c>
      <c r="I2039" s="399" t="s">
        <v>3154</v>
      </c>
      <c r="J2039" s="399" t="s">
        <v>3155</v>
      </c>
      <c r="K2039" s="402" t="s">
        <v>5024</v>
      </c>
      <c r="L2039" s="402" t="s">
        <v>5024</v>
      </c>
      <c r="M2039" s="402" t="s">
        <v>5024</v>
      </c>
      <c r="N2039" s="402" t="s">
        <v>5024</v>
      </c>
      <c r="O2039" s="402" t="s">
        <v>5024</v>
      </c>
      <c r="P2039" s="402" t="s">
        <v>5024</v>
      </c>
      <c r="Q2039" s="403" t="s">
        <v>5024</v>
      </c>
      <c r="R2039" s="233"/>
      <c r="S2039" s="234">
        <f>IF(C2039="",NA(),MATCH($B2039&amp;$C2039,'Smelter Reference List'!$J:$J,0))</f>
        <v>33</v>
      </c>
      <c r="T2039" s="235"/>
      <c r="U2039" s="235">
        <f t="shared" si="58"/>
        <v>0</v>
      </c>
      <c r="V2039" s="235"/>
      <c r="W2039" s="235"/>
      <c r="Y2039" s="228" t="str">
        <f t="shared" si="59"/>
        <v>GoldCCR Refinery - Glencore Canada Corporation</v>
      </c>
    </row>
    <row r="2040" spans="1:25" s="228" customFormat="1" ht="20.25">
      <c r="A2040" s="400" t="s">
        <v>1249</v>
      </c>
      <c r="B2040" s="396" t="s">
        <v>2323</v>
      </c>
      <c r="C2040" s="397" t="s">
        <v>4682</v>
      </c>
      <c r="D2040" s="396" t="s">
        <v>4682</v>
      </c>
      <c r="E2040" s="396" t="s">
        <v>2179</v>
      </c>
      <c r="F2040" s="396" t="s">
        <v>1249</v>
      </c>
      <c r="G2040" s="396" t="s">
        <v>3125</v>
      </c>
      <c r="H2040" s="398" t="s">
        <v>5024</v>
      </c>
      <c r="I2040" s="399" t="s">
        <v>3158</v>
      </c>
      <c r="J2040" s="399" t="s">
        <v>3159</v>
      </c>
      <c r="K2040" s="402" t="s">
        <v>5024</v>
      </c>
      <c r="L2040" s="402" t="s">
        <v>5024</v>
      </c>
      <c r="M2040" s="402" t="s">
        <v>5024</v>
      </c>
      <c r="N2040" s="402" t="s">
        <v>5024</v>
      </c>
      <c r="O2040" s="402" t="s">
        <v>5024</v>
      </c>
      <c r="P2040" s="402" t="s">
        <v>5024</v>
      </c>
      <c r="Q2040" s="403" t="s">
        <v>5024</v>
      </c>
      <c r="R2040" s="233"/>
      <c r="S2040" s="234">
        <f>IF(C2040="",NA(),MATCH($B2040&amp;$C2040,'Smelter Reference List'!$J:$J,0))</f>
        <v>35</v>
      </c>
      <c r="T2040" s="235"/>
      <c r="U2040" s="235">
        <f t="shared" si="58"/>
        <v>0</v>
      </c>
      <c r="V2040" s="235"/>
      <c r="W2040" s="235"/>
      <c r="Y2040" s="228" t="str">
        <f t="shared" si="59"/>
        <v>GoldCendres + Métaux S.A.</v>
      </c>
    </row>
    <row r="2041" spans="1:25" s="228" customFormat="1" ht="20.25">
      <c r="A2041" s="400" t="s">
        <v>1250</v>
      </c>
      <c r="B2041" s="396" t="s">
        <v>2323</v>
      </c>
      <c r="C2041" s="397" t="s">
        <v>71</v>
      </c>
      <c r="D2041" s="396" t="s">
        <v>71</v>
      </c>
      <c r="E2041" s="396" t="s">
        <v>2246</v>
      </c>
      <c r="F2041" s="396" t="s">
        <v>1250</v>
      </c>
      <c r="G2041" s="396" t="s">
        <v>3125</v>
      </c>
      <c r="H2041" s="398" t="s">
        <v>5024</v>
      </c>
      <c r="I2041" s="399" t="s">
        <v>3163</v>
      </c>
      <c r="J2041" s="399" t="s">
        <v>3164</v>
      </c>
      <c r="K2041" s="402" t="s">
        <v>5024</v>
      </c>
      <c r="L2041" s="402" t="s">
        <v>5024</v>
      </c>
      <c r="M2041" s="402" t="s">
        <v>5024</v>
      </c>
      <c r="N2041" s="402" t="s">
        <v>5024</v>
      </c>
      <c r="O2041" s="402" t="s">
        <v>5024</v>
      </c>
      <c r="P2041" s="402" t="s">
        <v>5024</v>
      </c>
      <c r="Q2041" s="403" t="s">
        <v>5024</v>
      </c>
      <c r="R2041" s="233"/>
      <c r="S2041" s="234">
        <f>IF(C2041="",NA(),MATCH($B2041&amp;$C2041,'Smelter Reference List'!$J:$J,0))</f>
        <v>38</v>
      </c>
      <c r="T2041" s="235"/>
      <c r="U2041" s="235">
        <f t="shared" si="58"/>
        <v>0</v>
      </c>
      <c r="V2041" s="235"/>
      <c r="W2041" s="235"/>
      <c r="Y2041" s="228" t="str">
        <f t="shared" si="59"/>
        <v>GoldChimet S.p.A.</v>
      </c>
    </row>
    <row r="2042" spans="1:25" s="228" customFormat="1" ht="20.25">
      <c r="A2042" s="400" t="s">
        <v>1252</v>
      </c>
      <c r="B2042" s="396" t="s">
        <v>2323</v>
      </c>
      <c r="C2042" s="397" t="s">
        <v>4150</v>
      </c>
      <c r="D2042" s="396" t="s">
        <v>4150</v>
      </c>
      <c r="E2042" s="396" t="s">
        <v>5017</v>
      </c>
      <c r="F2042" s="396" t="s">
        <v>1252</v>
      </c>
      <c r="G2042" s="396" t="s">
        <v>3125</v>
      </c>
      <c r="H2042" s="398" t="s">
        <v>5024</v>
      </c>
      <c r="I2042" s="399" t="s">
        <v>4683</v>
      </c>
      <c r="J2042" s="399" t="s">
        <v>3167</v>
      </c>
      <c r="K2042" s="402" t="s">
        <v>5024</v>
      </c>
      <c r="L2042" s="402" t="s">
        <v>5024</v>
      </c>
      <c r="M2042" s="402" t="s">
        <v>5024</v>
      </c>
      <c r="N2042" s="402" t="s">
        <v>5024</v>
      </c>
      <c r="O2042" s="402" t="s">
        <v>5024</v>
      </c>
      <c r="P2042" s="402" t="s">
        <v>5024</v>
      </c>
      <c r="Q2042" s="403" t="s">
        <v>5024</v>
      </c>
      <c r="R2042" s="233"/>
      <c r="S2042" s="234">
        <f>IF(C2042="",NA(),MATCH($B2042&amp;$C2042,'Smelter Reference List'!$J:$J,0))</f>
        <v>42</v>
      </c>
      <c r="T2042" s="235"/>
      <c r="U2042" s="235">
        <f t="shared" si="58"/>
        <v>0</v>
      </c>
      <c r="V2042" s="235"/>
      <c r="W2042" s="235"/>
      <c r="Y2042" s="228" t="str">
        <f t="shared" si="59"/>
        <v>GoldDaejin Indus Co., Ltd.</v>
      </c>
    </row>
    <row r="2043" spans="1:25" s="228" customFormat="1" ht="20.25">
      <c r="A2043" s="400" t="s">
        <v>1254</v>
      </c>
      <c r="B2043" s="396" t="s">
        <v>2323</v>
      </c>
      <c r="C2043" s="397" t="s">
        <v>1253</v>
      </c>
      <c r="D2043" s="396" t="s">
        <v>1253</v>
      </c>
      <c r="E2043" s="396" t="s">
        <v>2181</v>
      </c>
      <c r="F2043" s="396" t="s">
        <v>1254</v>
      </c>
      <c r="G2043" s="396" t="s">
        <v>3125</v>
      </c>
      <c r="H2043" s="398" t="s">
        <v>5024</v>
      </c>
      <c r="I2043" s="399" t="s">
        <v>3169</v>
      </c>
      <c r="J2043" s="399" t="s">
        <v>3170</v>
      </c>
      <c r="K2043" s="402" t="s">
        <v>5024</v>
      </c>
      <c r="L2043" s="402" t="s">
        <v>5024</v>
      </c>
      <c r="M2043" s="402" t="s">
        <v>5024</v>
      </c>
      <c r="N2043" s="402" t="s">
        <v>5024</v>
      </c>
      <c r="O2043" s="402" t="s">
        <v>5024</v>
      </c>
      <c r="P2043" s="402" t="s">
        <v>5024</v>
      </c>
      <c r="Q2043" s="403" t="s">
        <v>5024</v>
      </c>
      <c r="R2043" s="233"/>
      <c r="S2043" s="234">
        <f>IF(C2043="",NA(),MATCH($B2043&amp;$C2043,'Smelter Reference List'!$J:$J,0))</f>
        <v>44</v>
      </c>
      <c r="T2043" s="235"/>
      <c r="U2043" s="235">
        <f t="shared" si="58"/>
        <v>0</v>
      </c>
      <c r="V2043" s="235"/>
      <c r="W2043" s="235"/>
      <c r="Y2043" s="228" t="str">
        <f t="shared" si="59"/>
        <v>GoldDaye Non-Ferrous Metals Mining Ltd.</v>
      </c>
    </row>
    <row r="2044" spans="1:25" s="228" customFormat="1" ht="20.25">
      <c r="A2044" s="400" t="s">
        <v>1257</v>
      </c>
      <c r="B2044" s="396" t="s">
        <v>2323</v>
      </c>
      <c r="C2044" s="397" t="s">
        <v>4292</v>
      </c>
      <c r="D2044" s="396" t="s">
        <v>4292</v>
      </c>
      <c r="E2044" s="396" t="s">
        <v>2195</v>
      </c>
      <c r="F2044" s="396" t="s">
        <v>1257</v>
      </c>
      <c r="G2044" s="396" t="s">
        <v>3125</v>
      </c>
      <c r="H2044" s="398" t="s">
        <v>5024</v>
      </c>
      <c r="I2044" s="399" t="s">
        <v>3130</v>
      </c>
      <c r="J2044" s="399" t="s">
        <v>3131</v>
      </c>
      <c r="K2044" s="402" t="s">
        <v>5024</v>
      </c>
      <c r="L2044" s="402" t="s">
        <v>5024</v>
      </c>
      <c r="M2044" s="402" t="s">
        <v>5024</v>
      </c>
      <c r="N2044" s="402" t="s">
        <v>5024</v>
      </c>
      <c r="O2044" s="402" t="s">
        <v>5024</v>
      </c>
      <c r="P2044" s="402" t="s">
        <v>5024</v>
      </c>
      <c r="Q2044" s="403" t="s">
        <v>5024</v>
      </c>
      <c r="R2044" s="233"/>
      <c r="S2044" s="234">
        <f>IF(C2044="",NA(),MATCH($B2044&amp;$C2044,'Smelter Reference List'!$J:$J,0))</f>
        <v>47</v>
      </c>
      <c r="T2044" s="235"/>
      <c r="U2044" s="235">
        <f t="shared" si="58"/>
        <v>0</v>
      </c>
      <c r="V2044" s="235"/>
      <c r="W2044" s="235"/>
      <c r="Y2044" s="228" t="str">
        <f t="shared" si="59"/>
        <v>GoldDODUCO GmbH</v>
      </c>
    </row>
    <row r="2045" spans="1:25" s="228" customFormat="1" ht="20.25">
      <c r="A2045" s="400" t="s">
        <v>1258</v>
      </c>
      <c r="B2045" s="396" t="s">
        <v>2323</v>
      </c>
      <c r="C2045" s="397" t="s">
        <v>1788</v>
      </c>
      <c r="D2045" s="396" t="s">
        <v>1788</v>
      </c>
      <c r="E2045" s="396" t="s">
        <v>2249</v>
      </c>
      <c r="F2045" s="396" t="s">
        <v>1258</v>
      </c>
      <c r="G2045" s="396" t="s">
        <v>3125</v>
      </c>
      <c r="H2045" s="398" t="s">
        <v>5024</v>
      </c>
      <c r="I2045" s="399" t="s">
        <v>3173</v>
      </c>
      <c r="J2045" s="399" t="s">
        <v>3174</v>
      </c>
      <c r="K2045" s="402" t="s">
        <v>5024</v>
      </c>
      <c r="L2045" s="402" t="s">
        <v>5024</v>
      </c>
      <c r="M2045" s="402" t="s">
        <v>5024</v>
      </c>
      <c r="N2045" s="402" t="s">
        <v>5024</v>
      </c>
      <c r="O2045" s="402" t="s">
        <v>5024</v>
      </c>
      <c r="P2045" s="402" t="s">
        <v>924</v>
      </c>
      <c r="Q2045" s="403" t="s">
        <v>5024</v>
      </c>
      <c r="R2045" s="233"/>
      <c r="S2045" s="234">
        <f>IF(C2045="",NA(),MATCH($B2045&amp;$C2045,'Smelter Reference List'!$J:$J,0))</f>
        <v>49</v>
      </c>
      <c r="T2045" s="235"/>
      <c r="U2045" s="235">
        <f t="shared" si="58"/>
        <v>0</v>
      </c>
      <c r="V2045" s="235"/>
      <c r="W2045" s="235"/>
      <c r="Y2045" s="228" t="str">
        <f t="shared" si="59"/>
        <v>GoldDowa</v>
      </c>
    </row>
    <row r="2046" spans="1:25" s="228" customFormat="1" ht="20.25">
      <c r="A2046" s="400" t="s">
        <v>1255</v>
      </c>
      <c r="B2046" s="396" t="s">
        <v>2323</v>
      </c>
      <c r="C2046" s="397" t="s">
        <v>4341</v>
      </c>
      <c r="D2046" s="396" t="s">
        <v>4341</v>
      </c>
      <c r="E2046" s="396" t="s">
        <v>5017</v>
      </c>
      <c r="F2046" s="396" t="s">
        <v>1255</v>
      </c>
      <c r="G2046" s="396" t="s">
        <v>3125</v>
      </c>
      <c r="H2046" s="398" t="s">
        <v>5024</v>
      </c>
      <c r="I2046" s="399" t="s">
        <v>3171</v>
      </c>
      <c r="J2046" s="399" t="s">
        <v>3172</v>
      </c>
      <c r="K2046" s="402" t="s">
        <v>5024</v>
      </c>
      <c r="L2046" s="402" t="s">
        <v>5024</v>
      </c>
      <c r="M2046" s="402" t="s">
        <v>5024</v>
      </c>
      <c r="N2046" s="402" t="s">
        <v>5024</v>
      </c>
      <c r="O2046" s="402" t="s">
        <v>5024</v>
      </c>
      <c r="P2046" s="402" t="s">
        <v>925</v>
      </c>
      <c r="Q2046" s="403" t="s">
        <v>5024</v>
      </c>
      <c r="R2046" s="233"/>
      <c r="S2046" s="234">
        <f>IF(C2046="",NA(),MATCH($B2046&amp;$C2046,'Smelter Reference List'!$J:$J,0))</f>
        <v>53</v>
      </c>
      <c r="T2046" s="235"/>
      <c r="U2046" s="235">
        <f t="shared" si="58"/>
        <v>0</v>
      </c>
      <c r="V2046" s="235"/>
      <c r="W2046" s="235"/>
      <c r="Y2046" s="228" t="str">
        <f t="shared" si="59"/>
        <v>GoldDSC (Do Sung Corporation)</v>
      </c>
    </row>
    <row r="2047" spans="1:25" s="228" customFormat="1" ht="20.25">
      <c r="A2047" s="400" t="s">
        <v>727</v>
      </c>
      <c r="B2047" s="396" t="s">
        <v>2323</v>
      </c>
      <c r="C2047" s="397" t="s">
        <v>726</v>
      </c>
      <c r="D2047" s="396" t="s">
        <v>726</v>
      </c>
      <c r="E2047" s="396" t="s">
        <v>2249</v>
      </c>
      <c r="F2047" s="396" t="s">
        <v>727</v>
      </c>
      <c r="G2047" s="396" t="s">
        <v>3125</v>
      </c>
      <c r="H2047" s="398" t="s">
        <v>5024</v>
      </c>
      <c r="I2047" s="399" t="s">
        <v>3178</v>
      </c>
      <c r="J2047" s="399" t="s">
        <v>3179</v>
      </c>
      <c r="K2047" s="402" t="s">
        <v>5024</v>
      </c>
      <c r="L2047" s="402" t="s">
        <v>5024</v>
      </c>
      <c r="M2047" s="402" t="s">
        <v>5024</v>
      </c>
      <c r="N2047" s="402" t="s">
        <v>5024</v>
      </c>
      <c r="O2047" s="402" t="s">
        <v>5024</v>
      </c>
      <c r="P2047" s="402" t="s">
        <v>925</v>
      </c>
      <c r="Q2047" s="403" t="s">
        <v>5024</v>
      </c>
      <c r="R2047" s="233"/>
      <c r="S2047" s="234">
        <f>IF(C2047="",NA(),MATCH($B2047&amp;$C2047,'Smelter Reference List'!$J:$J,0))</f>
        <v>54</v>
      </c>
      <c r="T2047" s="235"/>
      <c r="U2047" s="235">
        <f t="shared" si="58"/>
        <v>0</v>
      </c>
      <c r="V2047" s="235"/>
      <c r="W2047" s="235"/>
      <c r="Y2047" s="228" t="str">
        <f t="shared" si="59"/>
        <v>GoldEco-System Recycling Co., Ltd.</v>
      </c>
    </row>
    <row r="2048" spans="1:25" s="228" customFormat="1" ht="20.25">
      <c r="A2048" s="400" t="s">
        <v>1302</v>
      </c>
      <c r="B2048" s="396" t="s">
        <v>2323</v>
      </c>
      <c r="C2048" s="397" t="s">
        <v>4268</v>
      </c>
      <c r="D2048" s="396" t="s">
        <v>4268</v>
      </c>
      <c r="E2048" s="396" t="s">
        <v>5016</v>
      </c>
      <c r="F2048" s="396" t="s">
        <v>1302</v>
      </c>
      <c r="G2048" s="396" t="s">
        <v>3125</v>
      </c>
      <c r="H2048" s="398" t="s">
        <v>5024</v>
      </c>
      <c r="I2048" s="399" t="s">
        <v>3255</v>
      </c>
      <c r="J2048" s="399" t="s">
        <v>3256</v>
      </c>
      <c r="K2048" s="402" t="s">
        <v>5024</v>
      </c>
      <c r="L2048" s="402" t="s">
        <v>5024</v>
      </c>
      <c r="M2048" s="402" t="s">
        <v>5024</v>
      </c>
      <c r="N2048" s="402" t="s">
        <v>5024</v>
      </c>
      <c r="O2048" s="402" t="s">
        <v>5024</v>
      </c>
      <c r="P2048" s="402" t="s">
        <v>925</v>
      </c>
      <c r="Q2048" s="403" t="s">
        <v>5024</v>
      </c>
      <c r="R2048" s="233"/>
      <c r="S2048" s="234">
        <f>IF(C2048="",NA(),MATCH($B2048&amp;$C2048,'Smelter Reference List'!$J:$J,0))</f>
        <v>55</v>
      </c>
      <c r="T2048" s="235"/>
      <c r="U2048" s="235">
        <f t="shared" si="58"/>
        <v>0</v>
      </c>
      <c r="V2048" s="235"/>
      <c r="W2048" s="235"/>
      <c r="Y2048" s="228" t="str">
        <f t="shared" si="59"/>
        <v>GoldElemetal Refining, LLC</v>
      </c>
    </row>
    <row r="2049" spans="1:25" s="228" customFormat="1" ht="20.25">
      <c r="A2049" s="400" t="s">
        <v>3359</v>
      </c>
      <c r="B2049" s="396" t="s">
        <v>2323</v>
      </c>
      <c r="C2049" s="397" t="s">
        <v>3358</v>
      </c>
      <c r="D2049" s="396" t="s">
        <v>3358</v>
      </c>
      <c r="E2049" s="396" t="s">
        <v>2147</v>
      </c>
      <c r="F2049" s="396" t="s">
        <v>3359</v>
      </c>
      <c r="G2049" s="396" t="s">
        <v>3125</v>
      </c>
      <c r="H2049" s="398" t="s">
        <v>5024</v>
      </c>
      <c r="I2049" s="399" t="s">
        <v>3357</v>
      </c>
      <c r="J2049" s="399" t="s">
        <v>3357</v>
      </c>
      <c r="K2049" s="402" t="s">
        <v>5024</v>
      </c>
      <c r="L2049" s="402" t="s">
        <v>5024</v>
      </c>
      <c r="M2049" s="402" t="s">
        <v>5024</v>
      </c>
      <c r="N2049" s="402" t="s">
        <v>5024</v>
      </c>
      <c r="O2049" s="402" t="s">
        <v>5024</v>
      </c>
      <c r="P2049" s="402" t="s">
        <v>5024</v>
      </c>
      <c r="Q2049" s="403" t="s">
        <v>5024</v>
      </c>
      <c r="R2049" s="233"/>
      <c r="S2049" s="234">
        <f>IF(C2049="",NA(),MATCH($B2049&amp;$C2049,'Smelter Reference List'!$J:$J,0))</f>
        <v>56</v>
      </c>
      <c r="T2049" s="235"/>
      <c r="U2049" s="235">
        <f t="shared" si="58"/>
        <v>0</v>
      </c>
      <c r="V2049" s="235"/>
      <c r="W2049" s="235"/>
      <c r="Y2049" s="228" t="str">
        <f t="shared" si="59"/>
        <v>GoldEmirates Gold DMCC</v>
      </c>
    </row>
    <row r="2050" spans="1:25" s="228" customFormat="1" ht="20.25">
      <c r="A2050" s="400" t="s">
        <v>3344</v>
      </c>
      <c r="B2050" s="396" t="s">
        <v>2323</v>
      </c>
      <c r="C2050" s="397" t="s">
        <v>3343</v>
      </c>
      <c r="D2050" s="396" t="s">
        <v>3343</v>
      </c>
      <c r="E2050" s="396" t="s">
        <v>5016</v>
      </c>
      <c r="F2050" s="396" t="s">
        <v>3344</v>
      </c>
      <c r="G2050" s="396" t="s">
        <v>3125</v>
      </c>
      <c r="H2050" s="398" t="s">
        <v>5024</v>
      </c>
      <c r="I2050" s="399" t="s">
        <v>3126</v>
      </c>
      <c r="J2050" s="399" t="s">
        <v>3127</v>
      </c>
      <c r="K2050" s="402" t="s">
        <v>5024</v>
      </c>
      <c r="L2050" s="402" t="s">
        <v>5024</v>
      </c>
      <c r="M2050" s="402" t="s">
        <v>5024</v>
      </c>
      <c r="N2050" s="402" t="s">
        <v>5024</v>
      </c>
      <c r="O2050" s="402" t="s">
        <v>5024</v>
      </c>
      <c r="P2050" s="402" t="s">
        <v>5024</v>
      </c>
      <c r="Q2050" s="403" t="s">
        <v>5024</v>
      </c>
      <c r="R2050" s="233"/>
      <c r="S2050" s="234">
        <f>IF(C2050="",NA(),MATCH($B2050&amp;$C2050,'Smelter Reference List'!$J:$J,0))</f>
        <v>62</v>
      </c>
      <c r="T2050" s="235"/>
      <c r="U2050" s="235">
        <f t="shared" si="58"/>
        <v>0</v>
      </c>
      <c r="V2050" s="235"/>
      <c r="W2050" s="235"/>
      <c r="Y2050" s="228" t="str">
        <f t="shared" si="59"/>
        <v>GoldGeib Refining Corporation</v>
      </c>
    </row>
    <row r="2051" spans="1:25" s="228" customFormat="1" ht="20.25">
      <c r="A2051" s="400" t="s">
        <v>1323</v>
      </c>
      <c r="B2051" s="396" t="s">
        <v>2323</v>
      </c>
      <c r="C2051" s="397" t="s">
        <v>4293</v>
      </c>
      <c r="D2051" s="396" t="s">
        <v>4293</v>
      </c>
      <c r="E2051" s="396" t="s">
        <v>2181</v>
      </c>
      <c r="F2051" s="396" t="s">
        <v>1323</v>
      </c>
      <c r="G2051" s="396" t="s">
        <v>3125</v>
      </c>
      <c r="H2051" s="398" t="s">
        <v>5024</v>
      </c>
      <c r="I2051" s="399" t="s">
        <v>3290</v>
      </c>
      <c r="J2051" s="399" t="s">
        <v>3291</v>
      </c>
      <c r="K2051" s="402" t="s">
        <v>5024</v>
      </c>
      <c r="L2051" s="402" t="s">
        <v>5024</v>
      </c>
      <c r="M2051" s="402" t="s">
        <v>5024</v>
      </c>
      <c r="N2051" s="402" t="s">
        <v>5024</v>
      </c>
      <c r="O2051" s="402" t="s">
        <v>5024</v>
      </c>
      <c r="P2051" s="402" t="s">
        <v>5024</v>
      </c>
      <c r="Q2051" s="403" t="s">
        <v>5024</v>
      </c>
      <c r="R2051" s="233"/>
      <c r="S2051" s="234">
        <f>IF(C2051="",NA(),MATCH($B2051&amp;$C2051,'Smelter Reference List'!$J:$J,0))</f>
        <v>65</v>
      </c>
      <c r="T2051" s="235"/>
      <c r="U2051" s="235">
        <f t="shared" si="58"/>
        <v>0</v>
      </c>
      <c r="V2051" s="235"/>
      <c r="W2051" s="235"/>
      <c r="Y2051" s="228" t="str">
        <f t="shared" si="59"/>
        <v>GoldGreat Wall Precious Metals Co., Ltd. of CBPM</v>
      </c>
    </row>
    <row r="2052" spans="1:25" s="228" customFormat="1" ht="20.25">
      <c r="A2052" s="400" t="s">
        <v>1263</v>
      </c>
      <c r="B2052" s="396" t="s">
        <v>2323</v>
      </c>
      <c r="C2052" s="397" t="s">
        <v>1959</v>
      </c>
      <c r="D2052" s="396" t="s">
        <v>1959</v>
      </c>
      <c r="E2052" s="396" t="s">
        <v>2195</v>
      </c>
      <c r="F2052" s="396" t="s">
        <v>1263</v>
      </c>
      <c r="G2052" s="396" t="s">
        <v>3125</v>
      </c>
      <c r="H2052" s="398" t="s">
        <v>5024</v>
      </c>
      <c r="I2052" s="399" t="s">
        <v>3130</v>
      </c>
      <c r="J2052" s="399" t="s">
        <v>3131</v>
      </c>
      <c r="K2052" s="402" t="s">
        <v>5024</v>
      </c>
      <c r="L2052" s="402" t="s">
        <v>5024</v>
      </c>
      <c r="M2052" s="402" t="s">
        <v>5024</v>
      </c>
      <c r="N2052" s="402" t="s">
        <v>5024</v>
      </c>
      <c r="O2052" s="402" t="s">
        <v>5024</v>
      </c>
      <c r="P2052" s="402" t="s">
        <v>5024</v>
      </c>
      <c r="Q2052" s="403" t="s">
        <v>5024</v>
      </c>
      <c r="R2052" s="233"/>
      <c r="S2052" s="234">
        <f>IF(C2052="",NA(),MATCH($B2052&amp;$C2052,'Smelter Reference List'!$J:$J,0))</f>
        <v>71</v>
      </c>
      <c r="T2052" s="235"/>
      <c r="U2052" s="235">
        <f t="shared" si="58"/>
        <v>0</v>
      </c>
      <c r="V2052" s="235"/>
      <c r="W2052" s="235"/>
      <c r="Y2052" s="228" t="str">
        <f t="shared" si="59"/>
        <v>GoldHeimerle + Meule GmbH</v>
      </c>
    </row>
    <row r="2053" spans="1:25" s="228" customFormat="1" ht="20.25">
      <c r="A2053" s="400" t="s">
        <v>1264</v>
      </c>
      <c r="B2053" s="396" t="s">
        <v>2323</v>
      </c>
      <c r="C2053" s="397" t="s">
        <v>72</v>
      </c>
      <c r="D2053" s="396" t="s">
        <v>72</v>
      </c>
      <c r="E2053" s="396" t="s">
        <v>2181</v>
      </c>
      <c r="F2053" s="396" t="s">
        <v>1264</v>
      </c>
      <c r="G2053" s="396" t="s">
        <v>3125</v>
      </c>
      <c r="H2053" s="398" t="s">
        <v>5024</v>
      </c>
      <c r="I2053" s="399" t="s">
        <v>3190</v>
      </c>
      <c r="J2053" s="399" t="s">
        <v>3191</v>
      </c>
      <c r="K2053" s="402" t="s">
        <v>5024</v>
      </c>
      <c r="L2053" s="402" t="s">
        <v>5024</v>
      </c>
      <c r="M2053" s="402" t="s">
        <v>5024</v>
      </c>
      <c r="N2053" s="402" t="s">
        <v>5024</v>
      </c>
      <c r="O2053" s="402" t="s">
        <v>5024</v>
      </c>
      <c r="P2053" s="402" t="s">
        <v>5024</v>
      </c>
      <c r="Q2053" s="403" t="s">
        <v>5024</v>
      </c>
      <c r="R2053" s="233"/>
      <c r="S2053" s="234">
        <f>IF(C2053="",NA(),MATCH($B2053&amp;$C2053,'Smelter Reference List'!$J:$J,0))</f>
        <v>75</v>
      </c>
      <c r="T2053" s="235"/>
      <c r="U2053" s="235">
        <f t="shared" si="58"/>
        <v>0</v>
      </c>
      <c r="V2053" s="235"/>
      <c r="W2053" s="235"/>
      <c r="Y2053" s="228" t="str">
        <f t="shared" si="59"/>
        <v>GoldHeraeus Ltd. Hong Kong</v>
      </c>
    </row>
    <row r="2054" spans="1:25" s="228" customFormat="1" ht="20.25">
      <c r="A2054" s="400" t="s">
        <v>1265</v>
      </c>
      <c r="B2054" s="396" t="s">
        <v>2323</v>
      </c>
      <c r="C2054" s="397" t="s">
        <v>2451</v>
      </c>
      <c r="D2054" s="396" t="s">
        <v>2451</v>
      </c>
      <c r="E2054" s="396" t="s">
        <v>2195</v>
      </c>
      <c r="F2054" s="396" t="s">
        <v>1265</v>
      </c>
      <c r="G2054" s="396" t="s">
        <v>3125</v>
      </c>
      <c r="H2054" s="398" t="s">
        <v>5024</v>
      </c>
      <c r="I2054" s="399" t="s">
        <v>3192</v>
      </c>
      <c r="J2054" s="399" t="s">
        <v>3193</v>
      </c>
      <c r="K2054" s="402" t="s">
        <v>5024</v>
      </c>
      <c r="L2054" s="402" t="s">
        <v>5024</v>
      </c>
      <c r="M2054" s="402" t="s">
        <v>5024</v>
      </c>
      <c r="N2054" s="402" t="s">
        <v>5024</v>
      </c>
      <c r="O2054" s="402" t="s">
        <v>5024</v>
      </c>
      <c r="P2054" s="402" t="s">
        <v>5024</v>
      </c>
      <c r="Q2054" s="403" t="s">
        <v>5024</v>
      </c>
      <c r="R2054" s="233"/>
      <c r="S2054" s="234">
        <f>IF(C2054="",NA(),MATCH($B2054&amp;$C2054,'Smelter Reference List'!$J:$J,0))</f>
        <v>76</v>
      </c>
      <c r="T2054" s="235"/>
      <c r="U2054" s="235">
        <f t="shared" ref="U2054:U2117" si="60">IF(AND(C2054="Smelter not listed",OR(LEN(D2054)=0,LEN(E2054)=0)),1,0)</f>
        <v>0</v>
      </c>
      <c r="V2054" s="235"/>
      <c r="W2054" s="235"/>
      <c r="Y2054" s="228" t="str">
        <f t="shared" ref="Y2054:Y2117" si="61">B2054&amp;C2054</f>
        <v>GoldHeraeus Precious Metals GmbH &amp; Co. KG</v>
      </c>
    </row>
    <row r="2055" spans="1:25" s="228" customFormat="1" ht="25.5">
      <c r="A2055" s="400" t="s">
        <v>1268</v>
      </c>
      <c r="B2055" s="396" t="s">
        <v>2323</v>
      </c>
      <c r="C2055" s="397" t="s">
        <v>4688</v>
      </c>
      <c r="D2055" s="396" t="s">
        <v>4688</v>
      </c>
      <c r="E2055" s="396" t="s">
        <v>2181</v>
      </c>
      <c r="F2055" s="396" t="s">
        <v>1268</v>
      </c>
      <c r="G2055" s="396" t="s">
        <v>3125</v>
      </c>
      <c r="H2055" s="398" t="s">
        <v>5024</v>
      </c>
      <c r="I2055" s="399" t="s">
        <v>3197</v>
      </c>
      <c r="J2055" s="399" t="s">
        <v>3198</v>
      </c>
      <c r="K2055" s="402" t="s">
        <v>5024</v>
      </c>
      <c r="L2055" s="402" t="s">
        <v>5024</v>
      </c>
      <c r="M2055" s="402" t="s">
        <v>5024</v>
      </c>
      <c r="N2055" s="402" t="s">
        <v>5024</v>
      </c>
      <c r="O2055" s="402" t="s">
        <v>5024</v>
      </c>
      <c r="P2055" s="402" t="s">
        <v>5024</v>
      </c>
      <c r="Q2055" s="403" t="s">
        <v>5024</v>
      </c>
      <c r="R2055" s="233"/>
      <c r="S2055" s="234">
        <f>IF(C2055="",NA(),MATCH($B2055&amp;$C2055,'Smelter Reference List'!$J:$J,0))</f>
        <v>81</v>
      </c>
      <c r="T2055" s="235"/>
      <c r="U2055" s="235">
        <f t="shared" si="60"/>
        <v>0</v>
      </c>
      <c r="V2055" s="235"/>
      <c r="W2055" s="235"/>
      <c r="Y2055" s="228" t="str">
        <f t="shared" si="61"/>
        <v>GoldInner Mongolia Qiankun Gold and Silver Refinery Share Co., Ltd.</v>
      </c>
    </row>
    <row r="2056" spans="1:25" s="228" customFormat="1" ht="20.25">
      <c r="A2056" s="400" t="s">
        <v>1269</v>
      </c>
      <c r="B2056" s="396" t="s">
        <v>2323</v>
      </c>
      <c r="C2056" s="397" t="s">
        <v>2452</v>
      </c>
      <c r="D2056" s="396" t="s">
        <v>2452</v>
      </c>
      <c r="E2056" s="396" t="s">
        <v>2249</v>
      </c>
      <c r="F2056" s="396" t="s">
        <v>1269</v>
      </c>
      <c r="G2056" s="396" t="s">
        <v>3125</v>
      </c>
      <c r="H2056" s="398" t="s">
        <v>5024</v>
      </c>
      <c r="I2056" s="399" t="s">
        <v>3199</v>
      </c>
      <c r="J2056" s="399" t="s">
        <v>3179</v>
      </c>
      <c r="K2056" s="402" t="s">
        <v>5024</v>
      </c>
      <c r="L2056" s="402" t="s">
        <v>5024</v>
      </c>
      <c r="M2056" s="402" t="s">
        <v>5024</v>
      </c>
      <c r="N2056" s="402" t="s">
        <v>5024</v>
      </c>
      <c r="O2056" s="402" t="s">
        <v>5024</v>
      </c>
      <c r="P2056" s="402" t="s">
        <v>5024</v>
      </c>
      <c r="Q2056" s="403" t="s">
        <v>5024</v>
      </c>
      <c r="R2056" s="233"/>
      <c r="S2056" s="234">
        <f>IF(C2056="",NA(),MATCH($B2056&amp;$C2056,'Smelter Reference List'!$J:$J,0))</f>
        <v>82</v>
      </c>
      <c r="T2056" s="235"/>
      <c r="U2056" s="235">
        <f t="shared" si="60"/>
        <v>0</v>
      </c>
      <c r="V2056" s="235"/>
      <c r="W2056" s="235"/>
      <c r="Y2056" s="228" t="str">
        <f t="shared" si="61"/>
        <v>GoldIshifuku Metal Industry Co., Ltd.</v>
      </c>
    </row>
    <row r="2057" spans="1:25" s="228" customFormat="1" ht="20.25">
      <c r="A2057" s="400" t="s">
        <v>1270</v>
      </c>
      <c r="B2057" s="396" t="s">
        <v>2323</v>
      </c>
      <c r="C2057" s="397" t="s">
        <v>2459</v>
      </c>
      <c r="D2057" s="396" t="s">
        <v>2459</v>
      </c>
      <c r="E2057" s="396" t="s">
        <v>1751</v>
      </c>
      <c r="F2057" s="396" t="s">
        <v>1270</v>
      </c>
      <c r="G2057" s="396" t="s">
        <v>3125</v>
      </c>
      <c r="H2057" s="398" t="s">
        <v>5024</v>
      </c>
      <c r="I2057" s="399" t="s">
        <v>3200</v>
      </c>
      <c r="J2057" s="399" t="s">
        <v>3144</v>
      </c>
      <c r="K2057" s="402" t="s">
        <v>5024</v>
      </c>
      <c r="L2057" s="402" t="s">
        <v>5024</v>
      </c>
      <c r="M2057" s="402" t="s">
        <v>5024</v>
      </c>
      <c r="N2057" s="402" t="s">
        <v>5024</v>
      </c>
      <c r="O2057" s="402" t="s">
        <v>5024</v>
      </c>
      <c r="P2057" s="402" t="s">
        <v>5024</v>
      </c>
      <c r="Q2057" s="403" t="s">
        <v>5024</v>
      </c>
      <c r="R2057" s="233"/>
      <c r="S2057" s="234">
        <f>IF(C2057="",NA(),MATCH($B2057&amp;$C2057,'Smelter Reference List'!$J:$J,0))</f>
        <v>83</v>
      </c>
      <c r="T2057" s="235"/>
      <c r="U2057" s="235">
        <f t="shared" si="60"/>
        <v>0</v>
      </c>
      <c r="V2057" s="235"/>
      <c r="W2057" s="235"/>
      <c r="Y2057" s="228" t="str">
        <f t="shared" si="61"/>
        <v>GoldIstanbul Gold Refinery</v>
      </c>
    </row>
    <row r="2058" spans="1:25" s="228" customFormat="1" ht="20.25">
      <c r="A2058" s="400" t="s">
        <v>1271</v>
      </c>
      <c r="B2058" s="396" t="s">
        <v>2323</v>
      </c>
      <c r="C2058" s="397" t="s">
        <v>1790</v>
      </c>
      <c r="D2058" s="396" t="s">
        <v>1790</v>
      </c>
      <c r="E2058" s="396" t="s">
        <v>2249</v>
      </c>
      <c r="F2058" s="396" t="s">
        <v>1271</v>
      </c>
      <c r="G2058" s="396" t="s">
        <v>3125</v>
      </c>
      <c r="H2058" s="398" t="s">
        <v>5024</v>
      </c>
      <c r="I2058" s="399" t="s">
        <v>3201</v>
      </c>
      <c r="J2058" s="399" t="s">
        <v>3202</v>
      </c>
      <c r="K2058" s="402" t="s">
        <v>5024</v>
      </c>
      <c r="L2058" s="402" t="s">
        <v>5024</v>
      </c>
      <c r="M2058" s="402" t="s">
        <v>5024</v>
      </c>
      <c r="N2058" s="402" t="s">
        <v>5024</v>
      </c>
      <c r="O2058" s="402" t="s">
        <v>5024</v>
      </c>
      <c r="P2058" s="402" t="s">
        <v>5024</v>
      </c>
      <c r="Q2058" s="403" t="s">
        <v>5024</v>
      </c>
      <c r="R2058" s="233"/>
      <c r="S2058" s="234">
        <f>IF(C2058="",NA(),MATCH($B2058&amp;$C2058,'Smelter Reference List'!$J:$J,0))</f>
        <v>84</v>
      </c>
      <c r="T2058" s="235"/>
      <c r="U2058" s="235">
        <f t="shared" si="60"/>
        <v>0</v>
      </c>
      <c r="V2058" s="235"/>
      <c r="W2058" s="235"/>
      <c r="Y2058" s="228" t="str">
        <f t="shared" si="61"/>
        <v>GoldJapan Mint</v>
      </c>
    </row>
    <row r="2059" spans="1:25" s="228" customFormat="1" ht="20.25">
      <c r="A2059" s="400" t="s">
        <v>1272</v>
      </c>
      <c r="B2059" s="396" t="s">
        <v>2323</v>
      </c>
      <c r="C2059" s="397" t="s">
        <v>4689</v>
      </c>
      <c r="D2059" s="396" t="s">
        <v>4689</v>
      </c>
      <c r="E2059" s="396" t="s">
        <v>2181</v>
      </c>
      <c r="F2059" s="396" t="s">
        <v>1272</v>
      </c>
      <c r="G2059" s="396" t="s">
        <v>3125</v>
      </c>
      <c r="H2059" s="398" t="s">
        <v>5024</v>
      </c>
      <c r="I2059" s="399" t="s">
        <v>3203</v>
      </c>
      <c r="J2059" s="399" t="s">
        <v>3204</v>
      </c>
      <c r="K2059" s="402" t="s">
        <v>5024</v>
      </c>
      <c r="L2059" s="402" t="s">
        <v>5024</v>
      </c>
      <c r="M2059" s="402" t="s">
        <v>5024</v>
      </c>
      <c r="N2059" s="402" t="s">
        <v>5024</v>
      </c>
      <c r="O2059" s="402" t="s">
        <v>5024</v>
      </c>
      <c r="P2059" s="402" t="s">
        <v>5024</v>
      </c>
      <c r="Q2059" s="403" t="s">
        <v>5024</v>
      </c>
      <c r="R2059" s="233"/>
      <c r="S2059" s="234">
        <f>IF(C2059="",NA(),MATCH($B2059&amp;$C2059,'Smelter Reference List'!$J:$J,0))</f>
        <v>86</v>
      </c>
      <c r="T2059" s="235"/>
      <c r="U2059" s="235">
        <f t="shared" si="60"/>
        <v>0</v>
      </c>
      <c r="V2059" s="235"/>
      <c r="W2059" s="235"/>
      <c r="Y2059" s="228" t="str">
        <f t="shared" si="61"/>
        <v>GoldJiangxi Copper Co., Ltd.</v>
      </c>
    </row>
    <row r="2060" spans="1:25" s="228" customFormat="1" ht="25.5">
      <c r="A2060" s="400" t="s">
        <v>1275</v>
      </c>
      <c r="B2060" s="396" t="s">
        <v>2323</v>
      </c>
      <c r="C2060" s="397" t="s">
        <v>1791</v>
      </c>
      <c r="D2060" s="396" t="s">
        <v>1791</v>
      </c>
      <c r="E2060" s="396" t="s">
        <v>1717</v>
      </c>
      <c r="F2060" s="396" t="s">
        <v>1275</v>
      </c>
      <c r="G2060" s="396" t="s">
        <v>3125</v>
      </c>
      <c r="H2060" s="398" t="s">
        <v>5024</v>
      </c>
      <c r="I2060" s="399" t="s">
        <v>3211</v>
      </c>
      <c r="J2060" s="399" t="s">
        <v>3212</v>
      </c>
      <c r="K2060" s="402" t="s">
        <v>5024</v>
      </c>
      <c r="L2060" s="402" t="s">
        <v>5024</v>
      </c>
      <c r="M2060" s="402" t="s">
        <v>5024</v>
      </c>
      <c r="N2060" s="402" t="s">
        <v>5024</v>
      </c>
      <c r="O2060" s="402" t="s">
        <v>5024</v>
      </c>
      <c r="P2060" s="402" t="s">
        <v>5024</v>
      </c>
      <c r="Q2060" s="403" t="s">
        <v>5024</v>
      </c>
      <c r="R2060" s="233"/>
      <c r="S2060" s="234">
        <f>IF(C2060="",NA(),MATCH($B2060&amp;$C2060,'Smelter Reference List'!$J:$J,0))</f>
        <v>91</v>
      </c>
      <c r="T2060" s="235"/>
      <c r="U2060" s="235">
        <f t="shared" si="60"/>
        <v>0</v>
      </c>
      <c r="V2060" s="235"/>
      <c r="W2060" s="235"/>
      <c r="Y2060" s="228" t="str">
        <f t="shared" si="61"/>
        <v>GoldJSC Ekaterinburg Non-Ferrous Metal Processing Plant</v>
      </c>
    </row>
    <row r="2061" spans="1:25" s="228" customFormat="1" ht="20.25">
      <c r="A2061" s="400" t="s">
        <v>1276</v>
      </c>
      <c r="B2061" s="396" t="s">
        <v>2323</v>
      </c>
      <c r="C2061" s="397" t="s">
        <v>2729</v>
      </c>
      <c r="D2061" s="396" t="s">
        <v>2729</v>
      </c>
      <c r="E2061" s="396" t="s">
        <v>1717</v>
      </c>
      <c r="F2061" s="396" t="s">
        <v>1276</v>
      </c>
      <c r="G2061" s="396" t="s">
        <v>3125</v>
      </c>
      <c r="H2061" s="398" t="s">
        <v>5024</v>
      </c>
      <c r="I2061" s="399" t="s">
        <v>3211</v>
      </c>
      <c r="J2061" s="399" t="s">
        <v>3212</v>
      </c>
      <c r="K2061" s="402" t="s">
        <v>5024</v>
      </c>
      <c r="L2061" s="402" t="s">
        <v>5024</v>
      </c>
      <c r="M2061" s="402" t="s">
        <v>5024</v>
      </c>
      <c r="N2061" s="402" t="s">
        <v>5024</v>
      </c>
      <c r="O2061" s="402" t="s">
        <v>5024</v>
      </c>
      <c r="P2061" s="402" t="s">
        <v>5024</v>
      </c>
      <c r="Q2061" s="403" t="s">
        <v>5024</v>
      </c>
      <c r="R2061" s="233"/>
      <c r="S2061" s="234">
        <f>IF(C2061="",NA(),MATCH($B2061&amp;$C2061,'Smelter Reference List'!$J:$J,0))</f>
        <v>92</v>
      </c>
      <c r="T2061" s="235"/>
      <c r="U2061" s="235">
        <f t="shared" si="60"/>
        <v>0</v>
      </c>
      <c r="V2061" s="235"/>
      <c r="W2061" s="235"/>
      <c r="Y2061" s="228" t="str">
        <f t="shared" si="61"/>
        <v>GoldJSC Uralelectromed</v>
      </c>
    </row>
    <row r="2062" spans="1:25" s="228" customFormat="1" ht="20.25">
      <c r="A2062" s="400" t="s">
        <v>1277</v>
      </c>
      <c r="B2062" s="396" t="s">
        <v>2323</v>
      </c>
      <c r="C2062" s="397" t="s">
        <v>73</v>
      </c>
      <c r="D2062" s="396" t="s">
        <v>73</v>
      </c>
      <c r="E2062" s="396" t="s">
        <v>2249</v>
      </c>
      <c r="F2062" s="396" t="s">
        <v>1277</v>
      </c>
      <c r="G2062" s="396" t="s">
        <v>3125</v>
      </c>
      <c r="H2062" s="398" t="s">
        <v>5024</v>
      </c>
      <c r="I2062" s="399" t="s">
        <v>4844</v>
      </c>
      <c r="J2062" s="399" t="s">
        <v>4844</v>
      </c>
      <c r="K2062" s="402" t="s">
        <v>5024</v>
      </c>
      <c r="L2062" s="402" t="s">
        <v>5024</v>
      </c>
      <c r="M2062" s="402" t="s">
        <v>5024</v>
      </c>
      <c r="N2062" s="402" t="s">
        <v>5024</v>
      </c>
      <c r="O2062" s="402" t="s">
        <v>5024</v>
      </c>
      <c r="P2062" s="402" t="s">
        <v>5024</v>
      </c>
      <c r="Q2062" s="403" t="s">
        <v>5024</v>
      </c>
      <c r="R2062" s="233"/>
      <c r="S2062" s="234">
        <f>IF(C2062="",NA(),MATCH($B2062&amp;$C2062,'Smelter Reference List'!$J:$J,0))</f>
        <v>93</v>
      </c>
      <c r="T2062" s="235"/>
      <c r="U2062" s="235">
        <f t="shared" si="60"/>
        <v>0</v>
      </c>
      <c r="V2062" s="235"/>
      <c r="W2062" s="235"/>
      <c r="Y2062" s="228" t="str">
        <f t="shared" si="61"/>
        <v>GoldJX Nippon Mining &amp; Metals Co., Ltd.</v>
      </c>
    </row>
    <row r="2063" spans="1:25" s="228" customFormat="1" ht="20.25">
      <c r="A2063" s="400" t="s">
        <v>1278</v>
      </c>
      <c r="B2063" s="396" t="s">
        <v>2323</v>
      </c>
      <c r="C2063" s="397" t="s">
        <v>3213</v>
      </c>
      <c r="D2063" s="396" t="s">
        <v>3213</v>
      </c>
      <c r="E2063" s="396" t="s">
        <v>2250</v>
      </c>
      <c r="F2063" s="396" t="s">
        <v>1278</v>
      </c>
      <c r="G2063" s="396" t="s">
        <v>3125</v>
      </c>
      <c r="H2063" s="398" t="s">
        <v>5024</v>
      </c>
      <c r="I2063" s="399" t="s">
        <v>3214</v>
      </c>
      <c r="J2063" s="399" t="s">
        <v>3403</v>
      </c>
      <c r="K2063" s="402" t="s">
        <v>5024</v>
      </c>
      <c r="L2063" s="402" t="s">
        <v>5024</v>
      </c>
      <c r="M2063" s="402" t="s">
        <v>5024</v>
      </c>
      <c r="N2063" s="402" t="s">
        <v>5024</v>
      </c>
      <c r="O2063" s="402" t="s">
        <v>5024</v>
      </c>
      <c r="P2063" s="402" t="s">
        <v>5024</v>
      </c>
      <c r="Q2063" s="403" t="s">
        <v>5024</v>
      </c>
      <c r="R2063" s="233"/>
      <c r="S2063" s="234">
        <f>IF(C2063="",NA(),MATCH($B2063&amp;$C2063,'Smelter Reference List'!$J:$J,0))</f>
        <v>96</v>
      </c>
      <c r="T2063" s="235"/>
      <c r="U2063" s="235">
        <f t="shared" si="60"/>
        <v>0</v>
      </c>
      <c r="V2063" s="235"/>
      <c r="W2063" s="235"/>
      <c r="Y2063" s="228" t="str">
        <f t="shared" si="61"/>
        <v>GoldKazzinc</v>
      </c>
    </row>
    <row r="2064" spans="1:25" s="228" customFormat="1" ht="20.25">
      <c r="A2064" s="400" t="s">
        <v>1280</v>
      </c>
      <c r="B2064" s="396" t="s">
        <v>2323</v>
      </c>
      <c r="C2064" s="397" t="s">
        <v>1279</v>
      </c>
      <c r="D2064" s="396" t="s">
        <v>1279</v>
      </c>
      <c r="E2064" s="396" t="s">
        <v>5016</v>
      </c>
      <c r="F2064" s="396" t="s">
        <v>1280</v>
      </c>
      <c r="G2064" s="396" t="s">
        <v>3125</v>
      </c>
      <c r="H2064" s="398" t="s">
        <v>5024</v>
      </c>
      <c r="I2064" s="399" t="s">
        <v>3215</v>
      </c>
      <c r="J2064" s="399" t="s">
        <v>3207</v>
      </c>
      <c r="K2064" s="402" t="s">
        <v>5024</v>
      </c>
      <c r="L2064" s="402" t="s">
        <v>5024</v>
      </c>
      <c r="M2064" s="402" t="s">
        <v>5024</v>
      </c>
      <c r="N2064" s="402" t="s">
        <v>5024</v>
      </c>
      <c r="O2064" s="402" t="s">
        <v>5024</v>
      </c>
      <c r="P2064" s="402" t="s">
        <v>5024</v>
      </c>
      <c r="Q2064" s="403" t="s">
        <v>5024</v>
      </c>
      <c r="R2064" s="233"/>
      <c r="S2064" s="234">
        <f>IF(C2064="",NA(),MATCH($B2064&amp;$C2064,'Smelter Reference List'!$J:$J,0))</f>
        <v>97</v>
      </c>
      <c r="T2064" s="235"/>
      <c r="U2064" s="235">
        <f t="shared" si="60"/>
        <v>0</v>
      </c>
      <c r="V2064" s="235"/>
      <c r="W2064" s="235"/>
      <c r="Y2064" s="228" t="str">
        <f t="shared" si="61"/>
        <v>GoldKennecott Utah Copper LLC</v>
      </c>
    </row>
    <row r="2065" spans="1:25" s="228" customFormat="1" ht="25.5">
      <c r="A2065" s="400" t="s">
        <v>2689</v>
      </c>
      <c r="B2065" s="396" t="s">
        <v>2323</v>
      </c>
      <c r="C2065" s="397" t="s">
        <v>2688</v>
      </c>
      <c r="D2065" s="396" t="s">
        <v>2688</v>
      </c>
      <c r="E2065" s="396" t="s">
        <v>1708</v>
      </c>
      <c r="F2065" s="396" t="s">
        <v>2689</v>
      </c>
      <c r="G2065" s="396" t="s">
        <v>3125</v>
      </c>
      <c r="H2065" s="398" t="s">
        <v>5024</v>
      </c>
      <c r="I2065" s="399" t="s">
        <v>3349</v>
      </c>
      <c r="J2065" s="399" t="s">
        <v>3350</v>
      </c>
      <c r="K2065" s="402" t="s">
        <v>5024</v>
      </c>
      <c r="L2065" s="402" t="s">
        <v>5024</v>
      </c>
      <c r="M2065" s="402" t="s">
        <v>5024</v>
      </c>
      <c r="N2065" s="402" t="s">
        <v>5024</v>
      </c>
      <c r="O2065" s="402" t="s">
        <v>5024</v>
      </c>
      <c r="P2065" s="402" t="s">
        <v>5024</v>
      </c>
      <c r="Q2065" s="403" t="s">
        <v>5024</v>
      </c>
      <c r="R2065" s="233"/>
      <c r="S2065" s="234">
        <f>IF(C2065="",NA(),MATCH($B2065&amp;$C2065,'Smelter Reference List'!$J:$J,0))</f>
        <v>98</v>
      </c>
      <c r="T2065" s="235"/>
      <c r="U2065" s="235">
        <f t="shared" si="60"/>
        <v>0</v>
      </c>
      <c r="V2065" s="235"/>
      <c r="W2065" s="235"/>
      <c r="Y2065" s="228" t="str">
        <f t="shared" si="61"/>
        <v>GoldKGHM Polska Miedź Spółka Akcyjna</v>
      </c>
    </row>
    <row r="2066" spans="1:25" s="228" customFormat="1" ht="20.25">
      <c r="A2066" s="400" t="s">
        <v>1281</v>
      </c>
      <c r="B2066" s="396" t="s">
        <v>2323</v>
      </c>
      <c r="C2066" s="397" t="s">
        <v>4158</v>
      </c>
      <c r="D2066" s="396" t="s">
        <v>4158</v>
      </c>
      <c r="E2066" s="396" t="s">
        <v>2249</v>
      </c>
      <c r="F2066" s="396" t="s">
        <v>1281</v>
      </c>
      <c r="G2066" s="396" t="s">
        <v>3125</v>
      </c>
      <c r="H2066" s="398" t="s">
        <v>5024</v>
      </c>
      <c r="I2066" s="399" t="s">
        <v>3216</v>
      </c>
      <c r="J2066" s="399" t="s">
        <v>3179</v>
      </c>
      <c r="K2066" s="402" t="s">
        <v>5024</v>
      </c>
      <c r="L2066" s="402" t="s">
        <v>5024</v>
      </c>
      <c r="M2066" s="402" t="s">
        <v>5024</v>
      </c>
      <c r="N2066" s="402" t="s">
        <v>5024</v>
      </c>
      <c r="O2066" s="402" t="s">
        <v>5024</v>
      </c>
      <c r="P2066" s="402" t="s">
        <v>924</v>
      </c>
      <c r="Q2066" s="403" t="s">
        <v>5024</v>
      </c>
      <c r="R2066" s="233"/>
      <c r="S2066" s="234">
        <f>IF(C2066="",NA(),MATCH($B2066&amp;$C2066,'Smelter Reference List'!$J:$J,0))</f>
        <v>99</v>
      </c>
      <c r="T2066" s="235"/>
      <c r="U2066" s="235">
        <f t="shared" si="60"/>
        <v>0</v>
      </c>
      <c r="V2066" s="235"/>
      <c r="W2066" s="235"/>
      <c r="Y2066" s="228" t="str">
        <f t="shared" si="61"/>
        <v>GoldKojima Chemicals Co., Ltd.</v>
      </c>
    </row>
    <row r="2067" spans="1:25" s="228" customFormat="1" ht="20.25">
      <c r="A2067" s="400" t="s">
        <v>3368</v>
      </c>
      <c r="B2067" s="396" t="s">
        <v>2323</v>
      </c>
      <c r="C2067" s="397" t="s">
        <v>4692</v>
      </c>
      <c r="D2067" s="396" t="s">
        <v>4692</v>
      </c>
      <c r="E2067" s="396" t="s">
        <v>5017</v>
      </c>
      <c r="F2067" s="396" t="s">
        <v>3368</v>
      </c>
      <c r="G2067" s="396" t="s">
        <v>3125</v>
      </c>
      <c r="H2067" s="398" t="s">
        <v>5024</v>
      </c>
      <c r="I2067" s="399" t="s">
        <v>3369</v>
      </c>
      <c r="J2067" s="399" t="s">
        <v>3218</v>
      </c>
      <c r="K2067" s="402" t="s">
        <v>5024</v>
      </c>
      <c r="L2067" s="402" t="s">
        <v>5024</v>
      </c>
      <c r="M2067" s="402" t="s">
        <v>5024</v>
      </c>
      <c r="N2067" s="402" t="s">
        <v>5024</v>
      </c>
      <c r="O2067" s="402" t="s">
        <v>5024</v>
      </c>
      <c r="P2067" s="402" t="s">
        <v>5024</v>
      </c>
      <c r="Q2067" s="403" t="s">
        <v>5024</v>
      </c>
      <c r="R2067" s="233"/>
      <c r="S2067" s="234">
        <f>IF(C2067="",NA(),MATCH($B2067&amp;$C2067,'Smelter Reference List'!$J:$J,0))</f>
        <v>103</v>
      </c>
      <c r="T2067" s="235"/>
      <c r="U2067" s="235">
        <f t="shared" si="60"/>
        <v>0</v>
      </c>
      <c r="V2067" s="235"/>
      <c r="W2067" s="235"/>
      <c r="Y2067" s="228" t="str">
        <f t="shared" si="61"/>
        <v>GoldKorea Zinc Co., Ltd.</v>
      </c>
    </row>
    <row r="2068" spans="1:25" s="228" customFormat="1" ht="20.25">
      <c r="A2068" s="400" t="s">
        <v>1283</v>
      </c>
      <c r="B2068" s="396" t="s">
        <v>2323</v>
      </c>
      <c r="C2068" s="397" t="s">
        <v>1511</v>
      </c>
      <c r="D2068" s="396" t="s">
        <v>1511</v>
      </c>
      <c r="E2068" s="396" t="s">
        <v>2252</v>
      </c>
      <c r="F2068" s="396" t="s">
        <v>1283</v>
      </c>
      <c r="G2068" s="396" t="s">
        <v>3125</v>
      </c>
      <c r="H2068" s="398" t="s">
        <v>5024</v>
      </c>
      <c r="I2068" s="399" t="s">
        <v>3219</v>
      </c>
      <c r="J2068" s="399" t="s">
        <v>3220</v>
      </c>
      <c r="K2068" s="402" t="s">
        <v>5024</v>
      </c>
      <c r="L2068" s="402" t="s">
        <v>5024</v>
      </c>
      <c r="M2068" s="402" t="s">
        <v>5024</v>
      </c>
      <c r="N2068" s="402" t="s">
        <v>5024</v>
      </c>
      <c r="O2068" s="402" t="s">
        <v>5024</v>
      </c>
      <c r="P2068" s="402" t="s">
        <v>5024</v>
      </c>
      <c r="Q2068" s="403" t="s">
        <v>5024</v>
      </c>
      <c r="R2068" s="233"/>
      <c r="S2068" s="234">
        <f>IF(C2068="",NA(),MATCH($B2068&amp;$C2068,'Smelter Reference List'!$J:$J,0))</f>
        <v>104</v>
      </c>
      <c r="T2068" s="235"/>
      <c r="U2068" s="235">
        <f t="shared" si="60"/>
        <v>0</v>
      </c>
      <c r="V2068" s="235"/>
      <c r="W2068" s="235"/>
      <c r="Y2068" s="228" t="str">
        <f t="shared" si="61"/>
        <v>GoldKyrgyzaltyn JSC</v>
      </c>
    </row>
    <row r="2069" spans="1:25" s="228" customFormat="1" ht="20.25">
      <c r="A2069" s="400" t="s">
        <v>1286</v>
      </c>
      <c r="B2069" s="396" t="s">
        <v>2323</v>
      </c>
      <c r="C2069" s="397" t="s">
        <v>74</v>
      </c>
      <c r="D2069" s="396" t="s">
        <v>74</v>
      </c>
      <c r="E2069" s="396" t="s">
        <v>5017</v>
      </c>
      <c r="F2069" s="396" t="s">
        <v>1286</v>
      </c>
      <c r="G2069" s="396" t="s">
        <v>3125</v>
      </c>
      <c r="H2069" s="398" t="s">
        <v>5024</v>
      </c>
      <c r="I2069" s="399" t="s">
        <v>3225</v>
      </c>
      <c r="J2069" s="399" t="s">
        <v>3226</v>
      </c>
      <c r="K2069" s="402" t="s">
        <v>5024</v>
      </c>
      <c r="L2069" s="402" t="s">
        <v>5024</v>
      </c>
      <c r="M2069" s="402" t="s">
        <v>5024</v>
      </c>
      <c r="N2069" s="402" t="s">
        <v>5024</v>
      </c>
      <c r="O2069" s="402" t="s">
        <v>5024</v>
      </c>
      <c r="P2069" s="402" t="s">
        <v>5024</v>
      </c>
      <c r="Q2069" s="403" t="s">
        <v>5024</v>
      </c>
      <c r="R2069" s="233"/>
      <c r="S2069" s="234">
        <f>IF(C2069="",NA(),MATCH($B2069&amp;$C2069,'Smelter Reference List'!$J:$J,0))</f>
        <v>111</v>
      </c>
      <c r="T2069" s="235"/>
      <c r="U2069" s="235">
        <f t="shared" si="60"/>
        <v>0</v>
      </c>
      <c r="V2069" s="235"/>
      <c r="W2069" s="235"/>
      <c r="Y2069" s="228" t="str">
        <f t="shared" si="61"/>
        <v>GoldLS-NIKKO Copper Inc.</v>
      </c>
    </row>
    <row r="2070" spans="1:25" s="228" customFormat="1" ht="20.25">
      <c r="A2070" s="400" t="s">
        <v>1289</v>
      </c>
      <c r="B2070" s="396" t="s">
        <v>2323</v>
      </c>
      <c r="C2070" s="397" t="s">
        <v>1792</v>
      </c>
      <c r="D2070" s="396" t="s">
        <v>1792</v>
      </c>
      <c r="E2070" s="396" t="s">
        <v>5016</v>
      </c>
      <c r="F2070" s="396" t="s">
        <v>1289</v>
      </c>
      <c r="G2070" s="396" t="s">
        <v>3125</v>
      </c>
      <c r="H2070" s="398" t="s">
        <v>5024</v>
      </c>
      <c r="I2070" s="399" t="s">
        <v>3229</v>
      </c>
      <c r="J2070" s="399" t="s">
        <v>3230</v>
      </c>
      <c r="K2070" s="402" t="s">
        <v>5024</v>
      </c>
      <c r="L2070" s="402" t="s">
        <v>5024</v>
      </c>
      <c r="M2070" s="402" t="s">
        <v>5024</v>
      </c>
      <c r="N2070" s="402" t="s">
        <v>5024</v>
      </c>
      <c r="O2070" s="402" t="s">
        <v>5024</v>
      </c>
      <c r="P2070" s="402" t="s">
        <v>924</v>
      </c>
      <c r="Q2070" s="403" t="s">
        <v>5024</v>
      </c>
      <c r="R2070" s="233"/>
      <c r="S2070" s="234">
        <f>IF(C2070="",NA(),MATCH($B2070&amp;$C2070,'Smelter Reference List'!$J:$J,0))</f>
        <v>115</v>
      </c>
      <c r="T2070" s="235"/>
      <c r="U2070" s="235">
        <f t="shared" si="60"/>
        <v>0</v>
      </c>
      <c r="V2070" s="235"/>
      <c r="W2070" s="235"/>
      <c r="Y2070" s="228" t="str">
        <f t="shared" si="61"/>
        <v>GoldMaterion</v>
      </c>
    </row>
    <row r="2071" spans="1:25" s="228" customFormat="1" ht="20.25">
      <c r="A2071" s="400" t="s">
        <v>1290</v>
      </c>
      <c r="B2071" s="396" t="s">
        <v>2323</v>
      </c>
      <c r="C2071" s="397" t="s">
        <v>75</v>
      </c>
      <c r="D2071" s="396" t="s">
        <v>75</v>
      </c>
      <c r="E2071" s="396" t="s">
        <v>2249</v>
      </c>
      <c r="F2071" s="396" t="s">
        <v>1290</v>
      </c>
      <c r="G2071" s="396" t="s">
        <v>3125</v>
      </c>
      <c r="H2071" s="398" t="s">
        <v>5024</v>
      </c>
      <c r="I2071" s="399" t="s">
        <v>3231</v>
      </c>
      <c r="J2071" s="399" t="s">
        <v>3179</v>
      </c>
      <c r="K2071" s="402" t="s">
        <v>5024</v>
      </c>
      <c r="L2071" s="402" t="s">
        <v>5024</v>
      </c>
      <c r="M2071" s="402" t="s">
        <v>5024</v>
      </c>
      <c r="N2071" s="402" t="s">
        <v>5024</v>
      </c>
      <c r="O2071" s="402" t="s">
        <v>5024</v>
      </c>
      <c r="P2071" s="402" t="s">
        <v>5024</v>
      </c>
      <c r="Q2071" s="403" t="s">
        <v>5024</v>
      </c>
      <c r="R2071" s="233"/>
      <c r="S2071" s="234">
        <f>IF(C2071="",NA(),MATCH($B2071&amp;$C2071,'Smelter Reference List'!$J:$J,0))</f>
        <v>116</v>
      </c>
      <c r="T2071" s="235"/>
      <c r="U2071" s="235">
        <f t="shared" si="60"/>
        <v>0</v>
      </c>
      <c r="V2071" s="235"/>
      <c r="W2071" s="235"/>
      <c r="Y2071" s="228" t="str">
        <f t="shared" si="61"/>
        <v>GoldMatsuda Sangyo Co., Ltd.</v>
      </c>
    </row>
    <row r="2072" spans="1:25" s="228" customFormat="1" ht="20.25">
      <c r="A2072" s="400" t="s">
        <v>1291</v>
      </c>
      <c r="B2072" s="396" t="s">
        <v>2323</v>
      </c>
      <c r="C2072" s="397" t="s">
        <v>4162</v>
      </c>
      <c r="D2072" s="396" t="s">
        <v>4162</v>
      </c>
      <c r="E2072" s="396" t="s">
        <v>2181</v>
      </c>
      <c r="F2072" s="396" t="s">
        <v>1291</v>
      </c>
      <c r="G2072" s="396" t="s">
        <v>3125</v>
      </c>
      <c r="H2072" s="398" t="s">
        <v>5024</v>
      </c>
      <c r="I2072" s="399" t="s">
        <v>3236</v>
      </c>
      <c r="J2072" s="399" t="s">
        <v>3191</v>
      </c>
      <c r="K2072" s="402" t="s">
        <v>5024</v>
      </c>
      <c r="L2072" s="402" t="s">
        <v>5024</v>
      </c>
      <c r="M2072" s="402" t="s">
        <v>5024</v>
      </c>
      <c r="N2072" s="402" t="s">
        <v>5024</v>
      </c>
      <c r="O2072" s="402" t="s">
        <v>5024</v>
      </c>
      <c r="P2072" s="402" t="s">
        <v>5024</v>
      </c>
      <c r="Q2072" s="403" t="s">
        <v>5024</v>
      </c>
      <c r="R2072" s="233"/>
      <c r="S2072" s="234">
        <f>IF(C2072="",NA(),MATCH($B2072&amp;$C2072,'Smelter Reference List'!$J:$J,0))</f>
        <v>120</v>
      </c>
      <c r="T2072" s="235"/>
      <c r="U2072" s="235">
        <f t="shared" si="60"/>
        <v>0</v>
      </c>
      <c r="V2072" s="235"/>
      <c r="W2072" s="235"/>
      <c r="Y2072" s="228" t="str">
        <f t="shared" si="61"/>
        <v>GoldMetalor Technologies (Hong Kong) Ltd.</v>
      </c>
    </row>
    <row r="2073" spans="1:25" s="228" customFormat="1" ht="20.25">
      <c r="A2073" s="400" t="s">
        <v>1292</v>
      </c>
      <c r="B2073" s="396" t="s">
        <v>2323</v>
      </c>
      <c r="C2073" s="397" t="s">
        <v>4163</v>
      </c>
      <c r="D2073" s="396" t="s">
        <v>4163</v>
      </c>
      <c r="E2073" s="396" t="s">
        <v>1722</v>
      </c>
      <c r="F2073" s="396" t="s">
        <v>1292</v>
      </c>
      <c r="G2073" s="396" t="s">
        <v>3125</v>
      </c>
      <c r="H2073" s="398" t="s">
        <v>5024</v>
      </c>
      <c r="I2073" s="399" t="s">
        <v>3237</v>
      </c>
      <c r="J2073" s="399" t="s">
        <v>3238</v>
      </c>
      <c r="K2073" s="402" t="s">
        <v>5024</v>
      </c>
      <c r="L2073" s="402" t="s">
        <v>5024</v>
      </c>
      <c r="M2073" s="402" t="s">
        <v>5024</v>
      </c>
      <c r="N2073" s="402" t="s">
        <v>5024</v>
      </c>
      <c r="O2073" s="402" t="s">
        <v>5024</v>
      </c>
      <c r="P2073" s="402" t="s">
        <v>5024</v>
      </c>
      <c r="Q2073" s="403" t="s">
        <v>5024</v>
      </c>
      <c r="R2073" s="233"/>
      <c r="S2073" s="234">
        <f>IF(C2073="",NA(),MATCH($B2073&amp;$C2073,'Smelter Reference List'!$J:$J,0))</f>
        <v>121</v>
      </c>
      <c r="T2073" s="235"/>
      <c r="U2073" s="235">
        <f t="shared" si="60"/>
        <v>0</v>
      </c>
      <c r="V2073" s="235"/>
      <c r="W2073" s="235"/>
      <c r="Y2073" s="228" t="str">
        <f t="shared" si="61"/>
        <v>GoldMetalor Technologies (Singapore) Pte., Ltd.</v>
      </c>
    </row>
    <row r="2074" spans="1:25" s="228" customFormat="1" ht="20.25">
      <c r="A2074" s="400" t="s">
        <v>3233</v>
      </c>
      <c r="B2074" s="396" t="s">
        <v>2323</v>
      </c>
      <c r="C2074" s="397" t="s">
        <v>3232</v>
      </c>
      <c r="D2074" s="396" t="s">
        <v>3232</v>
      </c>
      <c r="E2074" s="396" t="s">
        <v>2181</v>
      </c>
      <c r="F2074" s="396" t="s">
        <v>3233</v>
      </c>
      <c r="G2074" s="396" t="s">
        <v>3125</v>
      </c>
      <c r="H2074" s="398" t="s">
        <v>5024</v>
      </c>
      <c r="I2074" s="399" t="s">
        <v>3234</v>
      </c>
      <c r="J2074" s="399" t="s">
        <v>3235</v>
      </c>
      <c r="K2074" s="402" t="s">
        <v>5024</v>
      </c>
      <c r="L2074" s="402" t="s">
        <v>5024</v>
      </c>
      <c r="M2074" s="402" t="s">
        <v>5024</v>
      </c>
      <c r="N2074" s="402" t="s">
        <v>5024</v>
      </c>
      <c r="O2074" s="402" t="s">
        <v>5024</v>
      </c>
      <c r="P2074" s="402" t="s">
        <v>5024</v>
      </c>
      <c r="Q2074" s="403" t="s">
        <v>5024</v>
      </c>
      <c r="R2074" s="233"/>
      <c r="S2074" s="234">
        <f>IF(C2074="",NA(),MATCH($B2074&amp;$C2074,'Smelter Reference List'!$J:$J,0))</f>
        <v>122</v>
      </c>
      <c r="T2074" s="235"/>
      <c r="U2074" s="235">
        <f t="shared" si="60"/>
        <v>0</v>
      </c>
      <c r="V2074" s="235"/>
      <c r="W2074" s="235"/>
      <c r="Y2074" s="228" t="str">
        <f t="shared" si="61"/>
        <v>GoldMetalor Technologies (Suzhou) Ltd.</v>
      </c>
    </row>
    <row r="2075" spans="1:25" s="228" customFormat="1" ht="20.25">
      <c r="A2075" s="400" t="s">
        <v>1293</v>
      </c>
      <c r="B2075" s="396" t="s">
        <v>2323</v>
      </c>
      <c r="C2075" s="397" t="s">
        <v>4697</v>
      </c>
      <c r="D2075" s="396" t="s">
        <v>4697</v>
      </c>
      <c r="E2075" s="396" t="s">
        <v>2179</v>
      </c>
      <c r="F2075" s="396" t="s">
        <v>1293</v>
      </c>
      <c r="G2075" s="396" t="s">
        <v>3125</v>
      </c>
      <c r="H2075" s="398" t="s">
        <v>5024</v>
      </c>
      <c r="I2075" s="399" t="s">
        <v>3239</v>
      </c>
      <c r="J2075" s="399" t="s">
        <v>3240</v>
      </c>
      <c r="K2075" s="402" t="s">
        <v>5024</v>
      </c>
      <c r="L2075" s="402" t="s">
        <v>5024</v>
      </c>
      <c r="M2075" s="402" t="s">
        <v>5024</v>
      </c>
      <c r="N2075" s="402" t="s">
        <v>5024</v>
      </c>
      <c r="O2075" s="402" t="s">
        <v>5024</v>
      </c>
      <c r="P2075" s="402" t="s">
        <v>5024</v>
      </c>
      <c r="Q2075" s="403" t="s">
        <v>5024</v>
      </c>
      <c r="R2075" s="233"/>
      <c r="S2075" s="234">
        <f>IF(C2075="",NA(),MATCH($B2075&amp;$C2075,'Smelter Reference List'!$J:$J,0))</f>
        <v>123</v>
      </c>
      <c r="T2075" s="235"/>
      <c r="U2075" s="235">
        <f t="shared" si="60"/>
        <v>0</v>
      </c>
      <c r="V2075" s="235"/>
      <c r="W2075" s="235"/>
      <c r="Y2075" s="228" t="str">
        <f t="shared" si="61"/>
        <v>GoldMetalor Technologies S.A.</v>
      </c>
    </row>
    <row r="2076" spans="1:25" s="228" customFormat="1" ht="20.25">
      <c r="A2076" s="400" t="s">
        <v>1294</v>
      </c>
      <c r="B2076" s="396" t="s">
        <v>2323</v>
      </c>
      <c r="C2076" s="397" t="s">
        <v>2453</v>
      </c>
      <c r="D2076" s="396" t="s">
        <v>2453</v>
      </c>
      <c r="E2076" s="396" t="s">
        <v>5016</v>
      </c>
      <c r="F2076" s="396" t="s">
        <v>1294</v>
      </c>
      <c r="G2076" s="396" t="s">
        <v>3125</v>
      </c>
      <c r="H2076" s="398" t="s">
        <v>5024</v>
      </c>
      <c r="I2076" s="399" t="s">
        <v>3241</v>
      </c>
      <c r="J2076" s="399" t="s">
        <v>3242</v>
      </c>
      <c r="K2076" s="402" t="s">
        <v>5024</v>
      </c>
      <c r="L2076" s="402" t="s">
        <v>5024</v>
      </c>
      <c r="M2076" s="402" t="s">
        <v>5024</v>
      </c>
      <c r="N2076" s="402" t="s">
        <v>5024</v>
      </c>
      <c r="O2076" s="402" t="s">
        <v>5024</v>
      </c>
      <c r="P2076" s="402" t="s">
        <v>5024</v>
      </c>
      <c r="Q2076" s="403" t="s">
        <v>5024</v>
      </c>
      <c r="R2076" s="233"/>
      <c r="S2076" s="234">
        <f>IF(C2076="",NA(),MATCH($B2076&amp;$C2076,'Smelter Reference List'!$J:$J,0))</f>
        <v>124</v>
      </c>
      <c r="T2076" s="235"/>
      <c r="U2076" s="235">
        <f t="shared" si="60"/>
        <v>0</v>
      </c>
      <c r="V2076" s="235"/>
      <c r="W2076" s="235"/>
      <c r="Y2076" s="228" t="str">
        <f t="shared" si="61"/>
        <v>GoldMetalor USA Refining Corporation</v>
      </c>
    </row>
    <row r="2077" spans="1:25" s="228" customFormat="1" ht="20.25">
      <c r="A2077" s="400" t="s">
        <v>1295</v>
      </c>
      <c r="B2077" s="396" t="s">
        <v>2323</v>
      </c>
      <c r="C2077" s="397" t="s">
        <v>4699</v>
      </c>
      <c r="D2077" s="396" t="s">
        <v>4699</v>
      </c>
      <c r="E2077" s="396" t="s">
        <v>2275</v>
      </c>
      <c r="F2077" s="396" t="s">
        <v>1295</v>
      </c>
      <c r="G2077" s="396" t="s">
        <v>3125</v>
      </c>
      <c r="H2077" s="398" t="s">
        <v>5024</v>
      </c>
      <c r="I2077" s="399" t="s">
        <v>3243</v>
      </c>
      <c r="J2077" s="399" t="s">
        <v>3244</v>
      </c>
      <c r="K2077" s="402" t="s">
        <v>5024</v>
      </c>
      <c r="L2077" s="402" t="s">
        <v>5024</v>
      </c>
      <c r="M2077" s="402" t="s">
        <v>5024</v>
      </c>
      <c r="N2077" s="402" t="s">
        <v>5024</v>
      </c>
      <c r="O2077" s="402" t="s">
        <v>5024</v>
      </c>
      <c r="P2077" s="402" t="s">
        <v>5024</v>
      </c>
      <c r="Q2077" s="403" t="s">
        <v>5024</v>
      </c>
      <c r="R2077" s="233"/>
      <c r="S2077" s="234">
        <f>IF(C2077="",NA(),MATCH($B2077&amp;$C2077,'Smelter Reference List'!$J:$J,0))</f>
        <v>125</v>
      </c>
      <c r="T2077" s="235"/>
      <c r="U2077" s="235">
        <f t="shared" si="60"/>
        <v>0</v>
      </c>
      <c r="V2077" s="235"/>
      <c r="W2077" s="235"/>
      <c r="Y2077" s="228" t="str">
        <f t="shared" si="61"/>
        <v>GoldMetalúrgica Met-Mex Peñoles S.A. De C.V.</v>
      </c>
    </row>
    <row r="2078" spans="1:25" s="228" customFormat="1" ht="20.25">
      <c r="A2078" s="400" t="s">
        <v>1296</v>
      </c>
      <c r="B2078" s="396" t="s">
        <v>2323</v>
      </c>
      <c r="C2078" s="397" t="s">
        <v>2371</v>
      </c>
      <c r="D2078" s="396" t="s">
        <v>2371</v>
      </c>
      <c r="E2078" s="396" t="s">
        <v>2249</v>
      </c>
      <c r="F2078" s="396" t="s">
        <v>1296</v>
      </c>
      <c r="G2078" s="396" t="s">
        <v>3125</v>
      </c>
      <c r="H2078" s="398" t="s">
        <v>5024</v>
      </c>
      <c r="I2078" s="399" t="s">
        <v>3245</v>
      </c>
      <c r="J2078" s="399" t="s">
        <v>4283</v>
      </c>
      <c r="K2078" s="402" t="s">
        <v>5024</v>
      </c>
      <c r="L2078" s="402" t="s">
        <v>5024</v>
      </c>
      <c r="M2078" s="402" t="s">
        <v>5024</v>
      </c>
      <c r="N2078" s="402" t="s">
        <v>5024</v>
      </c>
      <c r="O2078" s="402" t="s">
        <v>5024</v>
      </c>
      <c r="P2078" s="402" t="s">
        <v>5024</v>
      </c>
      <c r="Q2078" s="403" t="s">
        <v>5024</v>
      </c>
      <c r="R2078" s="233"/>
      <c r="S2078" s="234">
        <f>IF(C2078="",NA(),MATCH($B2078&amp;$C2078,'Smelter Reference List'!$J:$J,0))</f>
        <v>128</v>
      </c>
      <c r="T2078" s="235"/>
      <c r="U2078" s="235">
        <f t="shared" si="60"/>
        <v>0</v>
      </c>
      <c r="V2078" s="235"/>
      <c r="W2078" s="235"/>
      <c r="Y2078" s="228" t="str">
        <f t="shared" si="61"/>
        <v>GoldMitsubishi Materials Corporation</v>
      </c>
    </row>
    <row r="2079" spans="1:25" s="228" customFormat="1" ht="20.25">
      <c r="A2079" s="400" t="s">
        <v>1297</v>
      </c>
      <c r="B2079" s="396" t="s">
        <v>2323</v>
      </c>
      <c r="C2079" s="397" t="s">
        <v>2454</v>
      </c>
      <c r="D2079" s="396" t="s">
        <v>2454</v>
      </c>
      <c r="E2079" s="396" t="s">
        <v>2249</v>
      </c>
      <c r="F2079" s="396" t="s">
        <v>1297</v>
      </c>
      <c r="G2079" s="396" t="s">
        <v>3125</v>
      </c>
      <c r="H2079" s="398" t="s">
        <v>5024</v>
      </c>
      <c r="I2079" s="399" t="s">
        <v>3247</v>
      </c>
      <c r="J2079" s="399" t="s">
        <v>3246</v>
      </c>
      <c r="K2079" s="402" t="s">
        <v>5024</v>
      </c>
      <c r="L2079" s="402" t="s">
        <v>5024</v>
      </c>
      <c r="M2079" s="402" t="s">
        <v>5024</v>
      </c>
      <c r="N2079" s="402" t="s">
        <v>5024</v>
      </c>
      <c r="O2079" s="402" t="s">
        <v>5024</v>
      </c>
      <c r="P2079" s="402" t="s">
        <v>5024</v>
      </c>
      <c r="Q2079" s="403" t="s">
        <v>5024</v>
      </c>
      <c r="R2079" s="233"/>
      <c r="S2079" s="234">
        <f>IF(C2079="",NA(),MATCH($B2079&amp;$C2079,'Smelter Reference List'!$J:$J,0))</f>
        <v>130</v>
      </c>
      <c r="T2079" s="235"/>
      <c r="U2079" s="235">
        <f t="shared" si="60"/>
        <v>0</v>
      </c>
      <c r="V2079" s="235"/>
      <c r="W2079" s="235"/>
      <c r="Y2079" s="228" t="str">
        <f t="shared" si="61"/>
        <v>GoldMitsui Mining and Smelting Co., Ltd.</v>
      </c>
    </row>
    <row r="2080" spans="1:25" s="228" customFormat="1" ht="20.25">
      <c r="A2080" s="400" t="s">
        <v>2691</v>
      </c>
      <c r="B2080" s="396" t="s">
        <v>2323</v>
      </c>
      <c r="C2080" s="397" t="s">
        <v>4191</v>
      </c>
      <c r="D2080" s="396" t="s">
        <v>4191</v>
      </c>
      <c r="E2080" s="396" t="s">
        <v>2239</v>
      </c>
      <c r="F2080" s="396" t="s">
        <v>2691</v>
      </c>
      <c r="G2080" s="396" t="s">
        <v>3125</v>
      </c>
      <c r="H2080" s="398" t="s">
        <v>5024</v>
      </c>
      <c r="I2080" s="399" t="s">
        <v>3345</v>
      </c>
      <c r="J2080" s="399" t="s">
        <v>3346</v>
      </c>
      <c r="K2080" s="402" t="s">
        <v>5024</v>
      </c>
      <c r="L2080" s="402" t="s">
        <v>5024</v>
      </c>
      <c r="M2080" s="402" t="s">
        <v>5024</v>
      </c>
      <c r="N2080" s="402" t="s">
        <v>5024</v>
      </c>
      <c r="O2080" s="402" t="s">
        <v>5024</v>
      </c>
      <c r="P2080" s="402" t="s">
        <v>5024</v>
      </c>
      <c r="Q2080" s="403" t="s">
        <v>5024</v>
      </c>
      <c r="R2080" s="233"/>
      <c r="S2080" s="234">
        <f>IF(C2080="",NA(),MATCH($B2080&amp;$C2080,'Smelter Reference List'!$J:$J,0))</f>
        <v>131</v>
      </c>
      <c r="T2080" s="235"/>
      <c r="U2080" s="235">
        <f t="shared" si="60"/>
        <v>0</v>
      </c>
      <c r="V2080" s="235"/>
      <c r="W2080" s="235"/>
      <c r="Y2080" s="228" t="str">
        <f t="shared" si="61"/>
        <v>GoldMMTC-PAMP India Pvt., Ltd.</v>
      </c>
    </row>
    <row r="2081" spans="1:25" s="228" customFormat="1" ht="20.25">
      <c r="A2081" s="400" t="s">
        <v>1298</v>
      </c>
      <c r="B2081" s="396" t="s">
        <v>2323</v>
      </c>
      <c r="C2081" s="397" t="s">
        <v>1793</v>
      </c>
      <c r="D2081" s="396" t="s">
        <v>1793</v>
      </c>
      <c r="E2081" s="396" t="s">
        <v>1717</v>
      </c>
      <c r="F2081" s="396" t="s">
        <v>1298</v>
      </c>
      <c r="G2081" s="396" t="s">
        <v>3125</v>
      </c>
      <c r="H2081" s="398" t="s">
        <v>5024</v>
      </c>
      <c r="I2081" s="399" t="s">
        <v>3249</v>
      </c>
      <c r="J2081" s="399" t="s">
        <v>3294</v>
      </c>
      <c r="K2081" s="402" t="s">
        <v>5024</v>
      </c>
      <c r="L2081" s="402" t="s">
        <v>5024</v>
      </c>
      <c r="M2081" s="402" t="s">
        <v>5024</v>
      </c>
      <c r="N2081" s="402" t="s">
        <v>5024</v>
      </c>
      <c r="O2081" s="402" t="s">
        <v>5024</v>
      </c>
      <c r="P2081" s="402" t="s">
        <v>5024</v>
      </c>
      <c r="Q2081" s="403" t="s">
        <v>5024</v>
      </c>
      <c r="R2081" s="233"/>
      <c r="S2081" s="234">
        <f>IF(C2081="",NA(),MATCH($B2081&amp;$C2081,'Smelter Reference List'!$J:$J,0))</f>
        <v>134</v>
      </c>
      <c r="T2081" s="235"/>
      <c r="U2081" s="235">
        <f t="shared" si="60"/>
        <v>0</v>
      </c>
      <c r="V2081" s="235"/>
      <c r="W2081" s="235"/>
      <c r="Y2081" s="228" t="str">
        <f t="shared" si="61"/>
        <v>GoldMoscow Special Alloys Processing Plant</v>
      </c>
    </row>
    <row r="2082" spans="1:25" s="228" customFormat="1" ht="20.25">
      <c r="A2082" s="400" t="s">
        <v>1299</v>
      </c>
      <c r="B2082" s="396" t="s">
        <v>2323</v>
      </c>
      <c r="C2082" s="397" t="s">
        <v>2460</v>
      </c>
      <c r="D2082" s="396" t="s">
        <v>2460</v>
      </c>
      <c r="E2082" s="396" t="s">
        <v>1751</v>
      </c>
      <c r="F2082" s="396" t="s">
        <v>1299</v>
      </c>
      <c r="G2082" s="396" t="s">
        <v>3125</v>
      </c>
      <c r="H2082" s="398" t="s">
        <v>5024</v>
      </c>
      <c r="I2082" s="399" t="s">
        <v>3250</v>
      </c>
      <c r="J2082" s="399" t="s">
        <v>3144</v>
      </c>
      <c r="K2082" s="402" t="s">
        <v>5024</v>
      </c>
      <c r="L2082" s="402" t="s">
        <v>5024</v>
      </c>
      <c r="M2082" s="402" t="s">
        <v>5024</v>
      </c>
      <c r="N2082" s="402" t="s">
        <v>5024</v>
      </c>
      <c r="O2082" s="402" t="s">
        <v>5024</v>
      </c>
      <c r="P2082" s="402" t="s">
        <v>5024</v>
      </c>
      <c r="Q2082" s="403" t="s">
        <v>5024</v>
      </c>
      <c r="R2082" s="233"/>
      <c r="S2082" s="234">
        <f>IF(C2082="",NA(),MATCH($B2082&amp;$C2082,'Smelter Reference List'!$J:$J,0))</f>
        <v>135</v>
      </c>
      <c r="T2082" s="235"/>
      <c r="U2082" s="235">
        <f t="shared" si="60"/>
        <v>0</v>
      </c>
      <c r="V2082" s="235"/>
      <c r="W2082" s="235"/>
      <c r="Y2082" s="228" t="str">
        <f t="shared" si="61"/>
        <v>GoldNadir Metal Rafineri San. Ve Tic. A.Ş.</v>
      </c>
    </row>
    <row r="2083" spans="1:25" s="228" customFormat="1" ht="20.25">
      <c r="A2083" s="400" t="s">
        <v>1300</v>
      </c>
      <c r="B2083" s="396" t="s">
        <v>2323</v>
      </c>
      <c r="C2083" s="397" t="s">
        <v>2455</v>
      </c>
      <c r="D2083" s="396" t="s">
        <v>2455</v>
      </c>
      <c r="E2083" s="396" t="s">
        <v>1760</v>
      </c>
      <c r="F2083" s="396" t="s">
        <v>1300</v>
      </c>
      <c r="G2083" s="396" t="s">
        <v>3125</v>
      </c>
      <c r="H2083" s="398" t="s">
        <v>5024</v>
      </c>
      <c r="I2083" s="399" t="s">
        <v>3251</v>
      </c>
      <c r="J2083" s="399" t="s">
        <v>3252</v>
      </c>
      <c r="K2083" s="402" t="s">
        <v>5024</v>
      </c>
      <c r="L2083" s="402" t="s">
        <v>5024</v>
      </c>
      <c r="M2083" s="402" t="s">
        <v>5024</v>
      </c>
      <c r="N2083" s="402" t="s">
        <v>5024</v>
      </c>
      <c r="O2083" s="402" t="s">
        <v>5024</v>
      </c>
      <c r="P2083" s="402" t="s">
        <v>5024</v>
      </c>
      <c r="Q2083" s="403" t="s">
        <v>5024</v>
      </c>
      <c r="R2083" s="233"/>
      <c r="S2083" s="234">
        <f>IF(C2083="",NA(),MATCH($B2083&amp;$C2083,'Smelter Reference List'!$J:$J,0))</f>
        <v>136</v>
      </c>
      <c r="T2083" s="235"/>
      <c r="U2083" s="235">
        <f t="shared" si="60"/>
        <v>0</v>
      </c>
      <c r="V2083" s="235"/>
      <c r="W2083" s="235"/>
      <c r="Y2083" s="228" t="str">
        <f t="shared" si="61"/>
        <v>GoldNavoi Mining and Metallurgical Combinat</v>
      </c>
    </row>
    <row r="2084" spans="1:25" s="228" customFormat="1" ht="20.25">
      <c r="A2084" s="400" t="s">
        <v>1301</v>
      </c>
      <c r="B2084" s="396" t="s">
        <v>2323</v>
      </c>
      <c r="C2084" s="397" t="s">
        <v>4166</v>
      </c>
      <c r="D2084" s="396" t="s">
        <v>4166</v>
      </c>
      <c r="E2084" s="396" t="s">
        <v>2249</v>
      </c>
      <c r="F2084" s="396" t="s">
        <v>1301</v>
      </c>
      <c r="G2084" s="396" t="s">
        <v>3125</v>
      </c>
      <c r="H2084" s="398" t="s">
        <v>5024</v>
      </c>
      <c r="I2084" s="399" t="s">
        <v>3253</v>
      </c>
      <c r="J2084" s="399" t="s">
        <v>3254</v>
      </c>
      <c r="K2084" s="402" t="s">
        <v>5024</v>
      </c>
      <c r="L2084" s="402" t="s">
        <v>5024</v>
      </c>
      <c r="M2084" s="402" t="s">
        <v>5024</v>
      </c>
      <c r="N2084" s="402" t="s">
        <v>5024</v>
      </c>
      <c r="O2084" s="402" t="s">
        <v>5024</v>
      </c>
      <c r="P2084" s="402" t="s">
        <v>5024</v>
      </c>
      <c r="Q2084" s="403" t="s">
        <v>5024</v>
      </c>
      <c r="R2084" s="233"/>
      <c r="S2084" s="234">
        <f>IF(C2084="",NA(),MATCH($B2084&amp;$C2084,'Smelter Reference List'!$J:$J,0))</f>
        <v>137</v>
      </c>
      <c r="T2084" s="235"/>
      <c r="U2084" s="235">
        <f t="shared" si="60"/>
        <v>0</v>
      </c>
      <c r="V2084" s="235"/>
      <c r="W2084" s="235"/>
      <c r="Y2084" s="228" t="str">
        <f t="shared" si="61"/>
        <v>GoldNihon Material Co., Ltd.</v>
      </c>
    </row>
    <row r="2085" spans="1:25" s="228" customFormat="1" ht="20.25">
      <c r="A2085" s="400" t="s">
        <v>1303</v>
      </c>
      <c r="B2085" s="396" t="s">
        <v>2323</v>
      </c>
      <c r="C2085" s="397" t="s">
        <v>4167</v>
      </c>
      <c r="D2085" s="396" t="s">
        <v>4167</v>
      </c>
      <c r="E2085" s="396" t="s">
        <v>2249</v>
      </c>
      <c r="F2085" s="396" t="s">
        <v>1303</v>
      </c>
      <c r="G2085" s="396" t="s">
        <v>3125</v>
      </c>
      <c r="H2085" s="398" t="s">
        <v>5024</v>
      </c>
      <c r="I2085" s="399" t="s">
        <v>3257</v>
      </c>
      <c r="J2085" s="399" t="s">
        <v>3258</v>
      </c>
      <c r="K2085" s="402" t="s">
        <v>5024</v>
      </c>
      <c r="L2085" s="402" t="s">
        <v>5024</v>
      </c>
      <c r="M2085" s="402" t="s">
        <v>5024</v>
      </c>
      <c r="N2085" s="402" t="s">
        <v>5024</v>
      </c>
      <c r="O2085" s="402" t="s">
        <v>5024</v>
      </c>
      <c r="P2085" s="402" t="s">
        <v>5024</v>
      </c>
      <c r="Q2085" s="403" t="s">
        <v>5024</v>
      </c>
      <c r="R2085" s="233"/>
      <c r="S2085" s="234">
        <f>IF(C2085="",NA(),MATCH($B2085&amp;$C2085,'Smelter Reference List'!$J:$J,0))</f>
        <v>141</v>
      </c>
      <c r="T2085" s="235"/>
      <c r="U2085" s="235">
        <f t="shared" si="60"/>
        <v>0</v>
      </c>
      <c r="V2085" s="235"/>
      <c r="W2085" s="235"/>
      <c r="Y2085" s="228" t="str">
        <f t="shared" si="61"/>
        <v>GoldOhura Precious Metal Industry Co., Ltd.</v>
      </c>
    </row>
    <row r="2086" spans="1:25" s="228" customFormat="1" ht="25.5">
      <c r="A2086" s="400" t="s">
        <v>1304</v>
      </c>
      <c r="B2086" s="396" t="s">
        <v>2323</v>
      </c>
      <c r="C2086" s="397" t="s">
        <v>4342</v>
      </c>
      <c r="D2086" s="396" t="s">
        <v>4342</v>
      </c>
      <c r="E2086" s="396" t="s">
        <v>1717</v>
      </c>
      <c r="F2086" s="396" t="s">
        <v>1304</v>
      </c>
      <c r="G2086" s="396" t="s">
        <v>3125</v>
      </c>
      <c r="H2086" s="398" t="s">
        <v>5024</v>
      </c>
      <c r="I2086" s="399" t="s">
        <v>3259</v>
      </c>
      <c r="J2086" s="399" t="s">
        <v>3260</v>
      </c>
      <c r="K2086" s="402" t="s">
        <v>5024</v>
      </c>
      <c r="L2086" s="402" t="s">
        <v>5024</v>
      </c>
      <c r="M2086" s="402" t="s">
        <v>5024</v>
      </c>
      <c r="N2086" s="402" t="s">
        <v>5024</v>
      </c>
      <c r="O2086" s="402" t="s">
        <v>5024</v>
      </c>
      <c r="P2086" s="402" t="s">
        <v>5024</v>
      </c>
      <c r="Q2086" s="403" t="s">
        <v>5024</v>
      </c>
      <c r="R2086" s="233"/>
      <c r="S2086" s="234">
        <f>IF(C2086="",NA(),MATCH($B2086&amp;$C2086,'Smelter Reference List'!$J:$J,0))</f>
        <v>142</v>
      </c>
      <c r="T2086" s="235"/>
      <c r="U2086" s="235">
        <f t="shared" si="60"/>
        <v>0</v>
      </c>
      <c r="V2086" s="235"/>
      <c r="W2086" s="235"/>
      <c r="Y2086" s="228" t="str">
        <f t="shared" si="61"/>
        <v>GoldOJSC "The Gulidov Krasnoyarsk Non-Ferrous Metals Plant" (OJSC Krastsvetmet)</v>
      </c>
    </row>
    <row r="2087" spans="1:25" s="228" customFormat="1" ht="20.25">
      <c r="A2087" s="400" t="s">
        <v>1259</v>
      </c>
      <c r="B2087" s="396" t="s">
        <v>2323</v>
      </c>
      <c r="C2087" s="397" t="s">
        <v>4265</v>
      </c>
      <c r="D2087" s="396" t="s">
        <v>4265</v>
      </c>
      <c r="E2087" s="396" t="s">
        <v>1717</v>
      </c>
      <c r="F2087" s="396" t="s">
        <v>1259</v>
      </c>
      <c r="G2087" s="396" t="s">
        <v>3125</v>
      </c>
      <c r="H2087" s="398" t="s">
        <v>5024</v>
      </c>
      <c r="I2087" s="399" t="s">
        <v>3180</v>
      </c>
      <c r="J2087" s="399" t="s">
        <v>4343</v>
      </c>
      <c r="K2087" s="402" t="s">
        <v>5024</v>
      </c>
      <c r="L2087" s="402" t="s">
        <v>5024</v>
      </c>
      <c r="M2087" s="402" t="s">
        <v>5024</v>
      </c>
      <c r="N2087" s="402" t="s">
        <v>5024</v>
      </c>
      <c r="O2087" s="402" t="s">
        <v>5024</v>
      </c>
      <c r="P2087" s="402" t="s">
        <v>5024</v>
      </c>
      <c r="Q2087" s="403" t="s">
        <v>5024</v>
      </c>
      <c r="R2087" s="233"/>
      <c r="S2087" s="234">
        <f>IF(C2087="",NA(),MATCH($B2087&amp;$C2087,'Smelter Reference List'!$J:$J,0))</f>
        <v>144</v>
      </c>
      <c r="T2087" s="235"/>
      <c r="U2087" s="235">
        <f t="shared" si="60"/>
        <v>0</v>
      </c>
      <c r="V2087" s="235"/>
      <c r="W2087" s="235"/>
      <c r="Y2087" s="228" t="str">
        <f t="shared" si="61"/>
        <v>GoldOJSC Novosibirsk Refinery</v>
      </c>
    </row>
    <row r="2088" spans="1:25" s="228" customFormat="1" ht="20.25">
      <c r="A2088" s="400" t="s">
        <v>1305</v>
      </c>
      <c r="B2088" s="396" t="s">
        <v>2323</v>
      </c>
      <c r="C2088" s="397" t="s">
        <v>4705</v>
      </c>
      <c r="D2088" s="396" t="s">
        <v>4705</v>
      </c>
      <c r="E2088" s="396" t="s">
        <v>2179</v>
      </c>
      <c r="F2088" s="396" t="s">
        <v>1305</v>
      </c>
      <c r="G2088" s="396" t="s">
        <v>3125</v>
      </c>
      <c r="H2088" s="398" t="s">
        <v>5024</v>
      </c>
      <c r="I2088" s="399" t="s">
        <v>3262</v>
      </c>
      <c r="J2088" s="399" t="s">
        <v>3138</v>
      </c>
      <c r="K2088" s="402" t="s">
        <v>5024</v>
      </c>
      <c r="L2088" s="402" t="s">
        <v>5024</v>
      </c>
      <c r="M2088" s="402" t="s">
        <v>5024</v>
      </c>
      <c r="N2088" s="402" t="s">
        <v>5024</v>
      </c>
      <c r="O2088" s="402" t="s">
        <v>5024</v>
      </c>
      <c r="P2088" s="402" t="s">
        <v>5024</v>
      </c>
      <c r="Q2088" s="403" t="s">
        <v>5024</v>
      </c>
      <c r="R2088" s="233"/>
      <c r="S2088" s="234">
        <f>IF(C2088="",NA(),MATCH($B2088&amp;$C2088,'Smelter Reference List'!$J:$J,0))</f>
        <v>146</v>
      </c>
      <c r="T2088" s="235"/>
      <c r="U2088" s="235">
        <f t="shared" si="60"/>
        <v>0</v>
      </c>
      <c r="V2088" s="235"/>
      <c r="W2088" s="235"/>
      <c r="Y2088" s="228" t="str">
        <f t="shared" si="61"/>
        <v>GoldPAMP S.A.</v>
      </c>
    </row>
    <row r="2089" spans="1:25" s="228" customFormat="1" ht="20.25">
      <c r="A2089" s="400" t="s">
        <v>1307</v>
      </c>
      <c r="B2089" s="396" t="s">
        <v>2323</v>
      </c>
      <c r="C2089" s="397" t="s">
        <v>1794</v>
      </c>
      <c r="D2089" s="396" t="s">
        <v>1794</v>
      </c>
      <c r="E2089" s="396" t="s">
        <v>1717</v>
      </c>
      <c r="F2089" s="396" t="s">
        <v>1307</v>
      </c>
      <c r="G2089" s="396" t="s">
        <v>3125</v>
      </c>
      <c r="H2089" s="398" t="s">
        <v>5024</v>
      </c>
      <c r="I2089" s="399" t="s">
        <v>3265</v>
      </c>
      <c r="J2089" s="399" t="s">
        <v>3266</v>
      </c>
      <c r="K2089" s="402" t="s">
        <v>5024</v>
      </c>
      <c r="L2089" s="402" t="s">
        <v>5024</v>
      </c>
      <c r="M2089" s="402" t="s">
        <v>5024</v>
      </c>
      <c r="N2089" s="402" t="s">
        <v>5024</v>
      </c>
      <c r="O2089" s="402" t="s">
        <v>5024</v>
      </c>
      <c r="P2089" s="402" t="s">
        <v>5024</v>
      </c>
      <c r="Q2089" s="403" t="s">
        <v>5024</v>
      </c>
      <c r="R2089" s="233"/>
      <c r="S2089" s="234">
        <f>IF(C2089="",NA(),MATCH($B2089&amp;$C2089,'Smelter Reference List'!$J:$J,0))</f>
        <v>151</v>
      </c>
      <c r="T2089" s="235"/>
      <c r="U2089" s="235">
        <f t="shared" si="60"/>
        <v>0</v>
      </c>
      <c r="V2089" s="235"/>
      <c r="W2089" s="235"/>
      <c r="Y2089" s="228" t="str">
        <f t="shared" si="61"/>
        <v>GoldPrioksky Plant of Non-Ferrous Metals</v>
      </c>
    </row>
    <row r="2090" spans="1:25" s="228" customFormat="1" ht="20.25">
      <c r="A2090" s="400" t="s">
        <v>1308</v>
      </c>
      <c r="B2090" s="396" t="s">
        <v>2323</v>
      </c>
      <c r="C2090" s="397" t="s">
        <v>2456</v>
      </c>
      <c r="D2090" s="396" t="s">
        <v>2456</v>
      </c>
      <c r="E2090" s="396" t="s">
        <v>2238</v>
      </c>
      <c r="F2090" s="396" t="s">
        <v>1308</v>
      </c>
      <c r="G2090" s="396" t="s">
        <v>3125</v>
      </c>
      <c r="H2090" s="398" t="s">
        <v>5024</v>
      </c>
      <c r="I2090" s="399" t="s">
        <v>3267</v>
      </c>
      <c r="J2090" s="399" t="s">
        <v>3268</v>
      </c>
      <c r="K2090" s="402" t="s">
        <v>5024</v>
      </c>
      <c r="L2090" s="402" t="s">
        <v>5024</v>
      </c>
      <c r="M2090" s="402" t="s">
        <v>5024</v>
      </c>
      <c r="N2090" s="402" t="s">
        <v>5024</v>
      </c>
      <c r="O2090" s="402" t="s">
        <v>5024</v>
      </c>
      <c r="P2090" s="402" t="s">
        <v>5024</v>
      </c>
      <c r="Q2090" s="403" t="s">
        <v>5024</v>
      </c>
      <c r="R2090" s="233"/>
      <c r="S2090" s="234">
        <f>IF(C2090="",NA(),MATCH($B2090&amp;$C2090,'Smelter Reference List'!$J:$J,0))</f>
        <v>153</v>
      </c>
      <c r="T2090" s="235"/>
      <c r="U2090" s="235">
        <f t="shared" si="60"/>
        <v>0</v>
      </c>
      <c r="V2090" s="235"/>
      <c r="W2090" s="235"/>
      <c r="Y2090" s="228" t="str">
        <f t="shared" si="61"/>
        <v>GoldPT Aneka Tambang (Persero) Tbk</v>
      </c>
    </row>
    <row r="2091" spans="1:25" s="228" customFormat="1" ht="20.25">
      <c r="A2091" s="400" t="s">
        <v>1309</v>
      </c>
      <c r="B2091" s="396" t="s">
        <v>2323</v>
      </c>
      <c r="C2091" s="397" t="s">
        <v>4706</v>
      </c>
      <c r="D2091" s="396" t="s">
        <v>4706</v>
      </c>
      <c r="E2091" s="396" t="s">
        <v>2179</v>
      </c>
      <c r="F2091" s="396" t="s">
        <v>1309</v>
      </c>
      <c r="G2091" s="396" t="s">
        <v>3125</v>
      </c>
      <c r="H2091" s="398" t="s">
        <v>5024</v>
      </c>
      <c r="I2091" s="399" t="s">
        <v>3269</v>
      </c>
      <c r="J2091" s="399" t="s">
        <v>3240</v>
      </c>
      <c r="K2091" s="402" t="s">
        <v>5024</v>
      </c>
      <c r="L2091" s="402" t="s">
        <v>5024</v>
      </c>
      <c r="M2091" s="402" t="s">
        <v>5024</v>
      </c>
      <c r="N2091" s="402" t="s">
        <v>5024</v>
      </c>
      <c r="O2091" s="402" t="s">
        <v>5024</v>
      </c>
      <c r="P2091" s="402" t="s">
        <v>5024</v>
      </c>
      <c r="Q2091" s="403" t="s">
        <v>5024</v>
      </c>
      <c r="R2091" s="233"/>
      <c r="S2091" s="234">
        <f>IF(C2091="",NA(),MATCH($B2091&amp;$C2091,'Smelter Reference List'!$J:$J,0))</f>
        <v>154</v>
      </c>
      <c r="T2091" s="235"/>
      <c r="U2091" s="235">
        <f t="shared" si="60"/>
        <v>0</v>
      </c>
      <c r="V2091" s="235"/>
      <c r="W2091" s="235"/>
      <c r="Y2091" s="228" t="str">
        <f t="shared" si="61"/>
        <v>GoldPX Précinox S.A.</v>
      </c>
    </row>
    <row r="2092" spans="1:25" s="228" customFormat="1" ht="20.25">
      <c r="A2092" s="400" t="s">
        <v>1310</v>
      </c>
      <c r="B2092" s="396" t="s">
        <v>2323</v>
      </c>
      <c r="C2092" s="397" t="s">
        <v>4171</v>
      </c>
      <c r="D2092" s="396" t="s">
        <v>4171</v>
      </c>
      <c r="E2092" s="396" t="s">
        <v>1772</v>
      </c>
      <c r="F2092" s="396" t="s">
        <v>1310</v>
      </c>
      <c r="G2092" s="396" t="s">
        <v>3125</v>
      </c>
      <c r="H2092" s="398" t="s">
        <v>5024</v>
      </c>
      <c r="I2092" s="399" t="s">
        <v>3270</v>
      </c>
      <c r="J2092" s="399" t="s">
        <v>3271</v>
      </c>
      <c r="K2092" s="402" t="s">
        <v>5024</v>
      </c>
      <c r="L2092" s="402" t="s">
        <v>5024</v>
      </c>
      <c r="M2092" s="402" t="s">
        <v>5024</v>
      </c>
      <c r="N2092" s="402" t="s">
        <v>5024</v>
      </c>
      <c r="O2092" s="402" t="s">
        <v>5024</v>
      </c>
      <c r="P2092" s="402" t="s">
        <v>5024</v>
      </c>
      <c r="Q2092" s="403" t="s">
        <v>5024</v>
      </c>
      <c r="R2092" s="233"/>
      <c r="S2092" s="234">
        <f>IF(C2092="",NA(),MATCH($B2092&amp;$C2092,'Smelter Reference List'!$J:$J,0))</f>
        <v>155</v>
      </c>
      <c r="T2092" s="235"/>
      <c r="U2092" s="235">
        <f t="shared" si="60"/>
        <v>0</v>
      </c>
      <c r="V2092" s="235"/>
      <c r="W2092" s="235"/>
      <c r="Y2092" s="228" t="str">
        <f t="shared" si="61"/>
        <v>GoldRand Refinery (Pty) Ltd.</v>
      </c>
    </row>
    <row r="2093" spans="1:25" s="228" customFormat="1" ht="20.25">
      <c r="A2093" s="400" t="s">
        <v>2693</v>
      </c>
      <c r="B2093" s="396" t="s">
        <v>2323</v>
      </c>
      <c r="C2093" s="397" t="s">
        <v>2692</v>
      </c>
      <c r="D2093" s="396" t="s">
        <v>2692</v>
      </c>
      <c r="E2093" s="396" t="s">
        <v>5016</v>
      </c>
      <c r="F2093" s="396" t="s">
        <v>2693</v>
      </c>
      <c r="G2093" s="396" t="s">
        <v>3125</v>
      </c>
      <c r="H2093" s="398" t="s">
        <v>5024</v>
      </c>
      <c r="I2093" s="399" t="s">
        <v>3347</v>
      </c>
      <c r="J2093" s="399" t="s">
        <v>3348</v>
      </c>
      <c r="K2093" s="402" t="s">
        <v>5024</v>
      </c>
      <c r="L2093" s="402" t="s">
        <v>5024</v>
      </c>
      <c r="M2093" s="402" t="s">
        <v>5024</v>
      </c>
      <c r="N2093" s="402" t="s">
        <v>5024</v>
      </c>
      <c r="O2093" s="402" t="s">
        <v>5024</v>
      </c>
      <c r="P2093" s="402" t="s">
        <v>5024</v>
      </c>
      <c r="Q2093" s="403" t="s">
        <v>5024</v>
      </c>
      <c r="R2093" s="233"/>
      <c r="S2093" s="234">
        <f>IF(C2093="",NA(),MATCH($B2093&amp;$C2093,'Smelter Reference List'!$J:$J,0))</f>
        <v>158</v>
      </c>
      <c r="T2093" s="235"/>
      <c r="U2093" s="235">
        <f t="shared" si="60"/>
        <v>0</v>
      </c>
      <c r="V2093" s="235"/>
      <c r="W2093" s="235"/>
      <c r="Y2093" s="228" t="str">
        <f t="shared" si="61"/>
        <v>GoldRepublic Metals Corporation</v>
      </c>
    </row>
    <row r="2094" spans="1:25" s="228" customFormat="1" ht="20.25">
      <c r="A2094" s="400" t="s">
        <v>1311</v>
      </c>
      <c r="B2094" s="396" t="s">
        <v>2323</v>
      </c>
      <c r="C2094" s="397" t="s">
        <v>1795</v>
      </c>
      <c r="D2094" s="396" t="s">
        <v>1795</v>
      </c>
      <c r="E2094" s="396" t="s">
        <v>2177</v>
      </c>
      <c r="F2094" s="396" t="s">
        <v>1311</v>
      </c>
      <c r="G2094" s="396" t="s">
        <v>3125</v>
      </c>
      <c r="H2094" s="398" t="s">
        <v>5024</v>
      </c>
      <c r="I2094" s="399" t="s">
        <v>3272</v>
      </c>
      <c r="J2094" s="399" t="s">
        <v>3210</v>
      </c>
      <c r="K2094" s="402" t="s">
        <v>5024</v>
      </c>
      <c r="L2094" s="402" t="s">
        <v>5024</v>
      </c>
      <c r="M2094" s="402" t="s">
        <v>5024</v>
      </c>
      <c r="N2094" s="402" t="s">
        <v>5024</v>
      </c>
      <c r="O2094" s="402" t="s">
        <v>5024</v>
      </c>
      <c r="P2094" s="402" t="s">
        <v>5024</v>
      </c>
      <c r="Q2094" s="403" t="s">
        <v>5024</v>
      </c>
      <c r="R2094" s="233"/>
      <c r="S2094" s="234">
        <f>IF(C2094="",NA(),MATCH($B2094&amp;$C2094,'Smelter Reference List'!$J:$J,0))</f>
        <v>159</v>
      </c>
      <c r="T2094" s="235"/>
      <c r="U2094" s="235">
        <f t="shared" si="60"/>
        <v>0</v>
      </c>
      <c r="V2094" s="235"/>
      <c r="W2094" s="235"/>
      <c r="Y2094" s="228" t="str">
        <f t="shared" si="61"/>
        <v>GoldRoyal Canadian Mint</v>
      </c>
    </row>
    <row r="2095" spans="1:25" s="228" customFormat="1" ht="20.25">
      <c r="A2095" s="400" t="s">
        <v>2731</v>
      </c>
      <c r="B2095" s="396" t="s">
        <v>2323</v>
      </c>
      <c r="C2095" s="397" t="s">
        <v>2730</v>
      </c>
      <c r="D2095" s="396" t="s">
        <v>2730</v>
      </c>
      <c r="E2095" s="396" t="s">
        <v>5017</v>
      </c>
      <c r="F2095" s="396" t="s">
        <v>2731</v>
      </c>
      <c r="G2095" s="396" t="s">
        <v>3125</v>
      </c>
      <c r="H2095" s="398" t="s">
        <v>5024</v>
      </c>
      <c r="I2095" s="399" t="s">
        <v>3166</v>
      </c>
      <c r="J2095" s="399" t="s">
        <v>3167</v>
      </c>
      <c r="K2095" s="402" t="s">
        <v>5024</v>
      </c>
      <c r="L2095" s="402" t="s">
        <v>5024</v>
      </c>
      <c r="M2095" s="402" t="s">
        <v>5024</v>
      </c>
      <c r="N2095" s="402" t="s">
        <v>5024</v>
      </c>
      <c r="O2095" s="402" t="s">
        <v>5024</v>
      </c>
      <c r="P2095" s="402" t="s">
        <v>924</v>
      </c>
      <c r="Q2095" s="403" t="s">
        <v>5024</v>
      </c>
      <c r="R2095" s="233"/>
      <c r="S2095" s="234">
        <f>IF(C2095="",NA(),MATCH($B2095&amp;$C2095,'Smelter Reference List'!$J:$J,0))</f>
        <v>166</v>
      </c>
      <c r="T2095" s="235"/>
      <c r="U2095" s="235">
        <f t="shared" si="60"/>
        <v>0</v>
      </c>
      <c r="V2095" s="235"/>
      <c r="W2095" s="235"/>
      <c r="Y2095" s="228" t="str">
        <f t="shared" si="61"/>
        <v>GoldSamduck Precious Metals</v>
      </c>
    </row>
    <row r="2096" spans="1:25" s="228" customFormat="1" ht="20.25">
      <c r="A2096" s="400" t="s">
        <v>4273</v>
      </c>
      <c r="B2096" s="396" t="s">
        <v>2323</v>
      </c>
      <c r="C2096" s="397" t="s">
        <v>4270</v>
      </c>
      <c r="D2096" s="396" t="s">
        <v>4270</v>
      </c>
      <c r="E2096" s="396" t="s">
        <v>2195</v>
      </c>
      <c r="F2096" s="396" t="s">
        <v>4273</v>
      </c>
      <c r="G2096" s="396" t="s">
        <v>3125</v>
      </c>
      <c r="H2096" s="398" t="s">
        <v>5024</v>
      </c>
      <c r="I2096" s="399" t="s">
        <v>3464</v>
      </c>
      <c r="J2096" s="399" t="s">
        <v>3465</v>
      </c>
      <c r="K2096" s="402" t="s">
        <v>5024</v>
      </c>
      <c r="L2096" s="402" t="s">
        <v>5024</v>
      </c>
      <c r="M2096" s="402" t="s">
        <v>5024</v>
      </c>
      <c r="N2096" s="402" t="s">
        <v>5024</v>
      </c>
      <c r="O2096" s="402" t="s">
        <v>5024</v>
      </c>
      <c r="P2096" s="402" t="s">
        <v>924</v>
      </c>
      <c r="Q2096" s="403" t="s">
        <v>5024</v>
      </c>
      <c r="R2096" s="233"/>
      <c r="S2096" s="234">
        <f>IF(C2096="",NA(),MATCH($B2096&amp;$C2096,'Smelter Reference List'!$J:$J,0))</f>
        <v>168</v>
      </c>
      <c r="T2096" s="235"/>
      <c r="U2096" s="235">
        <f t="shared" si="60"/>
        <v>0</v>
      </c>
      <c r="V2096" s="235"/>
      <c r="W2096" s="235"/>
      <c r="Y2096" s="228" t="str">
        <f t="shared" si="61"/>
        <v>GoldSAXONIA Edelmetalle GmbH</v>
      </c>
    </row>
    <row r="2097" spans="1:25" s="228" customFormat="1" ht="20.25">
      <c r="A2097" s="400" t="s">
        <v>1314</v>
      </c>
      <c r="B2097" s="396" t="s">
        <v>2323</v>
      </c>
      <c r="C2097" s="397" t="s">
        <v>4285</v>
      </c>
      <c r="D2097" s="396" t="s">
        <v>4285</v>
      </c>
      <c r="E2097" s="396" t="s">
        <v>2298</v>
      </c>
      <c r="F2097" s="396" t="s">
        <v>1314</v>
      </c>
      <c r="G2097" s="396" t="s">
        <v>3125</v>
      </c>
      <c r="H2097" s="398" t="s">
        <v>5024</v>
      </c>
      <c r="I2097" s="399" t="s">
        <v>3279</v>
      </c>
      <c r="J2097" s="399" t="s">
        <v>3280</v>
      </c>
      <c r="K2097" s="402" t="s">
        <v>5024</v>
      </c>
      <c r="L2097" s="402" t="s">
        <v>5024</v>
      </c>
      <c r="M2097" s="402" t="s">
        <v>5024</v>
      </c>
      <c r="N2097" s="402" t="s">
        <v>5024</v>
      </c>
      <c r="O2097" s="402" t="s">
        <v>5024</v>
      </c>
      <c r="P2097" s="402" t="s">
        <v>5024</v>
      </c>
      <c r="Q2097" s="403" t="s">
        <v>5024</v>
      </c>
      <c r="R2097" s="233"/>
      <c r="S2097" s="234">
        <f>IF(C2097="",NA(),MATCH($B2097&amp;$C2097,'Smelter Reference List'!$J:$J,0))</f>
        <v>169</v>
      </c>
      <c r="T2097" s="235"/>
      <c r="U2097" s="235">
        <f t="shared" si="60"/>
        <v>0</v>
      </c>
      <c r="V2097" s="235"/>
      <c r="W2097" s="235"/>
      <c r="Y2097" s="228" t="str">
        <f t="shared" si="61"/>
        <v>GoldSchone Edelmetaal B.V.</v>
      </c>
    </row>
    <row r="2098" spans="1:25" s="228" customFormat="1" ht="20.25">
      <c r="A2098" s="400" t="s">
        <v>1315</v>
      </c>
      <c r="B2098" s="396" t="s">
        <v>2323</v>
      </c>
      <c r="C2098" s="397" t="s">
        <v>4716</v>
      </c>
      <c r="D2098" s="396" t="s">
        <v>4716</v>
      </c>
      <c r="E2098" s="396" t="s">
        <v>2205</v>
      </c>
      <c r="F2098" s="396" t="s">
        <v>1315</v>
      </c>
      <c r="G2098" s="396" t="s">
        <v>3125</v>
      </c>
      <c r="H2098" s="398" t="s">
        <v>5024</v>
      </c>
      <c r="I2098" s="399" t="s">
        <v>3281</v>
      </c>
      <c r="J2098" s="399" t="s">
        <v>3282</v>
      </c>
      <c r="K2098" s="402" t="s">
        <v>5024</v>
      </c>
      <c r="L2098" s="402" t="s">
        <v>5024</v>
      </c>
      <c r="M2098" s="402" t="s">
        <v>5024</v>
      </c>
      <c r="N2098" s="402" t="s">
        <v>5024</v>
      </c>
      <c r="O2098" s="402" t="s">
        <v>5024</v>
      </c>
      <c r="P2098" s="402" t="s">
        <v>5024</v>
      </c>
      <c r="Q2098" s="403" t="s">
        <v>5024</v>
      </c>
      <c r="R2098" s="233"/>
      <c r="S2098" s="234">
        <f>IF(C2098="",NA(),MATCH($B2098&amp;$C2098,'Smelter Reference List'!$J:$J,0))</f>
        <v>171</v>
      </c>
      <c r="T2098" s="235"/>
      <c r="U2098" s="235">
        <f t="shared" si="60"/>
        <v>0</v>
      </c>
      <c r="V2098" s="235"/>
      <c r="W2098" s="235"/>
      <c r="Y2098" s="228" t="str">
        <f t="shared" si="61"/>
        <v>GoldSEMPSA Joyería Platería S.A.</v>
      </c>
    </row>
    <row r="2099" spans="1:25" s="228" customFormat="1" ht="25.5">
      <c r="A2099" s="400" t="s">
        <v>1316</v>
      </c>
      <c r="B2099" s="396" t="s">
        <v>2323</v>
      </c>
      <c r="C2099" s="397" t="s">
        <v>4174</v>
      </c>
      <c r="D2099" s="396" t="s">
        <v>4174</v>
      </c>
      <c r="E2099" s="396" t="s">
        <v>2181</v>
      </c>
      <c r="F2099" s="396" t="s">
        <v>1316</v>
      </c>
      <c r="G2099" s="396" t="s">
        <v>3125</v>
      </c>
      <c r="H2099" s="398" t="s">
        <v>5024</v>
      </c>
      <c r="I2099" s="399" t="s">
        <v>3185</v>
      </c>
      <c r="J2099" s="399" t="s">
        <v>3264</v>
      </c>
      <c r="K2099" s="402" t="s">
        <v>5024</v>
      </c>
      <c r="L2099" s="402" t="s">
        <v>5024</v>
      </c>
      <c r="M2099" s="402" t="s">
        <v>5024</v>
      </c>
      <c r="N2099" s="402" t="s">
        <v>5024</v>
      </c>
      <c r="O2099" s="402" t="s">
        <v>5024</v>
      </c>
      <c r="P2099" s="402" t="s">
        <v>5024</v>
      </c>
      <c r="Q2099" s="403" t="s">
        <v>5024</v>
      </c>
      <c r="R2099" s="233"/>
      <c r="S2099" s="234">
        <f>IF(C2099="",NA(),MATCH($B2099&amp;$C2099,'Smelter Reference List'!$J:$J,0))</f>
        <v>176</v>
      </c>
      <c r="T2099" s="235"/>
      <c r="U2099" s="235">
        <f t="shared" si="60"/>
        <v>0</v>
      </c>
      <c r="V2099" s="235"/>
      <c r="W2099" s="235"/>
      <c r="Y2099" s="228" t="str">
        <f t="shared" si="61"/>
        <v>GoldShandong Zhaojin Gold &amp; Silver Refinery Co., Ltd.</v>
      </c>
    </row>
    <row r="2100" spans="1:25" s="228" customFormat="1" ht="20.25">
      <c r="A2100" s="400" t="s">
        <v>2694</v>
      </c>
      <c r="B2100" s="396" t="s">
        <v>2323</v>
      </c>
      <c r="C2100" s="397" t="s">
        <v>4175</v>
      </c>
      <c r="D2100" s="396" t="s">
        <v>4175</v>
      </c>
      <c r="E2100" s="396" t="s">
        <v>2181</v>
      </c>
      <c r="F2100" s="396" t="s">
        <v>2694</v>
      </c>
      <c r="G2100" s="396" t="s">
        <v>3125</v>
      </c>
      <c r="H2100" s="398" t="s">
        <v>5024</v>
      </c>
      <c r="I2100" s="399" t="s">
        <v>3290</v>
      </c>
      <c r="J2100" s="399" t="s">
        <v>3291</v>
      </c>
      <c r="K2100" s="402" t="s">
        <v>5024</v>
      </c>
      <c r="L2100" s="402" t="s">
        <v>5024</v>
      </c>
      <c r="M2100" s="402" t="s">
        <v>5024</v>
      </c>
      <c r="N2100" s="402" t="s">
        <v>5024</v>
      </c>
      <c r="O2100" s="402" t="s">
        <v>5024</v>
      </c>
      <c r="P2100" s="402" t="s">
        <v>5024</v>
      </c>
      <c r="Q2100" s="403" t="s">
        <v>5024</v>
      </c>
      <c r="R2100" s="233"/>
      <c r="S2100" s="234">
        <f>IF(C2100="",NA(),MATCH($B2100&amp;$C2100,'Smelter Reference List'!$J:$J,0))</f>
        <v>179</v>
      </c>
      <c r="T2100" s="235"/>
      <c r="U2100" s="235">
        <f t="shared" si="60"/>
        <v>0</v>
      </c>
      <c r="V2100" s="235"/>
      <c r="W2100" s="235"/>
      <c r="Y2100" s="228" t="str">
        <f t="shared" si="61"/>
        <v>GoldSichuan Tianze Precious Metals Co., Ltd.</v>
      </c>
    </row>
    <row r="2101" spans="1:25" s="228" customFormat="1" ht="25.5">
      <c r="A2101" s="400" t="s">
        <v>2696</v>
      </c>
      <c r="B2101" s="396" t="s">
        <v>2323</v>
      </c>
      <c r="C2101" s="397" t="s">
        <v>2695</v>
      </c>
      <c r="D2101" s="396" t="s">
        <v>2695</v>
      </c>
      <c r="E2101" s="396" t="s">
        <v>5018</v>
      </c>
      <c r="F2101" s="396" t="s">
        <v>2696</v>
      </c>
      <c r="G2101" s="396" t="s">
        <v>3125</v>
      </c>
      <c r="H2101" s="398" t="s">
        <v>5024</v>
      </c>
      <c r="I2101" s="399" t="s">
        <v>3353</v>
      </c>
      <c r="J2101" s="399" t="s">
        <v>3354</v>
      </c>
      <c r="K2101" s="402" t="s">
        <v>5024</v>
      </c>
      <c r="L2101" s="402" t="s">
        <v>5024</v>
      </c>
      <c r="M2101" s="402" t="s">
        <v>5024</v>
      </c>
      <c r="N2101" s="402" t="s">
        <v>5024</v>
      </c>
      <c r="O2101" s="402" t="s">
        <v>5024</v>
      </c>
      <c r="P2101" s="402" t="s">
        <v>5024</v>
      </c>
      <c r="Q2101" s="403" t="s">
        <v>5024</v>
      </c>
      <c r="R2101" s="233"/>
      <c r="S2101" s="234">
        <f>IF(C2101="",NA(),MATCH($B2101&amp;$C2101,'Smelter Reference List'!$J:$J,0))</f>
        <v>181</v>
      </c>
      <c r="T2101" s="235"/>
      <c r="U2101" s="235">
        <f t="shared" si="60"/>
        <v>0</v>
      </c>
      <c r="V2101" s="235"/>
      <c r="W2101" s="235"/>
      <c r="Y2101" s="228" t="str">
        <f t="shared" si="61"/>
        <v>GoldSingway Technology Co., Ltd.</v>
      </c>
    </row>
    <row r="2102" spans="1:25" s="228" customFormat="1" ht="25.5">
      <c r="A2102" s="400" t="s">
        <v>1319</v>
      </c>
      <c r="B2102" s="396" t="s">
        <v>2323</v>
      </c>
      <c r="C2102" s="397" t="s">
        <v>1796</v>
      </c>
      <c r="D2102" s="396" t="s">
        <v>1796</v>
      </c>
      <c r="E2102" s="396" t="s">
        <v>1717</v>
      </c>
      <c r="F2102" s="396" t="s">
        <v>1319</v>
      </c>
      <c r="G2102" s="396" t="s">
        <v>3125</v>
      </c>
      <c r="H2102" s="398" t="s">
        <v>5024</v>
      </c>
      <c r="I2102" s="399" t="s">
        <v>3293</v>
      </c>
      <c r="J2102" s="399" t="s">
        <v>3294</v>
      </c>
      <c r="K2102" s="402" t="s">
        <v>5024</v>
      </c>
      <c r="L2102" s="402" t="s">
        <v>5024</v>
      </c>
      <c r="M2102" s="402" t="s">
        <v>5024</v>
      </c>
      <c r="N2102" s="402" t="s">
        <v>5024</v>
      </c>
      <c r="O2102" s="402" t="s">
        <v>5024</v>
      </c>
      <c r="P2102" s="402" t="s">
        <v>5024</v>
      </c>
      <c r="Q2102" s="403" t="s">
        <v>5024</v>
      </c>
      <c r="R2102" s="233"/>
      <c r="S2102" s="234">
        <f>IF(C2102="",NA(),MATCH($B2102&amp;$C2102,'Smelter Reference List'!$J:$J,0))</f>
        <v>184</v>
      </c>
      <c r="T2102" s="235"/>
      <c r="U2102" s="235">
        <f t="shared" si="60"/>
        <v>0</v>
      </c>
      <c r="V2102" s="235"/>
      <c r="W2102" s="235"/>
      <c r="Y2102" s="228" t="str">
        <f t="shared" si="61"/>
        <v>GoldSOE Shyolkovsky Factory of Secondary Precious Metals</v>
      </c>
    </row>
    <row r="2103" spans="1:25" s="228" customFormat="1" ht="25.5">
      <c r="A2103" s="400" t="s">
        <v>1320</v>
      </c>
      <c r="B2103" s="396" t="s">
        <v>2323</v>
      </c>
      <c r="C2103" s="397" t="s">
        <v>1797</v>
      </c>
      <c r="D2103" s="396" t="s">
        <v>1797</v>
      </c>
      <c r="E2103" s="396" t="s">
        <v>5018</v>
      </c>
      <c r="F2103" s="396" t="s">
        <v>1320</v>
      </c>
      <c r="G2103" s="396" t="s">
        <v>3125</v>
      </c>
      <c r="H2103" s="398" t="s">
        <v>5024</v>
      </c>
      <c r="I2103" s="399" t="s">
        <v>3295</v>
      </c>
      <c r="J2103" s="399" t="s">
        <v>3296</v>
      </c>
      <c r="K2103" s="402" t="s">
        <v>5024</v>
      </c>
      <c r="L2103" s="402" t="s">
        <v>5024</v>
      </c>
      <c r="M2103" s="402" t="s">
        <v>5024</v>
      </c>
      <c r="N2103" s="402" t="s">
        <v>5024</v>
      </c>
      <c r="O2103" s="402" t="s">
        <v>5024</v>
      </c>
      <c r="P2103" s="402" t="s">
        <v>925</v>
      </c>
      <c r="Q2103" s="403" t="s">
        <v>5024</v>
      </c>
      <c r="R2103" s="233"/>
      <c r="S2103" s="234">
        <f>IF(C2103="",NA(),MATCH($B2103&amp;$C2103,'Smelter Reference List'!$J:$J,0))</f>
        <v>185</v>
      </c>
      <c r="T2103" s="235"/>
      <c r="U2103" s="235">
        <f t="shared" si="60"/>
        <v>0</v>
      </c>
      <c r="V2103" s="235"/>
      <c r="W2103" s="235"/>
      <c r="Y2103" s="228" t="str">
        <f t="shared" si="61"/>
        <v>GoldSolar Applied Materials Technology Corp.</v>
      </c>
    </row>
    <row r="2104" spans="1:25" s="228" customFormat="1" ht="20.25">
      <c r="A2104" s="400" t="s">
        <v>1321</v>
      </c>
      <c r="B2104" s="396" t="s">
        <v>2323</v>
      </c>
      <c r="C2104" s="397" t="s">
        <v>77</v>
      </c>
      <c r="D2104" s="396" t="s">
        <v>77</v>
      </c>
      <c r="E2104" s="396" t="s">
        <v>2249</v>
      </c>
      <c r="F2104" s="396" t="s">
        <v>1321</v>
      </c>
      <c r="G2104" s="396" t="s">
        <v>3125</v>
      </c>
      <c r="H2104" s="398" t="s">
        <v>5024</v>
      </c>
      <c r="I2104" s="399" t="s">
        <v>3297</v>
      </c>
      <c r="J2104" s="399" t="s">
        <v>4284</v>
      </c>
      <c r="K2104" s="402" t="s">
        <v>5024</v>
      </c>
      <c r="L2104" s="402" t="s">
        <v>5024</v>
      </c>
      <c r="M2104" s="402" t="s">
        <v>5024</v>
      </c>
      <c r="N2104" s="402" t="s">
        <v>5024</v>
      </c>
      <c r="O2104" s="402" t="s">
        <v>5024</v>
      </c>
      <c r="P2104" s="402" t="s">
        <v>5024</v>
      </c>
      <c r="Q2104" s="403" t="s">
        <v>5024</v>
      </c>
      <c r="R2104" s="233"/>
      <c r="S2104" s="234">
        <f>IF(C2104="",NA(),MATCH($B2104&amp;$C2104,'Smelter Reference List'!$J:$J,0))</f>
        <v>190</v>
      </c>
      <c r="T2104" s="235"/>
      <c r="U2104" s="235">
        <f t="shared" si="60"/>
        <v>0</v>
      </c>
      <c r="V2104" s="235"/>
      <c r="W2104" s="235"/>
      <c r="Y2104" s="228" t="str">
        <f t="shared" si="61"/>
        <v>GoldSumitomo Metal Mining Co., Ltd.</v>
      </c>
    </row>
    <row r="2105" spans="1:25" s="228" customFormat="1" ht="20.25">
      <c r="A2105" s="400" t="s">
        <v>3366</v>
      </c>
      <c r="B2105" s="396" t="s">
        <v>2323</v>
      </c>
      <c r="C2105" s="397" t="s">
        <v>4291</v>
      </c>
      <c r="D2105" s="396" t="s">
        <v>4291</v>
      </c>
      <c r="E2105" s="396" t="s">
        <v>2246</v>
      </c>
      <c r="F2105" s="396" t="s">
        <v>3366</v>
      </c>
      <c r="G2105" s="396" t="s">
        <v>3125</v>
      </c>
      <c r="H2105" s="398" t="s">
        <v>5024</v>
      </c>
      <c r="I2105" s="399" t="s">
        <v>3367</v>
      </c>
      <c r="J2105" s="399" t="s">
        <v>3164</v>
      </c>
      <c r="K2105" s="402" t="s">
        <v>5024</v>
      </c>
      <c r="L2105" s="402" t="s">
        <v>5024</v>
      </c>
      <c r="M2105" s="402" t="s">
        <v>5024</v>
      </c>
      <c r="N2105" s="402" t="s">
        <v>5024</v>
      </c>
      <c r="O2105" s="402" t="s">
        <v>5024</v>
      </c>
      <c r="P2105" s="402" t="s">
        <v>5024</v>
      </c>
      <c r="Q2105" s="403" t="s">
        <v>5024</v>
      </c>
      <c r="R2105" s="233"/>
      <c r="S2105" s="234">
        <f>IF(C2105="",NA(),MATCH($B2105&amp;$C2105,'Smelter Reference List'!$J:$J,0))</f>
        <v>191</v>
      </c>
      <c r="T2105" s="235"/>
      <c r="U2105" s="235">
        <f t="shared" si="60"/>
        <v>0</v>
      </c>
      <c r="V2105" s="235"/>
      <c r="W2105" s="235"/>
      <c r="Y2105" s="228" t="str">
        <f t="shared" si="61"/>
        <v>GoldT.C.A S.p.A</v>
      </c>
    </row>
    <row r="2106" spans="1:25" s="228" customFormat="1" ht="20.25">
      <c r="A2106" s="400" t="s">
        <v>1322</v>
      </c>
      <c r="B2106" s="396" t="s">
        <v>2323</v>
      </c>
      <c r="C2106" s="397" t="s">
        <v>2457</v>
      </c>
      <c r="D2106" s="396" t="s">
        <v>2457</v>
      </c>
      <c r="E2106" s="396" t="s">
        <v>2249</v>
      </c>
      <c r="F2106" s="396" t="s">
        <v>1322</v>
      </c>
      <c r="G2106" s="396" t="s">
        <v>3125</v>
      </c>
      <c r="H2106" s="398" t="s">
        <v>5024</v>
      </c>
      <c r="I2106" s="399" t="s">
        <v>3299</v>
      </c>
      <c r="J2106" s="399" t="s">
        <v>3300</v>
      </c>
      <c r="K2106" s="402" t="s">
        <v>5024</v>
      </c>
      <c r="L2106" s="402" t="s">
        <v>5024</v>
      </c>
      <c r="M2106" s="402" t="s">
        <v>5024</v>
      </c>
      <c r="N2106" s="402" t="s">
        <v>5024</v>
      </c>
      <c r="O2106" s="402" t="s">
        <v>5024</v>
      </c>
      <c r="P2106" s="402" t="s">
        <v>5024</v>
      </c>
      <c r="Q2106" s="403" t="s">
        <v>5024</v>
      </c>
      <c r="R2106" s="233"/>
      <c r="S2106" s="234">
        <f>IF(C2106="",NA(),MATCH($B2106&amp;$C2106,'Smelter Reference List'!$J:$J,0))</f>
        <v>200</v>
      </c>
      <c r="T2106" s="235"/>
      <c r="U2106" s="235">
        <f t="shared" si="60"/>
        <v>0</v>
      </c>
      <c r="V2106" s="235"/>
      <c r="W2106" s="235"/>
      <c r="Y2106" s="228" t="str">
        <f t="shared" si="61"/>
        <v>GoldTanaka Kikinzoku Kogyo K.K.</v>
      </c>
    </row>
    <row r="2107" spans="1:25" s="228" customFormat="1" ht="25.5">
      <c r="A2107" s="400" t="s">
        <v>1324</v>
      </c>
      <c r="B2107" s="396" t="s">
        <v>2323</v>
      </c>
      <c r="C2107" s="397" t="s">
        <v>4177</v>
      </c>
      <c r="D2107" s="396" t="s">
        <v>4177</v>
      </c>
      <c r="E2107" s="396" t="s">
        <v>2181</v>
      </c>
      <c r="F2107" s="396" t="s">
        <v>1324</v>
      </c>
      <c r="G2107" s="396" t="s">
        <v>3125</v>
      </c>
      <c r="H2107" s="398" t="s">
        <v>5024</v>
      </c>
      <c r="I2107" s="399" t="s">
        <v>3286</v>
      </c>
      <c r="J2107" s="399" t="s">
        <v>3264</v>
      </c>
      <c r="K2107" s="402" t="s">
        <v>5024</v>
      </c>
      <c r="L2107" s="402" t="s">
        <v>5024</v>
      </c>
      <c r="M2107" s="402" t="s">
        <v>5024</v>
      </c>
      <c r="N2107" s="402" t="s">
        <v>5024</v>
      </c>
      <c r="O2107" s="402" t="s">
        <v>5024</v>
      </c>
      <c r="P2107" s="402" t="s">
        <v>5024</v>
      </c>
      <c r="Q2107" s="403" t="s">
        <v>5024</v>
      </c>
      <c r="R2107" s="233"/>
      <c r="S2107" s="234">
        <f>IF(C2107="",NA(),MATCH($B2107&amp;$C2107,'Smelter Reference List'!$J:$J,0))</f>
        <v>204</v>
      </c>
      <c r="T2107" s="235"/>
      <c r="U2107" s="235">
        <f t="shared" si="60"/>
        <v>0</v>
      </c>
      <c r="V2107" s="235"/>
      <c r="W2107" s="235"/>
      <c r="Y2107" s="228" t="str">
        <f t="shared" si="61"/>
        <v>GoldThe Refinery of Shandong Gold Mining Co., Ltd.</v>
      </c>
    </row>
    <row r="2108" spans="1:25" s="228" customFormat="1" ht="20.25">
      <c r="A2108" s="400" t="s">
        <v>1325</v>
      </c>
      <c r="B2108" s="396" t="s">
        <v>2323</v>
      </c>
      <c r="C2108" s="397" t="s">
        <v>4178</v>
      </c>
      <c r="D2108" s="396" t="s">
        <v>4178</v>
      </c>
      <c r="E2108" s="396" t="s">
        <v>2249</v>
      </c>
      <c r="F2108" s="396" t="s">
        <v>1325</v>
      </c>
      <c r="G2108" s="396" t="s">
        <v>3125</v>
      </c>
      <c r="H2108" s="398" t="s">
        <v>5024</v>
      </c>
      <c r="I2108" s="399" t="s">
        <v>3305</v>
      </c>
      <c r="J2108" s="399" t="s">
        <v>3179</v>
      </c>
      <c r="K2108" s="402" t="s">
        <v>5024</v>
      </c>
      <c r="L2108" s="402" t="s">
        <v>5024</v>
      </c>
      <c r="M2108" s="402" t="s">
        <v>5024</v>
      </c>
      <c r="N2108" s="402" t="s">
        <v>5024</v>
      </c>
      <c r="O2108" s="402" t="s">
        <v>5024</v>
      </c>
      <c r="P2108" s="402" t="s">
        <v>5024</v>
      </c>
      <c r="Q2108" s="403" t="s">
        <v>5024</v>
      </c>
      <c r="R2108" s="233"/>
      <c r="S2108" s="234">
        <f>IF(C2108="",NA(),MATCH($B2108&amp;$C2108,'Smelter Reference List'!$J:$J,0))</f>
        <v>205</v>
      </c>
      <c r="T2108" s="235"/>
      <c r="U2108" s="235">
        <f t="shared" si="60"/>
        <v>0</v>
      </c>
      <c r="V2108" s="235"/>
      <c r="W2108" s="235"/>
      <c r="Y2108" s="228" t="str">
        <f t="shared" si="61"/>
        <v>GoldTokuriki Honten Co., Ltd.</v>
      </c>
    </row>
    <row r="2109" spans="1:25" s="228" customFormat="1" ht="20.25">
      <c r="A2109" s="400" t="s">
        <v>1327</v>
      </c>
      <c r="B2109" s="396" t="s">
        <v>2323</v>
      </c>
      <c r="C2109" s="397" t="s">
        <v>1170</v>
      </c>
      <c r="D2109" s="396" t="s">
        <v>1170</v>
      </c>
      <c r="E2109" s="396" t="s">
        <v>5017</v>
      </c>
      <c r="F2109" s="396" t="s">
        <v>1327</v>
      </c>
      <c r="G2109" s="396" t="s">
        <v>3125</v>
      </c>
      <c r="H2109" s="398" t="s">
        <v>5024</v>
      </c>
      <c r="I2109" s="399" t="s">
        <v>3310</v>
      </c>
      <c r="J2109" s="399" t="s">
        <v>3311</v>
      </c>
      <c r="K2109" s="402" t="s">
        <v>5024</v>
      </c>
      <c r="L2109" s="402" t="s">
        <v>5024</v>
      </c>
      <c r="M2109" s="402" t="s">
        <v>5024</v>
      </c>
      <c r="N2109" s="402" t="s">
        <v>5024</v>
      </c>
      <c r="O2109" s="402" t="s">
        <v>5024</v>
      </c>
      <c r="P2109" s="402" t="s">
        <v>924</v>
      </c>
      <c r="Q2109" s="403" t="s">
        <v>5024</v>
      </c>
      <c r="R2109" s="233"/>
      <c r="S2109" s="234">
        <f>IF(C2109="",NA(),MATCH($B2109&amp;$C2109,'Smelter Reference List'!$J:$J,0))</f>
        <v>210</v>
      </c>
      <c r="T2109" s="235"/>
      <c r="U2109" s="235">
        <f t="shared" si="60"/>
        <v>0</v>
      </c>
      <c r="V2109" s="235"/>
      <c r="W2109" s="235"/>
      <c r="Y2109" s="228" t="str">
        <f t="shared" si="61"/>
        <v>GoldTorecom</v>
      </c>
    </row>
    <row r="2110" spans="1:25" s="228" customFormat="1" ht="20.25">
      <c r="A2110" s="400" t="s">
        <v>1328</v>
      </c>
      <c r="B2110" s="396" t="s">
        <v>2323</v>
      </c>
      <c r="C2110" s="397" t="s">
        <v>4179</v>
      </c>
      <c r="D2110" s="396" t="s">
        <v>4179</v>
      </c>
      <c r="E2110" s="396" t="s">
        <v>2170</v>
      </c>
      <c r="F2110" s="396" t="s">
        <v>1328</v>
      </c>
      <c r="G2110" s="396" t="s">
        <v>3125</v>
      </c>
      <c r="H2110" s="398" t="s">
        <v>5024</v>
      </c>
      <c r="I2110" s="399" t="s">
        <v>3312</v>
      </c>
      <c r="J2110" s="399" t="s">
        <v>3313</v>
      </c>
      <c r="K2110" s="402" t="s">
        <v>5024</v>
      </c>
      <c r="L2110" s="402" t="s">
        <v>5024</v>
      </c>
      <c r="M2110" s="402" t="s">
        <v>5024</v>
      </c>
      <c r="N2110" s="402" t="s">
        <v>5024</v>
      </c>
      <c r="O2110" s="402" t="s">
        <v>5024</v>
      </c>
      <c r="P2110" s="402" t="s">
        <v>5024</v>
      </c>
      <c r="Q2110" s="403" t="s">
        <v>5024</v>
      </c>
      <c r="R2110" s="233"/>
      <c r="S2110" s="234">
        <f>IF(C2110="",NA(),MATCH($B2110&amp;$C2110,'Smelter Reference List'!$J:$J,0))</f>
        <v>212</v>
      </c>
      <c r="T2110" s="235"/>
      <c r="U2110" s="235">
        <f t="shared" si="60"/>
        <v>0</v>
      </c>
      <c r="V2110" s="235"/>
      <c r="W2110" s="235"/>
      <c r="Y2110" s="228" t="str">
        <f t="shared" si="61"/>
        <v>GoldUmicore Brasil Ltda.</v>
      </c>
    </row>
    <row r="2111" spans="1:25" s="228" customFormat="1" ht="20.25">
      <c r="A2111" s="400" t="s">
        <v>208</v>
      </c>
      <c r="B2111" s="396" t="s">
        <v>2323</v>
      </c>
      <c r="C2111" s="397" t="s">
        <v>207</v>
      </c>
      <c r="D2111" s="396" t="s">
        <v>207</v>
      </c>
      <c r="E2111" s="396" t="s">
        <v>1743</v>
      </c>
      <c r="F2111" s="396" t="s">
        <v>208</v>
      </c>
      <c r="G2111" s="396" t="s">
        <v>3125</v>
      </c>
      <c r="H2111" s="398" t="s">
        <v>5024</v>
      </c>
      <c r="I2111" s="399" t="s">
        <v>3337</v>
      </c>
      <c r="J2111" s="399" t="s">
        <v>3338</v>
      </c>
      <c r="K2111" s="402" t="s">
        <v>5024</v>
      </c>
      <c r="L2111" s="402" t="s">
        <v>5024</v>
      </c>
      <c r="M2111" s="402" t="s">
        <v>5024</v>
      </c>
      <c r="N2111" s="402" t="s">
        <v>5024</v>
      </c>
      <c r="O2111" s="402" t="s">
        <v>5024</v>
      </c>
      <c r="P2111" s="402" t="s">
        <v>5024</v>
      </c>
      <c r="Q2111" s="403" t="s">
        <v>5024</v>
      </c>
      <c r="R2111" s="233"/>
      <c r="S2111" s="234">
        <f>IF(C2111="",NA(),MATCH($B2111&amp;$C2111,'Smelter Reference List'!$J:$J,0))</f>
        <v>213</v>
      </c>
      <c r="T2111" s="235"/>
      <c r="U2111" s="235">
        <f t="shared" si="60"/>
        <v>0</v>
      </c>
      <c r="V2111" s="235"/>
      <c r="W2111" s="235"/>
      <c r="Y2111" s="228" t="str">
        <f t="shared" si="61"/>
        <v>GoldUmicore Precious Metals Thailand</v>
      </c>
    </row>
    <row r="2112" spans="1:25" s="228" customFormat="1" ht="25.5">
      <c r="A2112" s="400" t="s">
        <v>1329</v>
      </c>
      <c r="B2112" s="396" t="s">
        <v>2323</v>
      </c>
      <c r="C2112" s="397" t="s">
        <v>4724</v>
      </c>
      <c r="D2112" s="396" t="s">
        <v>4724</v>
      </c>
      <c r="E2112" s="396" t="s">
        <v>2158</v>
      </c>
      <c r="F2112" s="396" t="s">
        <v>1329</v>
      </c>
      <c r="G2112" s="396" t="s">
        <v>3125</v>
      </c>
      <c r="H2112" s="398" t="s">
        <v>5024</v>
      </c>
      <c r="I2112" s="399" t="s">
        <v>3314</v>
      </c>
      <c r="J2112" s="399" t="s">
        <v>3315</v>
      </c>
      <c r="K2112" s="402" t="s">
        <v>5024</v>
      </c>
      <c r="L2112" s="402" t="s">
        <v>5024</v>
      </c>
      <c r="M2112" s="402" t="s">
        <v>5024</v>
      </c>
      <c r="N2112" s="402" t="s">
        <v>5024</v>
      </c>
      <c r="O2112" s="402" t="s">
        <v>5024</v>
      </c>
      <c r="P2112" s="402" t="s">
        <v>5024</v>
      </c>
      <c r="Q2112" s="403" t="s">
        <v>5024</v>
      </c>
      <c r="R2112" s="233"/>
      <c r="S2112" s="234">
        <f>IF(C2112="",NA(),MATCH($B2112&amp;$C2112,'Smelter Reference List'!$J:$J,0))</f>
        <v>214</v>
      </c>
      <c r="T2112" s="235"/>
      <c r="U2112" s="235">
        <f t="shared" si="60"/>
        <v>0</v>
      </c>
      <c r="V2112" s="235"/>
      <c r="W2112" s="235"/>
      <c r="Y2112" s="228" t="str">
        <f t="shared" si="61"/>
        <v>GoldUmicore S.A. Business Unit Precious Metals Refining</v>
      </c>
    </row>
    <row r="2113" spans="1:25" s="228" customFormat="1" ht="20.25">
      <c r="A2113" s="400" t="s">
        <v>1330</v>
      </c>
      <c r="B2113" s="396" t="s">
        <v>2323</v>
      </c>
      <c r="C2113" s="397" t="s">
        <v>1470</v>
      </c>
      <c r="D2113" s="396" t="s">
        <v>1470</v>
      </c>
      <c r="E2113" s="396" t="s">
        <v>5016</v>
      </c>
      <c r="F2113" s="396" t="s">
        <v>1330</v>
      </c>
      <c r="G2113" s="396" t="s">
        <v>3125</v>
      </c>
      <c r="H2113" s="398" t="s">
        <v>5024</v>
      </c>
      <c r="I2113" s="399" t="s">
        <v>3316</v>
      </c>
      <c r="J2113" s="399" t="s">
        <v>3230</v>
      </c>
      <c r="K2113" s="402" t="s">
        <v>5024</v>
      </c>
      <c r="L2113" s="402" t="s">
        <v>5024</v>
      </c>
      <c r="M2113" s="402" t="s">
        <v>5024</v>
      </c>
      <c r="N2113" s="402" t="s">
        <v>5024</v>
      </c>
      <c r="O2113" s="402" t="s">
        <v>5024</v>
      </c>
      <c r="P2113" s="402" t="s">
        <v>924</v>
      </c>
      <c r="Q2113" s="403" t="s">
        <v>5024</v>
      </c>
      <c r="R2113" s="233"/>
      <c r="S2113" s="234">
        <f>IF(C2113="",NA(),MATCH($B2113&amp;$C2113,'Smelter Reference List'!$J:$J,0))</f>
        <v>215</v>
      </c>
      <c r="T2113" s="235"/>
      <c r="U2113" s="235">
        <f t="shared" si="60"/>
        <v>0</v>
      </c>
      <c r="V2113" s="235"/>
      <c r="W2113" s="235"/>
      <c r="Y2113" s="228" t="str">
        <f t="shared" si="61"/>
        <v>GoldUnited Precious Metal Refining, Inc.</v>
      </c>
    </row>
    <row r="2114" spans="1:25" s="228" customFormat="1" ht="20.25">
      <c r="A2114" s="400" t="s">
        <v>1331</v>
      </c>
      <c r="B2114" s="396" t="s">
        <v>2323</v>
      </c>
      <c r="C2114" s="397" t="s">
        <v>4728</v>
      </c>
      <c r="D2114" s="396" t="s">
        <v>4728</v>
      </c>
      <c r="E2114" s="396" t="s">
        <v>2179</v>
      </c>
      <c r="F2114" s="396" t="s">
        <v>1331</v>
      </c>
      <c r="G2114" s="396" t="s">
        <v>3125</v>
      </c>
      <c r="H2114" s="398" t="s">
        <v>5024</v>
      </c>
      <c r="I2114" s="399" t="s">
        <v>3317</v>
      </c>
      <c r="J2114" s="399" t="s">
        <v>3138</v>
      </c>
      <c r="K2114" s="402" t="s">
        <v>5024</v>
      </c>
      <c r="L2114" s="402" t="s">
        <v>5024</v>
      </c>
      <c r="M2114" s="402" t="s">
        <v>5024</v>
      </c>
      <c r="N2114" s="402" t="s">
        <v>5024</v>
      </c>
      <c r="O2114" s="402" t="s">
        <v>5024</v>
      </c>
      <c r="P2114" s="402" t="s">
        <v>5024</v>
      </c>
      <c r="Q2114" s="403" t="s">
        <v>5024</v>
      </c>
      <c r="R2114" s="233"/>
      <c r="S2114" s="234">
        <f>IF(C2114="",NA(),MATCH($B2114&amp;$C2114,'Smelter Reference List'!$J:$J,0))</f>
        <v>217</v>
      </c>
      <c r="T2114" s="235"/>
      <c r="U2114" s="235">
        <f t="shared" si="60"/>
        <v>0</v>
      </c>
      <c r="V2114" s="235"/>
      <c r="W2114" s="235"/>
      <c r="Y2114" s="228" t="str">
        <f t="shared" si="61"/>
        <v>GoldValcambi S.A.</v>
      </c>
    </row>
    <row r="2115" spans="1:25" s="228" customFormat="1" ht="25.5">
      <c r="A2115" s="400" t="s">
        <v>1332</v>
      </c>
      <c r="B2115" s="396" t="s">
        <v>2323</v>
      </c>
      <c r="C2115" s="397" t="s">
        <v>2322</v>
      </c>
      <c r="D2115" s="396" t="s">
        <v>2322</v>
      </c>
      <c r="E2115" s="396" t="s">
        <v>2154</v>
      </c>
      <c r="F2115" s="396" t="s">
        <v>1332</v>
      </c>
      <c r="G2115" s="396" t="s">
        <v>3125</v>
      </c>
      <c r="H2115" s="398" t="s">
        <v>5024</v>
      </c>
      <c r="I2115" s="399" t="s">
        <v>3318</v>
      </c>
      <c r="J2115" s="399" t="s">
        <v>3319</v>
      </c>
      <c r="K2115" s="402" t="s">
        <v>5024</v>
      </c>
      <c r="L2115" s="402" t="s">
        <v>5024</v>
      </c>
      <c r="M2115" s="402" t="s">
        <v>5024</v>
      </c>
      <c r="N2115" s="402" t="s">
        <v>5024</v>
      </c>
      <c r="O2115" s="402" t="s">
        <v>5024</v>
      </c>
      <c r="P2115" s="402" t="s">
        <v>5024</v>
      </c>
      <c r="Q2115" s="403" t="s">
        <v>5024</v>
      </c>
      <c r="R2115" s="233"/>
      <c r="S2115" s="234">
        <f>IF(C2115="",NA(),MATCH($B2115&amp;$C2115,'Smelter Reference List'!$J:$J,0))</f>
        <v>218</v>
      </c>
      <c r="T2115" s="235"/>
      <c r="U2115" s="235">
        <f t="shared" si="60"/>
        <v>0</v>
      </c>
      <c r="V2115" s="235"/>
      <c r="W2115" s="235"/>
      <c r="Y2115" s="228" t="str">
        <f t="shared" si="61"/>
        <v>GoldWestern Australian Mint trading as The Perth Mint</v>
      </c>
    </row>
    <row r="2116" spans="1:25" s="228" customFormat="1" ht="20.25">
      <c r="A2116" s="400" t="s">
        <v>4274</v>
      </c>
      <c r="B2116" s="396" t="s">
        <v>2323</v>
      </c>
      <c r="C2116" s="397" t="s">
        <v>4271</v>
      </c>
      <c r="D2116" s="396" t="s">
        <v>4271</v>
      </c>
      <c r="E2116" s="396" t="s">
        <v>2195</v>
      </c>
      <c r="F2116" s="396" t="s">
        <v>4274</v>
      </c>
      <c r="G2116" s="396" t="s">
        <v>3125</v>
      </c>
      <c r="H2116" s="398" t="s">
        <v>5024</v>
      </c>
      <c r="I2116" s="399" t="s">
        <v>3130</v>
      </c>
      <c r="J2116" s="399" t="s">
        <v>3131</v>
      </c>
      <c r="K2116" s="402" t="s">
        <v>5024</v>
      </c>
      <c r="L2116" s="402" t="s">
        <v>5024</v>
      </c>
      <c r="M2116" s="402" t="s">
        <v>5024</v>
      </c>
      <c r="N2116" s="402" t="s">
        <v>5024</v>
      </c>
      <c r="O2116" s="402" t="s">
        <v>5024</v>
      </c>
      <c r="P2116" s="402" t="s">
        <v>924</v>
      </c>
      <c r="Q2116" s="403" t="s">
        <v>5024</v>
      </c>
      <c r="R2116" s="233"/>
      <c r="S2116" s="234">
        <f>IF(C2116="",NA(),MATCH($B2116&amp;$C2116,'Smelter Reference List'!$J:$J,0))</f>
        <v>219</v>
      </c>
      <c r="T2116" s="235"/>
      <c r="U2116" s="235">
        <f t="shared" si="60"/>
        <v>0</v>
      </c>
      <c r="V2116" s="235"/>
      <c r="W2116" s="235"/>
      <c r="Y2116" s="228" t="str">
        <f t="shared" si="61"/>
        <v>GoldWIELAND Edelmetalle GmbH</v>
      </c>
    </row>
    <row r="2117" spans="1:25" s="228" customFormat="1" ht="20.25">
      <c r="A2117" s="400" t="s">
        <v>1333</v>
      </c>
      <c r="B2117" s="396" t="s">
        <v>2323</v>
      </c>
      <c r="C2117" s="397" t="s">
        <v>4181</v>
      </c>
      <c r="D2117" s="396" t="s">
        <v>4181</v>
      </c>
      <c r="E2117" s="396" t="s">
        <v>2249</v>
      </c>
      <c r="F2117" s="396" t="s">
        <v>1333</v>
      </c>
      <c r="G2117" s="396" t="s">
        <v>3125</v>
      </c>
      <c r="H2117" s="398" t="s">
        <v>5024</v>
      </c>
      <c r="I2117" s="399" t="s">
        <v>3201</v>
      </c>
      <c r="J2117" s="399" t="s">
        <v>3202</v>
      </c>
      <c r="K2117" s="402" t="s">
        <v>5024</v>
      </c>
      <c r="L2117" s="402" t="s">
        <v>5024</v>
      </c>
      <c r="M2117" s="402" t="s">
        <v>5024</v>
      </c>
      <c r="N2117" s="402" t="s">
        <v>5024</v>
      </c>
      <c r="O2117" s="402" t="s">
        <v>5024</v>
      </c>
      <c r="P2117" s="402" t="s">
        <v>925</v>
      </c>
      <c r="Q2117" s="403" t="s">
        <v>5024</v>
      </c>
      <c r="R2117" s="233"/>
      <c r="S2117" s="234">
        <f>IF(C2117="",NA(),MATCH($B2117&amp;$C2117,'Smelter Reference List'!$J:$J,0))</f>
        <v>222</v>
      </c>
      <c r="T2117" s="235"/>
      <c r="U2117" s="235">
        <f t="shared" si="60"/>
        <v>0</v>
      </c>
      <c r="V2117" s="235"/>
      <c r="W2117" s="235"/>
      <c r="Y2117" s="228" t="str">
        <f t="shared" si="61"/>
        <v>GoldYamamoto Precious Metal Co., Ltd.</v>
      </c>
    </row>
    <row r="2118" spans="1:25" s="228" customFormat="1" ht="20.25">
      <c r="A2118" s="400" t="s">
        <v>1334</v>
      </c>
      <c r="B2118" s="396" t="s">
        <v>2323</v>
      </c>
      <c r="C2118" s="397" t="s">
        <v>4182</v>
      </c>
      <c r="D2118" s="396" t="s">
        <v>4182</v>
      </c>
      <c r="E2118" s="396" t="s">
        <v>2249</v>
      </c>
      <c r="F2118" s="396" t="s">
        <v>1334</v>
      </c>
      <c r="G2118" s="396" t="s">
        <v>3125</v>
      </c>
      <c r="H2118" s="398" t="s">
        <v>5024</v>
      </c>
      <c r="I2118" s="399" t="s">
        <v>3325</v>
      </c>
      <c r="J2118" s="399" t="s">
        <v>3300</v>
      </c>
      <c r="K2118" s="402" t="s">
        <v>5024</v>
      </c>
      <c r="L2118" s="402" t="s">
        <v>5024</v>
      </c>
      <c r="M2118" s="402" t="s">
        <v>5024</v>
      </c>
      <c r="N2118" s="402" t="s">
        <v>5024</v>
      </c>
      <c r="O2118" s="402" t="s">
        <v>5024</v>
      </c>
      <c r="P2118" s="402" t="s">
        <v>924</v>
      </c>
      <c r="Q2118" s="403" t="s">
        <v>5024</v>
      </c>
      <c r="R2118" s="233"/>
      <c r="S2118" s="234">
        <f>IF(C2118="",NA(),MATCH($B2118&amp;$C2118,'Smelter Reference List'!$J:$J,0))</f>
        <v>225</v>
      </c>
      <c r="T2118" s="235"/>
      <c r="U2118" s="235">
        <f t="shared" ref="U2118:U2181" si="62">IF(AND(C2118="Smelter not listed",OR(LEN(D2118)=0,LEN(E2118)=0)),1,0)</f>
        <v>0</v>
      </c>
      <c r="V2118" s="235"/>
      <c r="W2118" s="235"/>
      <c r="Y2118" s="228" t="str">
        <f t="shared" ref="Y2118:Y2181" si="63">B2118&amp;C2118</f>
        <v>GoldYokohama Metal Co., Ltd.</v>
      </c>
    </row>
    <row r="2119" spans="1:25" s="228" customFormat="1" ht="25.5">
      <c r="A2119" s="400" t="s">
        <v>1336</v>
      </c>
      <c r="B2119" s="396" t="s">
        <v>2323</v>
      </c>
      <c r="C2119" s="397" t="s">
        <v>2575</v>
      </c>
      <c r="D2119" s="396" t="s">
        <v>2575</v>
      </c>
      <c r="E2119" s="396" t="s">
        <v>2181</v>
      </c>
      <c r="F2119" s="396" t="s">
        <v>1336</v>
      </c>
      <c r="G2119" s="396" t="s">
        <v>3125</v>
      </c>
      <c r="H2119" s="398" t="s">
        <v>5024</v>
      </c>
      <c r="I2119" s="399" t="s">
        <v>3326</v>
      </c>
      <c r="J2119" s="399" t="s">
        <v>3224</v>
      </c>
      <c r="K2119" s="402" t="s">
        <v>5024</v>
      </c>
      <c r="L2119" s="402" t="s">
        <v>5024</v>
      </c>
      <c r="M2119" s="402" t="s">
        <v>5024</v>
      </c>
      <c r="N2119" s="402" t="s">
        <v>5024</v>
      </c>
      <c r="O2119" s="402" t="s">
        <v>5024</v>
      </c>
      <c r="P2119" s="402" t="s">
        <v>5024</v>
      </c>
      <c r="Q2119" s="403" t="s">
        <v>5024</v>
      </c>
      <c r="R2119" s="233"/>
      <c r="S2119" s="234">
        <f>IF(C2119="",NA(),MATCH($B2119&amp;$C2119,'Smelter Reference List'!$J:$J,0))</f>
        <v>234</v>
      </c>
      <c r="T2119" s="235"/>
      <c r="U2119" s="235">
        <f t="shared" si="62"/>
        <v>0</v>
      </c>
      <c r="V2119" s="235"/>
      <c r="W2119" s="235"/>
      <c r="Y2119" s="228" t="str">
        <f t="shared" si="63"/>
        <v>GoldZhongyuan Gold Smelter of Zhongjin Gold Corporation</v>
      </c>
    </row>
    <row r="2120" spans="1:25" s="228" customFormat="1" ht="20.25">
      <c r="A2120" s="400" t="s">
        <v>1337</v>
      </c>
      <c r="B2120" s="396" t="s">
        <v>2323</v>
      </c>
      <c r="C2120" s="397" t="s">
        <v>4290</v>
      </c>
      <c r="D2120" s="396" t="s">
        <v>4290</v>
      </c>
      <c r="E2120" s="396" t="s">
        <v>2181</v>
      </c>
      <c r="F2120" s="396" t="s">
        <v>1337</v>
      </c>
      <c r="G2120" s="396" t="s">
        <v>3125</v>
      </c>
      <c r="H2120" s="398" t="s">
        <v>5024</v>
      </c>
      <c r="I2120" s="399" t="s">
        <v>3331</v>
      </c>
      <c r="J2120" s="399" t="s">
        <v>3332</v>
      </c>
      <c r="K2120" s="402" t="s">
        <v>5024</v>
      </c>
      <c r="L2120" s="402" t="s">
        <v>5024</v>
      </c>
      <c r="M2120" s="402" t="s">
        <v>5024</v>
      </c>
      <c r="N2120" s="402" t="s">
        <v>5024</v>
      </c>
      <c r="O2120" s="402" t="s">
        <v>5024</v>
      </c>
      <c r="P2120" s="402" t="s">
        <v>5024</v>
      </c>
      <c r="Q2120" s="403" t="s">
        <v>5024</v>
      </c>
      <c r="R2120" s="233"/>
      <c r="S2120" s="234">
        <f>IF(C2120="",NA(),MATCH($B2120&amp;$C2120,'Smelter Reference List'!$J:$J,0))</f>
        <v>236</v>
      </c>
      <c r="T2120" s="235"/>
      <c r="U2120" s="235">
        <f t="shared" si="62"/>
        <v>0</v>
      </c>
      <c r="V2120" s="235"/>
      <c r="W2120" s="235"/>
      <c r="Y2120" s="228" t="str">
        <f t="shared" si="63"/>
        <v>GoldZijin Mining Group Co., Ltd. Gold Refinery</v>
      </c>
    </row>
    <row r="2121" spans="1:25" s="228" customFormat="1" ht="25.5">
      <c r="A2121" s="400" t="s">
        <v>4275</v>
      </c>
      <c r="B2121" s="396" t="s">
        <v>2323</v>
      </c>
      <c r="C2121" s="397" t="s">
        <v>4272</v>
      </c>
      <c r="D2121" s="396" t="s">
        <v>4272</v>
      </c>
      <c r="E2121" s="396" t="s">
        <v>2155</v>
      </c>
      <c r="F2121" s="396" t="s">
        <v>4275</v>
      </c>
      <c r="G2121" s="396" t="s">
        <v>3125</v>
      </c>
      <c r="H2121" s="398" t="s">
        <v>5024</v>
      </c>
      <c r="I2121" s="399" t="s">
        <v>4276</v>
      </c>
      <c r="J2121" s="399" t="s">
        <v>4276</v>
      </c>
      <c r="K2121" s="402" t="s">
        <v>5024</v>
      </c>
      <c r="L2121" s="402" t="s">
        <v>5024</v>
      </c>
      <c r="M2121" s="402" t="s">
        <v>5024</v>
      </c>
      <c r="N2121" s="402" t="s">
        <v>5024</v>
      </c>
      <c r="O2121" s="402" t="s">
        <v>5024</v>
      </c>
      <c r="P2121" s="402" t="s">
        <v>5024</v>
      </c>
      <c r="Q2121" s="403" t="s">
        <v>5024</v>
      </c>
      <c r="R2121" s="233"/>
      <c r="S2121" s="234">
        <f>IF(C2121="",NA(),MATCH($B2121&amp;$C2121,'Smelter Reference List'!$J:$J,0))</f>
        <v>139</v>
      </c>
      <c r="T2121" s="235"/>
      <c r="U2121" s="235">
        <f t="shared" si="62"/>
        <v>0</v>
      </c>
      <c r="V2121" s="235"/>
      <c r="W2121" s="235"/>
      <c r="Y2121" s="228" t="str">
        <f t="shared" si="63"/>
        <v>GoldÖgussa Österreichische Gold- und Silber-Scheideanstalt GmbH</v>
      </c>
    </row>
    <row r="2122" spans="1:25" s="228" customFormat="1" ht="20.25">
      <c r="A2122" s="400" t="s">
        <v>1408</v>
      </c>
      <c r="B2122" s="396" t="s">
        <v>2326</v>
      </c>
      <c r="C2122" s="397" t="s">
        <v>3552</v>
      </c>
      <c r="D2122" s="396" t="s">
        <v>3552</v>
      </c>
      <c r="E2122" s="396" t="s">
        <v>2249</v>
      </c>
      <c r="F2122" s="396" t="s">
        <v>1408</v>
      </c>
      <c r="G2122" s="396" t="s">
        <v>3125</v>
      </c>
      <c r="H2122" s="398" t="s">
        <v>5024</v>
      </c>
      <c r="I2122" s="399" t="s">
        <v>4135</v>
      </c>
      <c r="J2122" s="399" t="s">
        <v>4136</v>
      </c>
      <c r="K2122" s="402" t="s">
        <v>5024</v>
      </c>
      <c r="L2122" s="402" t="s">
        <v>5024</v>
      </c>
      <c r="M2122" s="402" t="s">
        <v>5024</v>
      </c>
      <c r="N2122" s="402" t="s">
        <v>5024</v>
      </c>
      <c r="O2122" s="402" t="s">
        <v>5024</v>
      </c>
      <c r="P2122" s="402" t="s">
        <v>925</v>
      </c>
      <c r="Q2122" s="403" t="s">
        <v>5024</v>
      </c>
      <c r="R2122" s="233"/>
      <c r="S2122" s="234">
        <f>IF(C2122="",NA(),MATCH($B2122&amp;$C2122,'Smelter Reference List'!$J:$J,0))</f>
        <v>469</v>
      </c>
      <c r="T2122" s="235"/>
      <c r="U2122" s="235">
        <f t="shared" si="62"/>
        <v>0</v>
      </c>
      <c r="V2122" s="235"/>
      <c r="W2122" s="235"/>
      <c r="Y2122" s="228" t="str">
        <f t="shared" si="63"/>
        <v>TungstenA.L.M.T. TUNGSTEN Corp.</v>
      </c>
    </row>
    <row r="2123" spans="1:25" s="228" customFormat="1" ht="20.25">
      <c r="A2123" s="400" t="s">
        <v>2716</v>
      </c>
      <c r="B2123" s="396" t="s">
        <v>2326</v>
      </c>
      <c r="C2123" s="397" t="s">
        <v>2715</v>
      </c>
      <c r="D2123" s="396" t="s">
        <v>2715</v>
      </c>
      <c r="E2123" s="396" t="s">
        <v>1766</v>
      </c>
      <c r="F2123" s="396" t="s">
        <v>2716</v>
      </c>
      <c r="G2123" s="396" t="s">
        <v>3125</v>
      </c>
      <c r="H2123" s="398" t="s">
        <v>5024</v>
      </c>
      <c r="I2123" s="399" t="s">
        <v>3577</v>
      </c>
      <c r="J2123" s="399" t="s">
        <v>3578</v>
      </c>
      <c r="K2123" s="402" t="s">
        <v>5024</v>
      </c>
      <c r="L2123" s="402" t="s">
        <v>5024</v>
      </c>
      <c r="M2123" s="402" t="s">
        <v>5024</v>
      </c>
      <c r="N2123" s="402" t="s">
        <v>5024</v>
      </c>
      <c r="O2123" s="402" t="s">
        <v>5024</v>
      </c>
      <c r="P2123" s="402" t="s">
        <v>925</v>
      </c>
      <c r="Q2123" s="403" t="s">
        <v>5024</v>
      </c>
      <c r="R2123" s="233"/>
      <c r="S2123" s="234">
        <f>IF(C2123="",NA(),MATCH($B2123&amp;$C2123,'Smelter Reference List'!$J:$J,0))</f>
        <v>474</v>
      </c>
      <c r="T2123" s="235"/>
      <c r="U2123" s="235">
        <f t="shared" si="62"/>
        <v>0</v>
      </c>
      <c r="V2123" s="235"/>
      <c r="W2123" s="235"/>
      <c r="Y2123" s="228" t="str">
        <f t="shared" si="63"/>
        <v>TungstenAsia Tungsten Products Vietnam Ltd.</v>
      </c>
    </row>
    <row r="2124" spans="1:25" s="228" customFormat="1" ht="25.5">
      <c r="A2124" s="400" t="s">
        <v>2718</v>
      </c>
      <c r="B2124" s="396" t="s">
        <v>2326</v>
      </c>
      <c r="C2124" s="397" t="s">
        <v>2717</v>
      </c>
      <c r="D2124" s="396" t="s">
        <v>2717</v>
      </c>
      <c r="E2124" s="396" t="s">
        <v>2181</v>
      </c>
      <c r="F2124" s="396" t="s">
        <v>2718</v>
      </c>
      <c r="G2124" s="396" t="s">
        <v>3125</v>
      </c>
      <c r="H2124" s="398" t="s">
        <v>5024</v>
      </c>
      <c r="I2124" s="399" t="s">
        <v>3475</v>
      </c>
      <c r="J2124" s="399" t="s">
        <v>3186</v>
      </c>
      <c r="K2124" s="402" t="s">
        <v>5024</v>
      </c>
      <c r="L2124" s="402" t="s">
        <v>5024</v>
      </c>
      <c r="M2124" s="402" t="s">
        <v>5024</v>
      </c>
      <c r="N2124" s="402" t="s">
        <v>5024</v>
      </c>
      <c r="O2124" s="402" t="s">
        <v>5024</v>
      </c>
      <c r="P2124" s="402" t="s">
        <v>925</v>
      </c>
      <c r="Q2124" s="403" t="s">
        <v>5024</v>
      </c>
      <c r="R2124" s="233"/>
      <c r="S2124" s="234">
        <f>IF(C2124="",NA(),MATCH($B2124&amp;$C2124,'Smelter Reference List'!$J:$J,0))</f>
        <v>478</v>
      </c>
      <c r="T2124" s="235"/>
      <c r="U2124" s="235">
        <f t="shared" si="62"/>
        <v>0</v>
      </c>
      <c r="V2124" s="235"/>
      <c r="W2124" s="235"/>
      <c r="Y2124" s="228" t="str">
        <f t="shared" si="63"/>
        <v>TungstenChenzhou Diamond Tungsten Products Co., Ltd.</v>
      </c>
    </row>
    <row r="2125" spans="1:25" s="228" customFormat="1" ht="20.25">
      <c r="A2125" s="400" t="s">
        <v>1411</v>
      </c>
      <c r="B2125" s="396" t="s">
        <v>2326</v>
      </c>
      <c r="C2125" s="397" t="s">
        <v>2659</v>
      </c>
      <c r="D2125" s="396" t="s">
        <v>2659</v>
      </c>
      <c r="E2125" s="396" t="s">
        <v>2181</v>
      </c>
      <c r="F2125" s="396" t="s">
        <v>1411</v>
      </c>
      <c r="G2125" s="396" t="s">
        <v>3125</v>
      </c>
      <c r="H2125" s="398" t="s">
        <v>5024</v>
      </c>
      <c r="I2125" s="399" t="s">
        <v>3471</v>
      </c>
      <c r="J2125" s="399" t="s">
        <v>3204</v>
      </c>
      <c r="K2125" s="402" t="s">
        <v>5024</v>
      </c>
      <c r="L2125" s="402" t="s">
        <v>5024</v>
      </c>
      <c r="M2125" s="402" t="s">
        <v>5024</v>
      </c>
      <c r="N2125" s="402" t="s">
        <v>5024</v>
      </c>
      <c r="O2125" s="402" t="s">
        <v>5024</v>
      </c>
      <c r="P2125" s="402" t="s">
        <v>925</v>
      </c>
      <c r="Q2125" s="403" t="s">
        <v>5024</v>
      </c>
      <c r="R2125" s="233"/>
      <c r="S2125" s="234">
        <f>IF(C2125="",NA(),MATCH($B2125&amp;$C2125,'Smelter Reference List'!$J:$J,0))</f>
        <v>480</v>
      </c>
      <c r="T2125" s="235"/>
      <c r="U2125" s="235">
        <f t="shared" si="62"/>
        <v>0</v>
      </c>
      <c r="V2125" s="235"/>
      <c r="W2125" s="235"/>
      <c r="Y2125" s="228" t="str">
        <f t="shared" si="63"/>
        <v>TungstenChongyi Zhangyuan Tungsten Co., Ltd.</v>
      </c>
    </row>
    <row r="2126" spans="1:25" s="228" customFormat="1" ht="20.25">
      <c r="A2126" s="400" t="s">
        <v>1413</v>
      </c>
      <c r="B2126" s="396" t="s">
        <v>2326</v>
      </c>
      <c r="C2126" s="397" t="s">
        <v>1464</v>
      </c>
      <c r="D2126" s="396" t="s">
        <v>1464</v>
      </c>
      <c r="E2126" s="396" t="s">
        <v>2181</v>
      </c>
      <c r="F2126" s="396" t="s">
        <v>1413</v>
      </c>
      <c r="G2126" s="396" t="s">
        <v>3125</v>
      </c>
      <c r="H2126" s="398" t="s">
        <v>5024</v>
      </c>
      <c r="I2126" s="399" t="s">
        <v>3559</v>
      </c>
      <c r="J2126" s="399" t="s">
        <v>3332</v>
      </c>
      <c r="K2126" s="402" t="s">
        <v>5024</v>
      </c>
      <c r="L2126" s="402" t="s">
        <v>5024</v>
      </c>
      <c r="M2126" s="402" t="s">
        <v>5024</v>
      </c>
      <c r="N2126" s="402" t="s">
        <v>5024</v>
      </c>
      <c r="O2126" s="402" t="s">
        <v>5024</v>
      </c>
      <c r="P2126" s="402" t="s">
        <v>925</v>
      </c>
      <c r="Q2126" s="403" t="s">
        <v>5024</v>
      </c>
      <c r="R2126" s="233"/>
      <c r="S2126" s="234">
        <f>IF(C2126="",NA(),MATCH($B2126&amp;$C2126,'Smelter Reference List'!$J:$J,0))</f>
        <v>483</v>
      </c>
      <c r="T2126" s="235"/>
      <c r="U2126" s="235">
        <f t="shared" si="62"/>
        <v>0</v>
      </c>
      <c r="V2126" s="235"/>
      <c r="W2126" s="235"/>
      <c r="Y2126" s="228" t="str">
        <f t="shared" si="63"/>
        <v>TungstenFujian Jinxin Tungsten Co., Ltd.</v>
      </c>
    </row>
    <row r="2127" spans="1:25" s="228" customFormat="1" ht="20.25">
      <c r="A2127" s="400" t="s">
        <v>1419</v>
      </c>
      <c r="B2127" s="396" t="s">
        <v>2326</v>
      </c>
      <c r="C2127" s="397" t="s">
        <v>211</v>
      </c>
      <c r="D2127" s="396" t="s">
        <v>211</v>
      </c>
      <c r="E2127" s="396" t="s">
        <v>2181</v>
      </c>
      <c r="F2127" s="396" t="s">
        <v>1419</v>
      </c>
      <c r="G2127" s="396" t="s">
        <v>3125</v>
      </c>
      <c r="H2127" s="398" t="s">
        <v>5024</v>
      </c>
      <c r="I2127" s="399" t="s">
        <v>3471</v>
      </c>
      <c r="J2127" s="399" t="s">
        <v>3204</v>
      </c>
      <c r="K2127" s="402" t="s">
        <v>5024</v>
      </c>
      <c r="L2127" s="402" t="s">
        <v>5024</v>
      </c>
      <c r="M2127" s="402" t="s">
        <v>5024</v>
      </c>
      <c r="N2127" s="402" t="s">
        <v>5024</v>
      </c>
      <c r="O2127" s="402" t="s">
        <v>5024</v>
      </c>
      <c r="P2127" s="402" t="s">
        <v>925</v>
      </c>
      <c r="Q2127" s="403" t="s">
        <v>5024</v>
      </c>
      <c r="R2127" s="233"/>
      <c r="S2127" s="234">
        <f>IF(C2127="",NA(),MATCH($B2127&amp;$C2127,'Smelter Reference List'!$J:$J,0))</f>
        <v>485</v>
      </c>
      <c r="T2127" s="235"/>
      <c r="U2127" s="235">
        <f t="shared" si="62"/>
        <v>0</v>
      </c>
      <c r="V2127" s="235"/>
      <c r="W2127" s="235"/>
      <c r="Y2127" s="228" t="str">
        <f t="shared" si="63"/>
        <v>TungstenGanzhou Huaxing Tungsten Products Co., Ltd.</v>
      </c>
    </row>
    <row r="2128" spans="1:25" s="228" customFormat="1" ht="20.25">
      <c r="A2128" s="400" t="s">
        <v>201</v>
      </c>
      <c r="B2128" s="396" t="s">
        <v>2326</v>
      </c>
      <c r="C2128" s="397" t="s">
        <v>213</v>
      </c>
      <c r="D2128" s="396" t="s">
        <v>213</v>
      </c>
      <c r="E2128" s="396" t="s">
        <v>2181</v>
      </c>
      <c r="F2128" s="396" t="s">
        <v>201</v>
      </c>
      <c r="G2128" s="396" t="s">
        <v>3125</v>
      </c>
      <c r="H2128" s="398" t="s">
        <v>5024</v>
      </c>
      <c r="I2128" s="399" t="s">
        <v>3471</v>
      </c>
      <c r="J2128" s="399" t="s">
        <v>3204</v>
      </c>
      <c r="K2128" s="402" t="s">
        <v>5024</v>
      </c>
      <c r="L2128" s="402" t="s">
        <v>5024</v>
      </c>
      <c r="M2128" s="402" t="s">
        <v>5024</v>
      </c>
      <c r="N2128" s="402" t="s">
        <v>5024</v>
      </c>
      <c r="O2128" s="402" t="s">
        <v>5024</v>
      </c>
      <c r="P2128" s="402" t="s">
        <v>925</v>
      </c>
      <c r="Q2128" s="403" t="s">
        <v>5024</v>
      </c>
      <c r="R2128" s="233"/>
      <c r="S2128" s="234">
        <f>IF(C2128="",NA(),MATCH($B2128&amp;$C2128,'Smelter Reference List'!$J:$J,0))</f>
        <v>486</v>
      </c>
      <c r="T2128" s="235"/>
      <c r="U2128" s="235">
        <f t="shared" si="62"/>
        <v>0</v>
      </c>
      <c r="V2128" s="235"/>
      <c r="W2128" s="235"/>
      <c r="Y2128" s="228" t="str">
        <f t="shared" si="63"/>
        <v>TungstenGanzhou Jiangwu Ferrotungsten Co., Ltd.</v>
      </c>
    </row>
    <row r="2129" spans="1:25" s="228" customFormat="1" ht="20.25">
      <c r="A2129" s="400" t="s">
        <v>722</v>
      </c>
      <c r="B2129" s="396" t="s">
        <v>2326</v>
      </c>
      <c r="C2129" s="397" t="s">
        <v>721</v>
      </c>
      <c r="D2129" s="396" t="s">
        <v>721</v>
      </c>
      <c r="E2129" s="396" t="s">
        <v>2181</v>
      </c>
      <c r="F2129" s="396" t="s">
        <v>722</v>
      </c>
      <c r="G2129" s="396" t="s">
        <v>3125</v>
      </c>
      <c r="H2129" s="398" t="s">
        <v>5024</v>
      </c>
      <c r="I2129" s="399" t="s">
        <v>3471</v>
      </c>
      <c r="J2129" s="399" t="s">
        <v>3204</v>
      </c>
      <c r="K2129" s="402" t="s">
        <v>5024</v>
      </c>
      <c r="L2129" s="402" t="s">
        <v>5024</v>
      </c>
      <c r="M2129" s="402" t="s">
        <v>5024</v>
      </c>
      <c r="N2129" s="402" t="s">
        <v>5024</v>
      </c>
      <c r="O2129" s="402" t="s">
        <v>5024</v>
      </c>
      <c r="P2129" s="402" t="s">
        <v>925</v>
      </c>
      <c r="Q2129" s="403" t="s">
        <v>5024</v>
      </c>
      <c r="R2129" s="233"/>
      <c r="S2129" s="234">
        <f>IF(C2129="",NA(),MATCH($B2129&amp;$C2129,'Smelter Reference List'!$J:$J,0))</f>
        <v>488</v>
      </c>
      <c r="T2129" s="235"/>
      <c r="U2129" s="235">
        <f t="shared" si="62"/>
        <v>0</v>
      </c>
      <c r="V2129" s="235"/>
      <c r="W2129" s="235"/>
      <c r="Y2129" s="228" t="str">
        <f t="shared" si="63"/>
        <v>TungstenGanzhou Seadragon W &amp; Mo Co., Ltd.</v>
      </c>
    </row>
    <row r="2130" spans="1:25" s="228" customFormat="1" ht="20.25">
      <c r="A2130" s="400" t="s">
        <v>1414</v>
      </c>
      <c r="B2130" s="396" t="s">
        <v>2326</v>
      </c>
      <c r="C2130" s="397" t="s">
        <v>1</v>
      </c>
      <c r="D2130" s="396" t="s">
        <v>1</v>
      </c>
      <c r="E2130" s="396" t="s">
        <v>5016</v>
      </c>
      <c r="F2130" s="396" t="s">
        <v>1414</v>
      </c>
      <c r="G2130" s="396" t="s">
        <v>3125</v>
      </c>
      <c r="H2130" s="398" t="s">
        <v>5024</v>
      </c>
      <c r="I2130" s="399" t="s">
        <v>3560</v>
      </c>
      <c r="J2130" s="399" t="s">
        <v>3401</v>
      </c>
      <c r="K2130" s="402" t="s">
        <v>5024</v>
      </c>
      <c r="L2130" s="402" t="s">
        <v>5024</v>
      </c>
      <c r="M2130" s="402" t="s">
        <v>5024</v>
      </c>
      <c r="N2130" s="402" t="s">
        <v>5024</v>
      </c>
      <c r="O2130" s="402" t="s">
        <v>5024</v>
      </c>
      <c r="P2130" s="402" t="s">
        <v>925</v>
      </c>
      <c r="Q2130" s="403" t="s">
        <v>5024</v>
      </c>
      <c r="R2130" s="233"/>
      <c r="S2130" s="234">
        <f>IF(C2130="",NA(),MATCH($B2130&amp;$C2130,'Smelter Reference List'!$J:$J,0))</f>
        <v>490</v>
      </c>
      <c r="T2130" s="235"/>
      <c r="U2130" s="235">
        <f t="shared" si="62"/>
        <v>0</v>
      </c>
      <c r="V2130" s="235"/>
      <c r="W2130" s="235"/>
      <c r="Y2130" s="228" t="str">
        <f t="shared" si="63"/>
        <v>TungstenGlobal Tungsten &amp; Powders Corp.</v>
      </c>
    </row>
    <row r="2131" spans="1:25" s="228" customFormat="1" ht="20.25">
      <c r="A2131" s="400" t="s">
        <v>1410</v>
      </c>
      <c r="B2131" s="396" t="s">
        <v>2326</v>
      </c>
      <c r="C2131" s="397" t="s">
        <v>2660</v>
      </c>
      <c r="D2131" s="396" t="s">
        <v>2660</v>
      </c>
      <c r="E2131" s="396" t="s">
        <v>2181</v>
      </c>
      <c r="F2131" s="396" t="s">
        <v>1410</v>
      </c>
      <c r="G2131" s="396" t="s">
        <v>3125</v>
      </c>
      <c r="H2131" s="398" t="s">
        <v>5024</v>
      </c>
      <c r="I2131" s="399" t="s">
        <v>3557</v>
      </c>
      <c r="J2131" s="399" t="s">
        <v>3335</v>
      </c>
      <c r="K2131" s="402" t="s">
        <v>5024</v>
      </c>
      <c r="L2131" s="402" t="s">
        <v>5024</v>
      </c>
      <c r="M2131" s="402" t="s">
        <v>5024</v>
      </c>
      <c r="N2131" s="402" t="s">
        <v>5024</v>
      </c>
      <c r="O2131" s="402" t="s">
        <v>5024</v>
      </c>
      <c r="P2131" s="402" t="s">
        <v>925</v>
      </c>
      <c r="Q2131" s="403" t="s">
        <v>5024</v>
      </c>
      <c r="R2131" s="233"/>
      <c r="S2131" s="234">
        <f>IF(C2131="",NA(),MATCH($B2131&amp;$C2131,'Smelter Reference List'!$J:$J,0))</f>
        <v>492</v>
      </c>
      <c r="T2131" s="235"/>
      <c r="U2131" s="235">
        <f t="shared" si="62"/>
        <v>0</v>
      </c>
      <c r="V2131" s="235"/>
      <c r="W2131" s="235"/>
      <c r="Y2131" s="228" t="str">
        <f t="shared" si="63"/>
        <v>TungstenGuangdong Xianglu Tungsten Co., Ltd.</v>
      </c>
    </row>
    <row r="2132" spans="1:25" s="228" customFormat="1" ht="20.25">
      <c r="A2132" s="400" t="s">
        <v>2761</v>
      </c>
      <c r="B2132" s="396" t="s">
        <v>2326</v>
      </c>
      <c r="C2132" s="397" t="s">
        <v>2749</v>
      </c>
      <c r="D2132" s="396" t="s">
        <v>2749</v>
      </c>
      <c r="E2132" s="396" t="s">
        <v>2195</v>
      </c>
      <c r="F2132" s="396" t="s">
        <v>2761</v>
      </c>
      <c r="G2132" s="396" t="s">
        <v>3125</v>
      </c>
      <c r="H2132" s="398" t="s">
        <v>5024</v>
      </c>
      <c r="I2132" s="399" t="s">
        <v>3420</v>
      </c>
      <c r="J2132" s="399" t="s">
        <v>3131</v>
      </c>
      <c r="K2132" s="402" t="s">
        <v>5024</v>
      </c>
      <c r="L2132" s="402" t="s">
        <v>5024</v>
      </c>
      <c r="M2132" s="402" t="s">
        <v>5024</v>
      </c>
      <c r="N2132" s="402" t="s">
        <v>5024</v>
      </c>
      <c r="O2132" s="402" t="s">
        <v>5024</v>
      </c>
      <c r="P2132" s="402" t="s">
        <v>925</v>
      </c>
      <c r="Q2132" s="403" t="s">
        <v>5024</v>
      </c>
      <c r="R2132" s="233"/>
      <c r="S2132" s="234">
        <f>IF(C2132="",NA(),MATCH($B2132&amp;$C2132,'Smelter Reference List'!$J:$J,0))</f>
        <v>494</v>
      </c>
      <c r="T2132" s="235"/>
      <c r="U2132" s="235">
        <f t="shared" si="62"/>
        <v>0</v>
      </c>
      <c r="V2132" s="235"/>
      <c r="W2132" s="235"/>
      <c r="Y2132" s="228" t="str">
        <f t="shared" si="63"/>
        <v>TungstenH.C. Starck Smelting GmbH &amp; Co.KG</v>
      </c>
    </row>
    <row r="2133" spans="1:25" s="228" customFormat="1" ht="20.25">
      <c r="A2133" s="400" t="s">
        <v>1415</v>
      </c>
      <c r="B2133" s="396" t="s">
        <v>2326</v>
      </c>
      <c r="C2133" s="397" t="s">
        <v>4286</v>
      </c>
      <c r="D2133" s="396" t="s">
        <v>4286</v>
      </c>
      <c r="E2133" s="396" t="s">
        <v>2181</v>
      </c>
      <c r="F2133" s="396" t="s">
        <v>1415</v>
      </c>
      <c r="G2133" s="396" t="s">
        <v>3125</v>
      </c>
      <c r="H2133" s="398" t="s">
        <v>5024</v>
      </c>
      <c r="I2133" s="399" t="s">
        <v>4137</v>
      </c>
      <c r="J2133" s="399" t="s">
        <v>3186</v>
      </c>
      <c r="K2133" s="402" t="s">
        <v>5024</v>
      </c>
      <c r="L2133" s="402" t="s">
        <v>5024</v>
      </c>
      <c r="M2133" s="402" t="s">
        <v>5024</v>
      </c>
      <c r="N2133" s="402" t="s">
        <v>5024</v>
      </c>
      <c r="O2133" s="402" t="s">
        <v>5024</v>
      </c>
      <c r="P2133" s="402" t="s">
        <v>925</v>
      </c>
      <c r="Q2133" s="403" t="s">
        <v>5024</v>
      </c>
      <c r="R2133" s="233"/>
      <c r="S2133" s="234">
        <f>IF(C2133="",NA(),MATCH($B2133&amp;$C2133,'Smelter Reference List'!$J:$J,0))</f>
        <v>496</v>
      </c>
      <c r="T2133" s="235"/>
      <c r="U2133" s="235">
        <f t="shared" si="62"/>
        <v>0</v>
      </c>
      <c r="V2133" s="235"/>
      <c r="W2133" s="235"/>
      <c r="Y2133" s="228" t="str">
        <f t="shared" si="63"/>
        <v>TungstenHunan Chenzhou Mining Co., Ltd.</v>
      </c>
    </row>
    <row r="2134" spans="1:25" s="228" customFormat="1" ht="25.5">
      <c r="A2134" s="400" t="s">
        <v>3592</v>
      </c>
      <c r="B2134" s="396" t="s">
        <v>2326</v>
      </c>
      <c r="C2134" s="397" t="s">
        <v>3591</v>
      </c>
      <c r="D2134" s="396" t="s">
        <v>3591</v>
      </c>
      <c r="E2134" s="396" t="s">
        <v>2181</v>
      </c>
      <c r="F2134" s="396" t="s">
        <v>3592</v>
      </c>
      <c r="G2134" s="396" t="s">
        <v>3125</v>
      </c>
      <c r="H2134" s="398" t="s">
        <v>5024</v>
      </c>
      <c r="I2134" s="399" t="s">
        <v>3407</v>
      </c>
      <c r="J2134" s="399" t="s">
        <v>3186</v>
      </c>
      <c r="K2134" s="402" t="s">
        <v>5024</v>
      </c>
      <c r="L2134" s="402" t="s">
        <v>5024</v>
      </c>
      <c r="M2134" s="402" t="s">
        <v>5024</v>
      </c>
      <c r="N2134" s="402" t="s">
        <v>5024</v>
      </c>
      <c r="O2134" s="402" t="s">
        <v>5024</v>
      </c>
      <c r="P2134" s="402" t="s">
        <v>925</v>
      </c>
      <c r="Q2134" s="403" t="s">
        <v>5024</v>
      </c>
      <c r="R2134" s="233"/>
      <c r="S2134" s="234">
        <f>IF(C2134="",NA(),MATCH($B2134&amp;$C2134,'Smelter Reference List'!$J:$J,0))</f>
        <v>498</v>
      </c>
      <c r="T2134" s="235"/>
      <c r="U2134" s="235">
        <f t="shared" si="62"/>
        <v>0</v>
      </c>
      <c r="V2134" s="235"/>
      <c r="W2134" s="235"/>
      <c r="Y2134" s="228" t="str">
        <f t="shared" si="63"/>
        <v>TungstenHunan Chuangda Vanadium Tungsten Co., Ltd. Wuji</v>
      </c>
    </row>
    <row r="2135" spans="1:25" s="228" customFormat="1" ht="20.25">
      <c r="A2135" s="400" t="s">
        <v>1416</v>
      </c>
      <c r="B2135" s="396" t="s">
        <v>2326</v>
      </c>
      <c r="C2135" s="397" t="s">
        <v>2661</v>
      </c>
      <c r="D2135" s="396" t="s">
        <v>2661</v>
      </c>
      <c r="E2135" s="396" t="s">
        <v>2181</v>
      </c>
      <c r="F2135" s="396" t="s">
        <v>1416</v>
      </c>
      <c r="G2135" s="396" t="s">
        <v>3125</v>
      </c>
      <c r="H2135" s="398" t="s">
        <v>5024</v>
      </c>
      <c r="I2135" s="399" t="s">
        <v>3407</v>
      </c>
      <c r="J2135" s="399" t="s">
        <v>3186</v>
      </c>
      <c r="K2135" s="402" t="s">
        <v>5024</v>
      </c>
      <c r="L2135" s="402" t="s">
        <v>5024</v>
      </c>
      <c r="M2135" s="402" t="s">
        <v>5024</v>
      </c>
      <c r="N2135" s="402" t="s">
        <v>5024</v>
      </c>
      <c r="O2135" s="402" t="s">
        <v>5024</v>
      </c>
      <c r="P2135" s="402" t="s">
        <v>925</v>
      </c>
      <c r="Q2135" s="403" t="s">
        <v>5024</v>
      </c>
      <c r="R2135" s="233"/>
      <c r="S2135" s="234">
        <f>IF(C2135="",NA(),MATCH($B2135&amp;$C2135,'Smelter Reference List'!$J:$J,0))</f>
        <v>500</v>
      </c>
      <c r="T2135" s="235"/>
      <c r="U2135" s="235">
        <f t="shared" si="62"/>
        <v>0</v>
      </c>
      <c r="V2135" s="235"/>
      <c r="W2135" s="235"/>
      <c r="Y2135" s="228" t="str">
        <f t="shared" si="63"/>
        <v>TungstenHunan Chunchang Nonferrous Metals Co., Ltd.</v>
      </c>
    </row>
    <row r="2136" spans="1:25" s="228" customFormat="1" ht="25.5">
      <c r="A2136" s="400" t="s">
        <v>3597</v>
      </c>
      <c r="B2136" s="396" t="s">
        <v>2326</v>
      </c>
      <c r="C2136" s="397" t="s">
        <v>3596</v>
      </c>
      <c r="D2136" s="396" t="s">
        <v>3596</v>
      </c>
      <c r="E2136" s="396" t="s">
        <v>1717</v>
      </c>
      <c r="F2136" s="396" t="s">
        <v>3597</v>
      </c>
      <c r="G2136" s="396" t="s">
        <v>3125</v>
      </c>
      <c r="H2136" s="398" t="s">
        <v>5024</v>
      </c>
      <c r="I2136" s="399" t="s">
        <v>3598</v>
      </c>
      <c r="J2136" s="399" t="s">
        <v>3599</v>
      </c>
      <c r="K2136" s="402" t="s">
        <v>5024</v>
      </c>
      <c r="L2136" s="402" t="s">
        <v>5024</v>
      </c>
      <c r="M2136" s="402" t="s">
        <v>5024</v>
      </c>
      <c r="N2136" s="402" t="s">
        <v>5024</v>
      </c>
      <c r="O2136" s="402" t="s">
        <v>5024</v>
      </c>
      <c r="P2136" s="402" t="s">
        <v>925</v>
      </c>
      <c r="Q2136" s="403" t="s">
        <v>5024</v>
      </c>
      <c r="R2136" s="233"/>
      <c r="S2136" s="234">
        <f>IF(C2136="",NA(),MATCH($B2136&amp;$C2136,'Smelter Reference List'!$J:$J,0))</f>
        <v>501</v>
      </c>
      <c r="T2136" s="235"/>
      <c r="U2136" s="235">
        <f t="shared" si="62"/>
        <v>0</v>
      </c>
      <c r="V2136" s="235"/>
      <c r="W2136" s="235"/>
      <c r="Y2136" s="228" t="str">
        <f t="shared" si="63"/>
        <v>TungstenHydrometallurg, JSC</v>
      </c>
    </row>
    <row r="2137" spans="1:25" s="228" customFormat="1" ht="20.25">
      <c r="A2137" s="400" t="s">
        <v>1417</v>
      </c>
      <c r="B2137" s="396" t="s">
        <v>2326</v>
      </c>
      <c r="C2137" s="397" t="s">
        <v>2662</v>
      </c>
      <c r="D2137" s="396" t="s">
        <v>2662</v>
      </c>
      <c r="E2137" s="396" t="s">
        <v>2249</v>
      </c>
      <c r="F2137" s="396" t="s">
        <v>1417</v>
      </c>
      <c r="G2137" s="396" t="s">
        <v>3125</v>
      </c>
      <c r="H2137" s="398" t="s">
        <v>5024</v>
      </c>
      <c r="I2137" s="399" t="s">
        <v>4138</v>
      </c>
      <c r="J2137" s="399" t="s">
        <v>3174</v>
      </c>
      <c r="K2137" s="402" t="s">
        <v>5024</v>
      </c>
      <c r="L2137" s="402" t="s">
        <v>5024</v>
      </c>
      <c r="M2137" s="402" t="s">
        <v>5024</v>
      </c>
      <c r="N2137" s="402" t="s">
        <v>5024</v>
      </c>
      <c r="O2137" s="402" t="s">
        <v>5024</v>
      </c>
      <c r="P2137" s="402" t="s">
        <v>925</v>
      </c>
      <c r="Q2137" s="403" t="s">
        <v>5024</v>
      </c>
      <c r="R2137" s="233"/>
      <c r="S2137" s="234">
        <f>IF(C2137="",NA(),MATCH($B2137&amp;$C2137,'Smelter Reference List'!$J:$J,0))</f>
        <v>502</v>
      </c>
      <c r="T2137" s="235"/>
      <c r="U2137" s="235">
        <f t="shared" si="62"/>
        <v>0</v>
      </c>
      <c r="V2137" s="235"/>
      <c r="W2137" s="235"/>
      <c r="Y2137" s="228" t="str">
        <f t="shared" si="63"/>
        <v>TungstenJapan New Metals Co., Ltd.</v>
      </c>
    </row>
    <row r="2138" spans="1:25" s="228" customFormat="1" ht="25.5">
      <c r="A2138" s="400" t="s">
        <v>2763</v>
      </c>
      <c r="B2138" s="396" t="s">
        <v>2326</v>
      </c>
      <c r="C2138" s="397" t="s">
        <v>2762</v>
      </c>
      <c r="D2138" s="396" t="s">
        <v>2762</v>
      </c>
      <c r="E2138" s="396" t="s">
        <v>2181</v>
      </c>
      <c r="F2138" s="396" t="s">
        <v>2763</v>
      </c>
      <c r="G2138" s="396" t="s">
        <v>3125</v>
      </c>
      <c r="H2138" s="398" t="s">
        <v>5024</v>
      </c>
      <c r="I2138" s="399" t="s">
        <v>3471</v>
      </c>
      <c r="J2138" s="399" t="s">
        <v>3204</v>
      </c>
      <c r="K2138" s="402" t="s">
        <v>5024</v>
      </c>
      <c r="L2138" s="402" t="s">
        <v>5024</v>
      </c>
      <c r="M2138" s="402" t="s">
        <v>5024</v>
      </c>
      <c r="N2138" s="402" t="s">
        <v>5024</v>
      </c>
      <c r="O2138" s="402" t="s">
        <v>5024</v>
      </c>
      <c r="P2138" s="402" t="s">
        <v>925</v>
      </c>
      <c r="Q2138" s="403" t="s">
        <v>5024</v>
      </c>
      <c r="R2138" s="233"/>
      <c r="S2138" s="234">
        <f>IF(C2138="",NA(),MATCH($B2138&amp;$C2138,'Smelter Reference List'!$J:$J,0))</f>
        <v>503</v>
      </c>
      <c r="T2138" s="235"/>
      <c r="U2138" s="235">
        <f t="shared" si="62"/>
        <v>0</v>
      </c>
      <c r="V2138" s="235"/>
      <c r="W2138" s="235"/>
      <c r="Y2138" s="228" t="str">
        <f t="shared" si="63"/>
        <v>TungstenJiangwu H.C. Starck Tungsten Products Co., Ltd.</v>
      </c>
    </row>
    <row r="2139" spans="1:25" s="228" customFormat="1" ht="20.25">
      <c r="A2139" s="400" t="s">
        <v>199</v>
      </c>
      <c r="B2139" s="396" t="s">
        <v>2326</v>
      </c>
      <c r="C2139" s="397" t="s">
        <v>219</v>
      </c>
      <c r="D2139" s="396" t="s">
        <v>219</v>
      </c>
      <c r="E2139" s="396" t="s">
        <v>2181</v>
      </c>
      <c r="F2139" s="396" t="s">
        <v>199</v>
      </c>
      <c r="G2139" s="396" t="s">
        <v>3125</v>
      </c>
      <c r="H2139" s="398" t="s">
        <v>5024</v>
      </c>
      <c r="I2139" s="399" t="s">
        <v>3576</v>
      </c>
      <c r="J2139" s="399" t="s">
        <v>3204</v>
      </c>
      <c r="K2139" s="402" t="s">
        <v>5024</v>
      </c>
      <c r="L2139" s="402" t="s">
        <v>5024</v>
      </c>
      <c r="M2139" s="402" t="s">
        <v>5024</v>
      </c>
      <c r="N2139" s="402" t="s">
        <v>5024</v>
      </c>
      <c r="O2139" s="402" t="s">
        <v>5024</v>
      </c>
      <c r="P2139" s="402" t="s">
        <v>925</v>
      </c>
      <c r="Q2139" s="403" t="s">
        <v>5024</v>
      </c>
      <c r="R2139" s="233"/>
      <c r="S2139" s="234">
        <f>IF(C2139="",NA(),MATCH($B2139&amp;$C2139,'Smelter Reference List'!$J:$J,0))</f>
        <v>505</v>
      </c>
      <c r="T2139" s="235"/>
      <c r="U2139" s="235">
        <f t="shared" si="62"/>
        <v>0</v>
      </c>
      <c r="V2139" s="235"/>
      <c r="W2139" s="235"/>
      <c r="Y2139" s="228" t="str">
        <f t="shared" si="63"/>
        <v>TungstenJiangxi Gan Bei Tungsten Co., Ltd.</v>
      </c>
    </row>
    <row r="2140" spans="1:25" s="228" customFormat="1" ht="25.5">
      <c r="A2140" s="400" t="s">
        <v>204</v>
      </c>
      <c r="B2140" s="396" t="s">
        <v>2326</v>
      </c>
      <c r="C2140" s="397" t="s">
        <v>216</v>
      </c>
      <c r="D2140" s="396" t="s">
        <v>216</v>
      </c>
      <c r="E2140" s="396" t="s">
        <v>2181</v>
      </c>
      <c r="F2140" s="396" t="s">
        <v>204</v>
      </c>
      <c r="G2140" s="396" t="s">
        <v>3125</v>
      </c>
      <c r="H2140" s="398" t="s">
        <v>5024</v>
      </c>
      <c r="I2140" s="399" t="s">
        <v>3573</v>
      </c>
      <c r="J2140" s="399" t="s">
        <v>3204</v>
      </c>
      <c r="K2140" s="402" t="s">
        <v>5024</v>
      </c>
      <c r="L2140" s="402" t="s">
        <v>5024</v>
      </c>
      <c r="M2140" s="402" t="s">
        <v>5024</v>
      </c>
      <c r="N2140" s="402" t="s">
        <v>5024</v>
      </c>
      <c r="O2140" s="402" t="s">
        <v>5024</v>
      </c>
      <c r="P2140" s="402" t="s">
        <v>925</v>
      </c>
      <c r="Q2140" s="403" t="s">
        <v>5024</v>
      </c>
      <c r="R2140" s="233"/>
      <c r="S2140" s="234">
        <f>IF(C2140="",NA(),MATCH($B2140&amp;$C2140,'Smelter Reference List'!$J:$J,0))</f>
        <v>507</v>
      </c>
      <c r="T2140" s="235"/>
      <c r="U2140" s="235">
        <f t="shared" si="62"/>
        <v>0</v>
      </c>
      <c r="V2140" s="235"/>
      <c r="W2140" s="235"/>
      <c r="Y2140" s="228" t="str">
        <f t="shared" si="63"/>
        <v>TungstenJiangxi Tonggu Non-ferrous Metallurgical &amp; Chemical Co., Ltd.</v>
      </c>
    </row>
    <row r="2141" spans="1:25" s="228" customFormat="1" ht="20.25">
      <c r="A2141" s="400" t="s">
        <v>203</v>
      </c>
      <c r="B2141" s="396" t="s">
        <v>2326</v>
      </c>
      <c r="C2141" s="397" t="s">
        <v>215</v>
      </c>
      <c r="D2141" s="396" t="s">
        <v>215</v>
      </c>
      <c r="E2141" s="396" t="s">
        <v>2181</v>
      </c>
      <c r="F2141" s="396" t="s">
        <v>203</v>
      </c>
      <c r="G2141" s="396" t="s">
        <v>3125</v>
      </c>
      <c r="H2141" s="398" t="s">
        <v>5024</v>
      </c>
      <c r="I2141" s="399" t="s">
        <v>3471</v>
      </c>
      <c r="J2141" s="399" t="s">
        <v>3204</v>
      </c>
      <c r="K2141" s="402" t="s">
        <v>5024</v>
      </c>
      <c r="L2141" s="402" t="s">
        <v>5024</v>
      </c>
      <c r="M2141" s="402" t="s">
        <v>5024</v>
      </c>
      <c r="N2141" s="402" t="s">
        <v>5024</v>
      </c>
      <c r="O2141" s="402" t="s">
        <v>5024</v>
      </c>
      <c r="P2141" s="402" t="s">
        <v>925</v>
      </c>
      <c r="Q2141" s="403" t="s">
        <v>5024</v>
      </c>
      <c r="R2141" s="233"/>
      <c r="S2141" s="234">
        <f>IF(C2141="",NA(),MATCH($B2141&amp;$C2141,'Smelter Reference List'!$J:$J,0))</f>
        <v>510</v>
      </c>
      <c r="T2141" s="235"/>
      <c r="U2141" s="235">
        <f t="shared" si="62"/>
        <v>0</v>
      </c>
      <c r="V2141" s="235"/>
      <c r="W2141" s="235"/>
      <c r="Y2141" s="228" t="str">
        <f t="shared" si="63"/>
        <v>TungstenJiangxi Xinsheng Tungsten Industry Co., Ltd.</v>
      </c>
    </row>
    <row r="2142" spans="1:25" s="228" customFormat="1" ht="25.5">
      <c r="A2142" s="400" t="s">
        <v>2726</v>
      </c>
      <c r="B2142" s="396" t="s">
        <v>2326</v>
      </c>
      <c r="C2142" s="397" t="s">
        <v>2725</v>
      </c>
      <c r="D2142" s="396" t="s">
        <v>2725</v>
      </c>
      <c r="E2142" s="396" t="s">
        <v>2181</v>
      </c>
      <c r="F2142" s="396" t="s">
        <v>2726</v>
      </c>
      <c r="G2142" s="396" t="s">
        <v>3125</v>
      </c>
      <c r="H2142" s="398" t="s">
        <v>5024</v>
      </c>
      <c r="I2142" s="399" t="s">
        <v>3576</v>
      </c>
      <c r="J2142" s="399" t="s">
        <v>3204</v>
      </c>
      <c r="K2142" s="402" t="s">
        <v>5024</v>
      </c>
      <c r="L2142" s="402" t="s">
        <v>5024</v>
      </c>
      <c r="M2142" s="402" t="s">
        <v>5024</v>
      </c>
      <c r="N2142" s="402" t="s">
        <v>5024</v>
      </c>
      <c r="O2142" s="402" t="s">
        <v>5024</v>
      </c>
      <c r="P2142" s="402" t="s">
        <v>925</v>
      </c>
      <c r="Q2142" s="403" t="s">
        <v>5024</v>
      </c>
      <c r="R2142" s="233"/>
      <c r="S2142" s="234">
        <f>IF(C2142="",NA(),MATCH($B2142&amp;$C2142,'Smelter Reference List'!$J:$J,0))</f>
        <v>511</v>
      </c>
      <c r="T2142" s="235"/>
      <c r="U2142" s="235">
        <f t="shared" si="62"/>
        <v>0</v>
      </c>
      <c r="V2142" s="235"/>
      <c r="W2142" s="235"/>
      <c r="Y2142" s="228" t="str">
        <f t="shared" si="63"/>
        <v>TungstenJiangxi Xiushui Xianggan Nonferrous Metals Co., Ltd.</v>
      </c>
    </row>
    <row r="2143" spans="1:25" s="228" customFormat="1" ht="20.25">
      <c r="A2143" s="400" t="s">
        <v>202</v>
      </c>
      <c r="B2143" s="396" t="s">
        <v>2326</v>
      </c>
      <c r="C2143" s="397" t="s">
        <v>214</v>
      </c>
      <c r="D2143" s="396" t="s">
        <v>214</v>
      </c>
      <c r="E2143" s="396" t="s">
        <v>2181</v>
      </c>
      <c r="F2143" s="396" t="s">
        <v>202</v>
      </c>
      <c r="G2143" s="396" t="s">
        <v>3125</v>
      </c>
      <c r="H2143" s="398" t="s">
        <v>5024</v>
      </c>
      <c r="I2143" s="399" t="s">
        <v>3471</v>
      </c>
      <c r="J2143" s="399" t="s">
        <v>3204</v>
      </c>
      <c r="K2143" s="402" t="s">
        <v>5024</v>
      </c>
      <c r="L2143" s="402" t="s">
        <v>5024</v>
      </c>
      <c r="M2143" s="402" t="s">
        <v>5024</v>
      </c>
      <c r="N2143" s="402" t="s">
        <v>5024</v>
      </c>
      <c r="O2143" s="402" t="s">
        <v>5024</v>
      </c>
      <c r="P2143" s="402" t="s">
        <v>925</v>
      </c>
      <c r="Q2143" s="403" t="s">
        <v>5024</v>
      </c>
      <c r="R2143" s="233"/>
      <c r="S2143" s="234">
        <f>IF(C2143="",NA(),MATCH($B2143&amp;$C2143,'Smelter Reference List'!$J:$J,0))</f>
        <v>512</v>
      </c>
      <c r="T2143" s="235"/>
      <c r="U2143" s="235">
        <f t="shared" si="62"/>
        <v>0</v>
      </c>
      <c r="V2143" s="235"/>
      <c r="W2143" s="235"/>
      <c r="Y2143" s="228" t="str">
        <f t="shared" si="63"/>
        <v>TungstenJiangxi Yaosheng Tungsten Co., Ltd.</v>
      </c>
    </row>
    <row r="2144" spans="1:25" s="228" customFormat="1" ht="20.25">
      <c r="A2144" s="400" t="s">
        <v>1420</v>
      </c>
      <c r="B2144" s="396" t="s">
        <v>2326</v>
      </c>
      <c r="C2144" s="397" t="s">
        <v>212</v>
      </c>
      <c r="D2144" s="396" t="s">
        <v>212</v>
      </c>
      <c r="E2144" s="396" t="s">
        <v>5016</v>
      </c>
      <c r="F2144" s="396" t="s">
        <v>1420</v>
      </c>
      <c r="G2144" s="396" t="s">
        <v>3125</v>
      </c>
      <c r="H2144" s="398" t="s">
        <v>5024</v>
      </c>
      <c r="I2144" s="399" t="s">
        <v>3563</v>
      </c>
      <c r="J2144" s="399" t="s">
        <v>3431</v>
      </c>
      <c r="K2144" s="402" t="s">
        <v>5024</v>
      </c>
      <c r="L2144" s="402" t="s">
        <v>5024</v>
      </c>
      <c r="M2144" s="402" t="s">
        <v>5024</v>
      </c>
      <c r="N2144" s="402" t="s">
        <v>5024</v>
      </c>
      <c r="O2144" s="402" t="s">
        <v>5024</v>
      </c>
      <c r="P2144" s="402" t="s">
        <v>925</v>
      </c>
      <c r="Q2144" s="403" t="s">
        <v>5024</v>
      </c>
      <c r="R2144" s="233"/>
      <c r="S2144" s="234">
        <f>IF(C2144="",NA(),MATCH($B2144&amp;$C2144,'Smelter Reference List'!$J:$J,0))</f>
        <v>513</v>
      </c>
      <c r="T2144" s="235"/>
      <c r="U2144" s="235">
        <f t="shared" si="62"/>
        <v>0</v>
      </c>
      <c r="V2144" s="235"/>
      <c r="W2144" s="235"/>
      <c r="Y2144" s="228" t="str">
        <f t="shared" si="63"/>
        <v>TungstenKennametal Fallon</v>
      </c>
    </row>
    <row r="2145" spans="1:25" s="228" customFormat="1" ht="20.25">
      <c r="A2145" s="400" t="s">
        <v>1409</v>
      </c>
      <c r="B2145" s="396" t="s">
        <v>2326</v>
      </c>
      <c r="C2145" s="397" t="s">
        <v>209</v>
      </c>
      <c r="D2145" s="396" t="s">
        <v>209</v>
      </c>
      <c r="E2145" s="396" t="s">
        <v>5016</v>
      </c>
      <c r="F2145" s="396" t="s">
        <v>1409</v>
      </c>
      <c r="G2145" s="396" t="s">
        <v>3125</v>
      </c>
      <c r="H2145" s="398" t="s">
        <v>5024</v>
      </c>
      <c r="I2145" s="399" t="s">
        <v>3555</v>
      </c>
      <c r="J2145" s="399" t="s">
        <v>3556</v>
      </c>
      <c r="K2145" s="402" t="s">
        <v>5024</v>
      </c>
      <c r="L2145" s="402" t="s">
        <v>5024</v>
      </c>
      <c r="M2145" s="402" t="s">
        <v>5024</v>
      </c>
      <c r="N2145" s="402" t="s">
        <v>5024</v>
      </c>
      <c r="O2145" s="402" t="s">
        <v>5024</v>
      </c>
      <c r="P2145" s="402" t="s">
        <v>925</v>
      </c>
      <c r="Q2145" s="403" t="s">
        <v>5024</v>
      </c>
      <c r="R2145" s="233"/>
      <c r="S2145" s="234">
        <f>IF(C2145="",NA(),MATCH($B2145&amp;$C2145,'Smelter Reference List'!$J:$J,0))</f>
        <v>514</v>
      </c>
      <c r="T2145" s="235"/>
      <c r="U2145" s="235">
        <f t="shared" si="62"/>
        <v>0</v>
      </c>
      <c r="V2145" s="235"/>
      <c r="W2145" s="235"/>
      <c r="Y2145" s="228" t="str">
        <f t="shared" si="63"/>
        <v>TungstenKennametal Huntsville</v>
      </c>
    </row>
    <row r="2146" spans="1:25" s="228" customFormat="1" ht="20.25">
      <c r="A2146" s="400" t="s">
        <v>205</v>
      </c>
      <c r="B2146" s="396" t="s">
        <v>2326</v>
      </c>
      <c r="C2146" s="397" t="s">
        <v>217</v>
      </c>
      <c r="D2146" s="396" t="s">
        <v>217</v>
      </c>
      <c r="E2146" s="396" t="s">
        <v>2181</v>
      </c>
      <c r="F2146" s="396" t="s">
        <v>205</v>
      </c>
      <c r="G2146" s="396" t="s">
        <v>3125</v>
      </c>
      <c r="H2146" s="398" t="s">
        <v>5024</v>
      </c>
      <c r="I2146" s="399" t="s">
        <v>3574</v>
      </c>
      <c r="J2146" s="399" t="s">
        <v>3161</v>
      </c>
      <c r="K2146" s="402" t="s">
        <v>5024</v>
      </c>
      <c r="L2146" s="402" t="s">
        <v>5024</v>
      </c>
      <c r="M2146" s="402" t="s">
        <v>5024</v>
      </c>
      <c r="N2146" s="402" t="s">
        <v>5024</v>
      </c>
      <c r="O2146" s="402" t="s">
        <v>5024</v>
      </c>
      <c r="P2146" s="402" t="s">
        <v>925</v>
      </c>
      <c r="Q2146" s="403" t="s">
        <v>5024</v>
      </c>
      <c r="R2146" s="233"/>
      <c r="S2146" s="234">
        <f>IF(C2146="",NA(),MATCH($B2146&amp;$C2146,'Smelter Reference List'!$J:$J,0))</f>
        <v>515</v>
      </c>
      <c r="T2146" s="235"/>
      <c r="U2146" s="235">
        <f t="shared" si="62"/>
        <v>0</v>
      </c>
      <c r="V2146" s="235"/>
      <c r="W2146" s="235"/>
      <c r="Y2146" s="228" t="str">
        <f t="shared" si="63"/>
        <v>TungstenMalipo Haiyu Tungsten Co., Ltd.</v>
      </c>
    </row>
    <row r="2147" spans="1:25" s="228" customFormat="1" ht="20.25">
      <c r="A2147" s="400" t="s">
        <v>4374</v>
      </c>
      <c r="B2147" s="396" t="s">
        <v>2326</v>
      </c>
      <c r="C2147" s="397" t="s">
        <v>4373</v>
      </c>
      <c r="D2147" s="396" t="s">
        <v>4373</v>
      </c>
      <c r="E2147" s="396" t="s">
        <v>1717</v>
      </c>
      <c r="F2147" s="396" t="s">
        <v>4374</v>
      </c>
      <c r="G2147" s="396" t="s">
        <v>3125</v>
      </c>
      <c r="H2147" s="398" t="s">
        <v>5024</v>
      </c>
      <c r="I2147" s="399" t="s">
        <v>4375</v>
      </c>
      <c r="J2147" s="399" t="s">
        <v>3294</v>
      </c>
      <c r="K2147" s="402" t="s">
        <v>5024</v>
      </c>
      <c r="L2147" s="402" t="s">
        <v>5024</v>
      </c>
      <c r="M2147" s="402" t="s">
        <v>5024</v>
      </c>
      <c r="N2147" s="402" t="s">
        <v>5024</v>
      </c>
      <c r="O2147" s="402" t="s">
        <v>5024</v>
      </c>
      <c r="P2147" s="402" t="s">
        <v>925</v>
      </c>
      <c r="Q2147" s="403" t="s">
        <v>5024</v>
      </c>
      <c r="R2147" s="233"/>
      <c r="S2147" s="234">
        <f>IF(C2147="",NA(),MATCH($B2147&amp;$C2147,'Smelter Reference List'!$J:$J,0))</f>
        <v>516</v>
      </c>
      <c r="T2147" s="235"/>
      <c r="U2147" s="235">
        <f t="shared" si="62"/>
        <v>0</v>
      </c>
      <c r="V2147" s="235"/>
      <c r="W2147" s="235"/>
      <c r="Y2147" s="228" t="str">
        <f t="shared" si="63"/>
        <v>TungstenMoliren Ltd</v>
      </c>
    </row>
    <row r="2148" spans="1:25" s="228" customFormat="1" ht="20.25">
      <c r="A2148" s="400" t="s">
        <v>3594</v>
      </c>
      <c r="B2148" s="396" t="s">
        <v>2326</v>
      </c>
      <c r="C2148" s="397" t="s">
        <v>3593</v>
      </c>
      <c r="D2148" s="396" t="s">
        <v>3593</v>
      </c>
      <c r="E2148" s="396" t="s">
        <v>5016</v>
      </c>
      <c r="F2148" s="396" t="s">
        <v>3594</v>
      </c>
      <c r="G2148" s="396" t="s">
        <v>3125</v>
      </c>
      <c r="H2148" s="398" t="s">
        <v>5024</v>
      </c>
      <c r="I2148" s="399" t="s">
        <v>3595</v>
      </c>
      <c r="J2148" s="399" t="s">
        <v>3230</v>
      </c>
      <c r="K2148" s="402" t="s">
        <v>5024</v>
      </c>
      <c r="L2148" s="402" t="s">
        <v>5024</v>
      </c>
      <c r="M2148" s="402" t="s">
        <v>5024</v>
      </c>
      <c r="N2148" s="402" t="s">
        <v>5024</v>
      </c>
      <c r="O2148" s="402" t="s">
        <v>5024</v>
      </c>
      <c r="P2148" s="402" t="s">
        <v>925</v>
      </c>
      <c r="Q2148" s="403" t="s">
        <v>5024</v>
      </c>
      <c r="R2148" s="233"/>
      <c r="S2148" s="234">
        <f>IF(C2148="",NA(),MATCH($B2148&amp;$C2148,'Smelter Reference List'!$J:$J,0))</f>
        <v>517</v>
      </c>
      <c r="T2148" s="235"/>
      <c r="U2148" s="235">
        <f t="shared" si="62"/>
        <v>0</v>
      </c>
      <c r="V2148" s="235"/>
      <c r="W2148" s="235"/>
      <c r="Y2148" s="228" t="str">
        <f t="shared" si="63"/>
        <v>TungstenNiagara Refining LLC</v>
      </c>
    </row>
    <row r="2149" spans="1:25" s="228" customFormat="1" ht="25.5">
      <c r="A2149" s="400" t="s">
        <v>2764</v>
      </c>
      <c r="B2149" s="396" t="s">
        <v>2326</v>
      </c>
      <c r="C2149" s="397" t="s">
        <v>2765</v>
      </c>
      <c r="D2149" s="396" t="s">
        <v>2765</v>
      </c>
      <c r="E2149" s="396" t="s">
        <v>1766</v>
      </c>
      <c r="F2149" s="396" t="s">
        <v>2764</v>
      </c>
      <c r="G2149" s="396" t="s">
        <v>3125</v>
      </c>
      <c r="H2149" s="398" t="s">
        <v>5024</v>
      </c>
      <c r="I2149" s="399" t="s">
        <v>3587</v>
      </c>
      <c r="J2149" s="399" t="s">
        <v>3588</v>
      </c>
      <c r="K2149" s="402" t="s">
        <v>5024</v>
      </c>
      <c r="L2149" s="402" t="s">
        <v>5024</v>
      </c>
      <c r="M2149" s="402" t="s">
        <v>5024</v>
      </c>
      <c r="N2149" s="402" t="s">
        <v>5024</v>
      </c>
      <c r="O2149" s="402" t="s">
        <v>5024</v>
      </c>
      <c r="P2149" s="402" t="s">
        <v>925</v>
      </c>
      <c r="Q2149" s="403" t="s">
        <v>5024</v>
      </c>
      <c r="R2149" s="233"/>
      <c r="S2149" s="234">
        <f>IF(C2149="",NA(),MATCH($B2149&amp;$C2149,'Smelter Reference List'!$J:$J,0))</f>
        <v>518</v>
      </c>
      <c r="T2149" s="235"/>
      <c r="U2149" s="235">
        <f t="shared" si="62"/>
        <v>0</v>
      </c>
      <c r="V2149" s="235"/>
      <c r="W2149" s="235"/>
      <c r="Y2149" s="228" t="str">
        <f t="shared" si="63"/>
        <v>TungstenNui Phao H.C. Starck Tungsten Chemicals Manufacturing LLC</v>
      </c>
    </row>
    <row r="2150" spans="1:25" s="228" customFormat="1" ht="20.25">
      <c r="A2150" s="400" t="s">
        <v>4376</v>
      </c>
      <c r="B2150" s="396" t="s">
        <v>2326</v>
      </c>
      <c r="C2150" s="397" t="s">
        <v>4752</v>
      </c>
      <c r="D2150" s="396" t="s">
        <v>4752</v>
      </c>
      <c r="E2150" s="396" t="s">
        <v>1705</v>
      </c>
      <c r="F2150" s="396" t="s">
        <v>4376</v>
      </c>
      <c r="G2150" s="396" t="s">
        <v>3125</v>
      </c>
      <c r="H2150" s="398" t="s">
        <v>5024</v>
      </c>
      <c r="I2150" s="399" t="s">
        <v>4377</v>
      </c>
      <c r="J2150" s="399" t="s">
        <v>4378</v>
      </c>
      <c r="K2150" s="402" t="s">
        <v>5024</v>
      </c>
      <c r="L2150" s="402" t="s">
        <v>5024</v>
      </c>
      <c r="M2150" s="402" t="s">
        <v>5024</v>
      </c>
      <c r="N2150" s="402" t="s">
        <v>5024</v>
      </c>
      <c r="O2150" s="402" t="s">
        <v>5024</v>
      </c>
      <c r="P2150" s="402" t="s">
        <v>924</v>
      </c>
      <c r="Q2150" s="403" t="s">
        <v>5024</v>
      </c>
      <c r="R2150" s="233"/>
      <c r="S2150" s="234">
        <f>IF(C2150="",NA(),MATCH($B2150&amp;$C2150,'Smelter Reference List'!$J:$J,0))</f>
        <v>519</v>
      </c>
      <c r="T2150" s="235"/>
      <c r="U2150" s="235">
        <f t="shared" si="62"/>
        <v>0</v>
      </c>
      <c r="V2150" s="235"/>
      <c r="W2150" s="235"/>
      <c r="Y2150" s="228" t="str">
        <f t="shared" si="63"/>
        <v>TungstenPhilippine Chuangxin Industrial Co., Inc.</v>
      </c>
    </row>
    <row r="2151" spans="1:25" s="228" customFormat="1" ht="20.25">
      <c r="A2151" s="400" t="s">
        <v>1421</v>
      </c>
      <c r="B2151" s="396" t="s">
        <v>2326</v>
      </c>
      <c r="C2151" s="397" t="s">
        <v>2</v>
      </c>
      <c r="D2151" s="396" t="s">
        <v>2</v>
      </c>
      <c r="E2151" s="396" t="s">
        <v>1766</v>
      </c>
      <c r="F2151" s="396" t="s">
        <v>1421</v>
      </c>
      <c r="G2151" s="396" t="s">
        <v>3125</v>
      </c>
      <c r="H2151" s="398" t="s">
        <v>5024</v>
      </c>
      <c r="I2151" s="399" t="s">
        <v>3564</v>
      </c>
      <c r="J2151" s="399" t="s">
        <v>4139</v>
      </c>
      <c r="K2151" s="402" t="s">
        <v>5024</v>
      </c>
      <c r="L2151" s="402" t="s">
        <v>5024</v>
      </c>
      <c r="M2151" s="402" t="s">
        <v>5024</v>
      </c>
      <c r="N2151" s="402" t="s">
        <v>5024</v>
      </c>
      <c r="O2151" s="402" t="s">
        <v>5024</v>
      </c>
      <c r="P2151" s="402" t="s">
        <v>925</v>
      </c>
      <c r="Q2151" s="403" t="s">
        <v>5024</v>
      </c>
      <c r="R2151" s="233"/>
      <c r="S2151" s="234">
        <f>IF(C2151="",NA(),MATCH($B2151&amp;$C2151,'Smelter Reference List'!$J:$J,0))</f>
        <v>524</v>
      </c>
      <c r="T2151" s="235"/>
      <c r="U2151" s="235">
        <f t="shared" si="62"/>
        <v>0</v>
      </c>
      <c r="V2151" s="235"/>
      <c r="W2151" s="235"/>
      <c r="Y2151" s="228" t="str">
        <f t="shared" si="63"/>
        <v>TungstenTejing (Vietnam) Tungsten Co., Ltd.</v>
      </c>
    </row>
    <row r="2152" spans="1:25" s="228" customFormat="1" ht="25.5">
      <c r="A2152" s="400" t="s">
        <v>6003</v>
      </c>
      <c r="B2152" s="400" t="s">
        <v>6004</v>
      </c>
      <c r="C2152" s="396" t="s">
        <v>2323</v>
      </c>
      <c r="D2152" s="397" t="s">
        <v>2322</v>
      </c>
      <c r="E2152" s="396" t="s">
        <v>2322</v>
      </c>
      <c r="F2152" s="396" t="s">
        <v>2154</v>
      </c>
      <c r="G2152" s="396" t="s">
        <v>1332</v>
      </c>
      <c r="H2152" s="396" t="s">
        <v>3125</v>
      </c>
      <c r="I2152" s="398">
        <v>0</v>
      </c>
      <c r="J2152" s="399" t="s">
        <v>3318</v>
      </c>
      <c r="K2152" s="399" t="s">
        <v>3319</v>
      </c>
      <c r="L2152" s="401"/>
      <c r="M2152" s="401"/>
      <c r="N2152" s="401"/>
      <c r="O2152" s="401"/>
      <c r="P2152" s="401"/>
      <c r="Q2152" s="401"/>
      <c r="R2152" s="250"/>
      <c r="S2152" s="234" t="e">
        <f>IF(C2152="",NA(),MATCH($B2152&amp;$C2152,'Smelter Reference List'!$J:$J,0))</f>
        <v>#N/A</v>
      </c>
      <c r="T2152" s="235"/>
      <c r="U2152" s="235">
        <f t="shared" si="62"/>
        <v>0</v>
      </c>
      <c r="V2152" s="235"/>
      <c r="W2152" s="235"/>
      <c r="Y2152" s="228" t="str">
        <f t="shared" si="63"/>
        <v>CID002030Gold</v>
      </c>
    </row>
    <row r="2153" spans="1:25" s="228" customFormat="1" ht="25.5">
      <c r="A2153" s="400" t="s">
        <v>2577</v>
      </c>
      <c r="B2153" s="400" t="s">
        <v>6005</v>
      </c>
      <c r="C2153" s="396" t="s">
        <v>2323</v>
      </c>
      <c r="D2153" s="397" t="s">
        <v>4724</v>
      </c>
      <c r="E2153" s="396" t="s">
        <v>4724</v>
      </c>
      <c r="F2153" s="396" t="s">
        <v>2158</v>
      </c>
      <c r="G2153" s="396" t="s">
        <v>1329</v>
      </c>
      <c r="H2153" s="396" t="s">
        <v>3125</v>
      </c>
      <c r="I2153" s="398">
        <v>0</v>
      </c>
      <c r="J2153" s="399" t="s">
        <v>3314</v>
      </c>
      <c r="K2153" s="399" t="s">
        <v>3315</v>
      </c>
      <c r="L2153" s="402"/>
      <c r="M2153" s="402"/>
      <c r="N2153" s="402"/>
      <c r="O2153" s="402"/>
      <c r="P2153" s="402"/>
      <c r="Q2153" s="402"/>
      <c r="R2153" s="403"/>
      <c r="S2153" s="234" t="e">
        <f>IF(C2153="",NA(),MATCH($B2153&amp;$C2153,'Smelter Reference List'!$J:$J,0))</f>
        <v>#N/A</v>
      </c>
      <c r="T2153" s="235"/>
      <c r="U2153" s="235">
        <f t="shared" si="62"/>
        <v>0</v>
      </c>
      <c r="V2153" s="235"/>
      <c r="W2153" s="235"/>
      <c r="Y2153" s="228" t="str">
        <f t="shared" si="63"/>
        <v>CID001980Gold</v>
      </c>
    </row>
    <row r="2154" spans="1:25" s="228" customFormat="1">
      <c r="A2154" s="400" t="s">
        <v>1422</v>
      </c>
      <c r="B2154" s="400" t="s">
        <v>6006</v>
      </c>
      <c r="C2154" s="396" t="s">
        <v>2323</v>
      </c>
      <c r="D2154" s="397" t="s">
        <v>4671</v>
      </c>
      <c r="E2154" s="396" t="s">
        <v>4671</v>
      </c>
      <c r="F2154" s="396" t="s">
        <v>2177</v>
      </c>
      <c r="G2154" s="396" t="s">
        <v>1274</v>
      </c>
      <c r="H2154" s="396" t="s">
        <v>3125</v>
      </c>
      <c r="I2154" s="398">
        <v>0</v>
      </c>
      <c r="J2154" s="399" t="s">
        <v>3209</v>
      </c>
      <c r="K2154" s="399" t="s">
        <v>3210</v>
      </c>
      <c r="L2154" s="402"/>
      <c r="M2154" s="402"/>
      <c r="N2154" s="402"/>
      <c r="O2154" s="402"/>
      <c r="P2154" s="402"/>
      <c r="Q2154" s="402"/>
      <c r="R2154" s="403"/>
      <c r="S2154" s="234" t="e">
        <f>IF(C2154="",NA(),MATCH($B2154&amp;$C2154,'Smelter Reference List'!$J:$J,0))</f>
        <v>#N/A</v>
      </c>
      <c r="T2154" s="235"/>
      <c r="U2154" s="235">
        <f t="shared" si="62"/>
        <v>0</v>
      </c>
      <c r="V2154" s="235"/>
      <c r="W2154" s="235"/>
      <c r="Y2154" s="228" t="str">
        <f t="shared" si="63"/>
        <v>CID000924Gold</v>
      </c>
    </row>
    <row r="2155" spans="1:25" s="228" customFormat="1">
      <c r="A2155" s="400" t="s">
        <v>4382</v>
      </c>
      <c r="B2155" s="400" t="s">
        <v>6007</v>
      </c>
      <c r="C2155" s="396" t="s">
        <v>2323</v>
      </c>
      <c r="D2155" s="397" t="s">
        <v>1795</v>
      </c>
      <c r="E2155" s="396" t="s">
        <v>1795</v>
      </c>
      <c r="F2155" s="396" t="s">
        <v>2177</v>
      </c>
      <c r="G2155" s="396" t="s">
        <v>1311</v>
      </c>
      <c r="H2155" s="396" t="s">
        <v>3125</v>
      </c>
      <c r="I2155" s="398">
        <v>0</v>
      </c>
      <c r="J2155" s="399" t="s">
        <v>3272</v>
      </c>
      <c r="K2155" s="399" t="s">
        <v>3210</v>
      </c>
      <c r="L2155" s="402"/>
      <c r="M2155" s="402"/>
      <c r="N2155" s="402"/>
      <c r="O2155" s="402"/>
      <c r="P2155" s="402"/>
      <c r="Q2155" s="402"/>
      <c r="R2155" s="403"/>
      <c r="S2155" s="234" t="e">
        <f>IF(C2155="",NA(),MATCH($B2155&amp;$C2155,'Smelter Reference List'!$J:$J,0))</f>
        <v>#N/A</v>
      </c>
      <c r="T2155" s="235"/>
      <c r="U2155" s="235">
        <f t="shared" si="62"/>
        <v>0</v>
      </c>
      <c r="V2155" s="235"/>
      <c r="W2155" s="235"/>
      <c r="Y2155" s="228" t="str">
        <f t="shared" si="63"/>
        <v>CID001534Gold</v>
      </c>
    </row>
    <row r="2156" spans="1:25" s="228" customFormat="1" ht="25.5">
      <c r="A2156" s="400" t="s">
        <v>206</v>
      </c>
      <c r="B2156" s="400" t="s">
        <v>6008</v>
      </c>
      <c r="C2156" s="396" t="s">
        <v>2323</v>
      </c>
      <c r="D2156" s="397" t="s">
        <v>4323</v>
      </c>
      <c r="E2156" s="396" t="s">
        <v>4323</v>
      </c>
      <c r="F2156" s="396" t="s">
        <v>2177</v>
      </c>
      <c r="G2156" s="396" t="s">
        <v>1248</v>
      </c>
      <c r="H2156" s="396" t="s">
        <v>3125</v>
      </c>
      <c r="I2156" s="398">
        <v>0</v>
      </c>
      <c r="J2156" s="399" t="s">
        <v>3154</v>
      </c>
      <c r="K2156" s="399" t="s">
        <v>3155</v>
      </c>
      <c r="L2156" s="402"/>
      <c r="M2156" s="402"/>
      <c r="N2156" s="402"/>
      <c r="O2156" s="402"/>
      <c r="P2156" s="402"/>
      <c r="Q2156" s="402"/>
      <c r="R2156" s="403"/>
      <c r="S2156" s="234" t="e">
        <f>IF(C2156="",NA(),MATCH($B2156&amp;$C2156,'Smelter Reference List'!$J:$J,0))</f>
        <v>#N/A</v>
      </c>
      <c r="T2156" s="235"/>
      <c r="U2156" s="235">
        <f t="shared" si="62"/>
        <v>0</v>
      </c>
      <c r="V2156" s="235"/>
      <c r="W2156" s="235"/>
      <c r="Y2156" s="228" t="str">
        <f t="shared" si="63"/>
        <v>CID000185Gold</v>
      </c>
    </row>
    <row r="2157" spans="1:25" s="228" customFormat="1">
      <c r="A2157" s="400" t="s">
        <v>1423</v>
      </c>
      <c r="B2157" s="400" t="s">
        <v>6009</v>
      </c>
      <c r="C2157" s="396" t="s">
        <v>2323</v>
      </c>
      <c r="D2157" s="397" t="s">
        <v>4669</v>
      </c>
      <c r="E2157" s="396" t="s">
        <v>4669</v>
      </c>
      <c r="F2157" s="396" t="s">
        <v>2179</v>
      </c>
      <c r="G2157" s="396" t="s">
        <v>1238</v>
      </c>
      <c r="H2157" s="396" t="s">
        <v>3125</v>
      </c>
      <c r="I2157" s="398">
        <v>0</v>
      </c>
      <c r="J2157" s="399" t="s">
        <v>3137</v>
      </c>
      <c r="K2157" s="399" t="s">
        <v>3138</v>
      </c>
      <c r="L2157" s="402"/>
      <c r="M2157" s="402"/>
      <c r="N2157" s="402"/>
      <c r="O2157" s="402"/>
      <c r="P2157" s="402"/>
      <c r="Q2157" s="402"/>
      <c r="R2157" s="403"/>
      <c r="S2157" s="234" t="e">
        <f>IF(C2157="",NA(),MATCH($B2157&amp;$C2157,'Smelter Reference List'!$J:$J,0))</f>
        <v>#N/A</v>
      </c>
      <c r="T2157" s="235"/>
      <c r="U2157" s="235">
        <f t="shared" si="62"/>
        <v>0</v>
      </c>
      <c r="V2157" s="235"/>
      <c r="W2157" s="235"/>
      <c r="Y2157" s="228" t="str">
        <f t="shared" si="63"/>
        <v>CID000077Gold</v>
      </c>
    </row>
    <row r="2158" spans="1:25" s="228" customFormat="1">
      <c r="A2158" s="400" t="s">
        <v>1425</v>
      </c>
      <c r="B2158" s="400" t="s">
        <v>6010</v>
      </c>
      <c r="C2158" s="396" t="s">
        <v>2323</v>
      </c>
      <c r="D2158" s="397" t="s">
        <v>4697</v>
      </c>
      <c r="E2158" s="396" t="s">
        <v>4697</v>
      </c>
      <c r="F2158" s="396" t="s">
        <v>2179</v>
      </c>
      <c r="G2158" s="396" t="s">
        <v>1293</v>
      </c>
      <c r="H2158" s="396" t="s">
        <v>3125</v>
      </c>
      <c r="I2158" s="398">
        <v>0</v>
      </c>
      <c r="J2158" s="399" t="s">
        <v>3239</v>
      </c>
      <c r="K2158" s="399" t="s">
        <v>3240</v>
      </c>
      <c r="L2158" s="402"/>
      <c r="M2158" s="402"/>
      <c r="N2158" s="402"/>
      <c r="O2158" s="402"/>
      <c r="P2158" s="402"/>
      <c r="Q2158" s="402"/>
      <c r="R2158" s="403"/>
      <c r="S2158" s="234" t="e">
        <f>IF(C2158="",NA(),MATCH($B2158&amp;$C2158,'Smelter Reference List'!$J:$J,0))</f>
        <v>#N/A</v>
      </c>
      <c r="T2158" s="235"/>
      <c r="U2158" s="235">
        <f t="shared" si="62"/>
        <v>0</v>
      </c>
      <c r="V2158" s="235"/>
      <c r="W2158" s="235"/>
      <c r="Y2158" s="228" t="str">
        <f t="shared" si="63"/>
        <v>CID001153Gold</v>
      </c>
    </row>
    <row r="2159" spans="1:25" s="228" customFormat="1">
      <c r="A2159" s="257"/>
      <c r="B2159" s="400" t="s">
        <v>6011</v>
      </c>
      <c r="C2159" s="396" t="s">
        <v>2323</v>
      </c>
      <c r="D2159" s="397" t="s">
        <v>4728</v>
      </c>
      <c r="E2159" s="396" t="s">
        <v>4728</v>
      </c>
      <c r="F2159" s="396" t="s">
        <v>2179</v>
      </c>
      <c r="G2159" s="396" t="s">
        <v>1331</v>
      </c>
      <c r="H2159" s="396" t="s">
        <v>3125</v>
      </c>
      <c r="I2159" s="398">
        <v>0</v>
      </c>
      <c r="J2159" s="399" t="s">
        <v>3317</v>
      </c>
      <c r="K2159" s="399" t="s">
        <v>3138</v>
      </c>
      <c r="L2159" s="402"/>
      <c r="M2159" s="402"/>
      <c r="N2159" s="402"/>
      <c r="O2159" s="402"/>
      <c r="P2159" s="402"/>
      <c r="Q2159" s="402"/>
      <c r="R2159" s="403"/>
      <c r="S2159" s="234" t="e">
        <f>IF(C2159="",NA(),MATCH($B2159&amp;$C2159,'Smelter Reference List'!$J:$J,0))</f>
        <v>#N/A</v>
      </c>
      <c r="T2159" s="235"/>
      <c r="U2159" s="235">
        <f t="shared" si="62"/>
        <v>0</v>
      </c>
      <c r="V2159" s="235"/>
      <c r="W2159" s="235"/>
      <c r="Y2159" s="228" t="str">
        <f t="shared" si="63"/>
        <v>CID002003Gold</v>
      </c>
    </row>
    <row r="2160" spans="1:25" s="228" customFormat="1" ht="38.25">
      <c r="A2160" s="257"/>
      <c r="B2160" s="400" t="s">
        <v>6012</v>
      </c>
      <c r="C2160" s="396" t="s">
        <v>2323</v>
      </c>
      <c r="D2160" s="397" t="s">
        <v>4688</v>
      </c>
      <c r="E2160" s="396" t="s">
        <v>4688</v>
      </c>
      <c r="F2160" s="396" t="s">
        <v>2181</v>
      </c>
      <c r="G2160" s="396" t="s">
        <v>1268</v>
      </c>
      <c r="H2160" s="396" t="s">
        <v>3125</v>
      </c>
      <c r="I2160" s="398">
        <v>0</v>
      </c>
      <c r="J2160" s="399" t="s">
        <v>3197</v>
      </c>
      <c r="K2160" s="399" t="s">
        <v>3198</v>
      </c>
      <c r="L2160" s="402"/>
      <c r="M2160" s="402"/>
      <c r="N2160" s="402"/>
      <c r="O2160" s="402"/>
      <c r="P2160" s="402"/>
      <c r="Q2160" s="402"/>
      <c r="R2160" s="403"/>
      <c r="S2160" s="234" t="e">
        <f>IF(C2160="",NA(),MATCH($B2160&amp;$C2160,'Smelter Reference List'!$J:$J,0))</f>
        <v>#N/A</v>
      </c>
      <c r="T2160" s="235"/>
      <c r="U2160" s="235">
        <f t="shared" si="62"/>
        <v>0</v>
      </c>
      <c r="V2160" s="235"/>
      <c r="W2160" s="235"/>
      <c r="Y2160" s="228" t="str">
        <f t="shared" si="63"/>
        <v>CID000801Gold</v>
      </c>
    </row>
    <row r="2161" spans="1:25" s="228" customFormat="1">
      <c r="A2161" s="257"/>
      <c r="B2161" s="400" t="s">
        <v>6013</v>
      </c>
      <c r="C2161" s="396" t="s">
        <v>2323</v>
      </c>
      <c r="D2161" s="397" t="s">
        <v>4689</v>
      </c>
      <c r="E2161" s="396" t="s">
        <v>4689</v>
      </c>
      <c r="F2161" s="396" t="s">
        <v>2181</v>
      </c>
      <c r="G2161" s="396" t="s">
        <v>1272</v>
      </c>
      <c r="H2161" s="396" t="s">
        <v>3125</v>
      </c>
      <c r="I2161" s="398">
        <v>0</v>
      </c>
      <c r="J2161" s="399" t="s">
        <v>3203</v>
      </c>
      <c r="K2161" s="399" t="s">
        <v>3204</v>
      </c>
      <c r="L2161" s="402"/>
      <c r="M2161" s="402"/>
      <c r="N2161" s="402"/>
      <c r="O2161" s="402"/>
      <c r="P2161" s="402"/>
      <c r="Q2161" s="402"/>
      <c r="R2161" s="403"/>
      <c r="S2161" s="234" t="e">
        <f>IF(C2161="",NA(),MATCH($B2161&amp;$C2161,'Smelter Reference List'!$J:$J,0))</f>
        <v>#N/A</v>
      </c>
      <c r="T2161" s="235"/>
      <c r="U2161" s="235">
        <f t="shared" si="62"/>
        <v>0</v>
      </c>
      <c r="V2161" s="235"/>
      <c r="W2161" s="235"/>
      <c r="Y2161" s="228" t="str">
        <f t="shared" si="63"/>
        <v>CID000855Gold</v>
      </c>
    </row>
    <row r="2162" spans="1:25" s="228" customFormat="1" ht="25.5">
      <c r="A2162" s="257"/>
      <c r="B2162" s="400" t="s">
        <v>6014</v>
      </c>
      <c r="C2162" s="396" t="s">
        <v>2323</v>
      </c>
      <c r="D2162" s="397" t="s">
        <v>4177</v>
      </c>
      <c r="E2162" s="396" t="s">
        <v>4177</v>
      </c>
      <c r="F2162" s="396" t="s">
        <v>2181</v>
      </c>
      <c r="G2162" s="396" t="s">
        <v>1324</v>
      </c>
      <c r="H2162" s="396" t="s">
        <v>3125</v>
      </c>
      <c r="I2162" s="398">
        <v>0</v>
      </c>
      <c r="J2162" s="399" t="s">
        <v>3286</v>
      </c>
      <c r="K2162" s="399" t="s">
        <v>3264</v>
      </c>
      <c r="L2162" s="402"/>
      <c r="M2162" s="402"/>
      <c r="N2162" s="402"/>
      <c r="O2162" s="402"/>
      <c r="P2162" s="402"/>
      <c r="Q2162" s="402"/>
      <c r="R2162" s="403"/>
      <c r="S2162" s="234" t="e">
        <f>IF(C2162="",NA(),MATCH($B2162&amp;$C2162,'Smelter Reference List'!$J:$J,0))</f>
        <v>#N/A</v>
      </c>
      <c r="T2162" s="235"/>
      <c r="U2162" s="235">
        <f t="shared" si="62"/>
        <v>0</v>
      </c>
      <c r="V2162" s="235"/>
      <c r="W2162" s="235"/>
      <c r="Y2162" s="228" t="str">
        <f t="shared" si="63"/>
        <v>CID001916Gold</v>
      </c>
    </row>
    <row r="2163" spans="1:25" s="228" customFormat="1" ht="25.5">
      <c r="A2163" s="257"/>
      <c r="B2163" s="400" t="s">
        <v>6015</v>
      </c>
      <c r="C2163" s="396" t="s">
        <v>2323</v>
      </c>
      <c r="D2163" s="397" t="s">
        <v>4174</v>
      </c>
      <c r="E2163" s="396" t="s">
        <v>4174</v>
      </c>
      <c r="F2163" s="396" t="s">
        <v>2181</v>
      </c>
      <c r="G2163" s="396" t="s">
        <v>1316</v>
      </c>
      <c r="H2163" s="396" t="s">
        <v>3125</v>
      </c>
      <c r="I2163" s="398">
        <v>0</v>
      </c>
      <c r="J2163" s="399" t="s">
        <v>3185</v>
      </c>
      <c r="K2163" s="399" t="s">
        <v>3264</v>
      </c>
      <c r="L2163" s="402"/>
      <c r="M2163" s="402"/>
      <c r="N2163" s="402"/>
      <c r="O2163" s="402"/>
      <c r="P2163" s="402"/>
      <c r="Q2163" s="402"/>
      <c r="R2163" s="403"/>
      <c r="S2163" s="234" t="e">
        <f>IF(C2163="",NA(),MATCH($B2163&amp;$C2163,'Smelter Reference List'!$J:$J,0))</f>
        <v>#N/A</v>
      </c>
      <c r="T2163" s="235"/>
      <c r="U2163" s="235">
        <f t="shared" si="62"/>
        <v>0</v>
      </c>
      <c r="V2163" s="235"/>
      <c r="W2163" s="235"/>
      <c r="Y2163" s="228" t="str">
        <f t="shared" si="63"/>
        <v>CID001622Gold</v>
      </c>
    </row>
    <row r="2164" spans="1:25" s="228" customFormat="1" ht="25.5">
      <c r="A2164" s="257"/>
      <c r="B2164" s="400" t="s">
        <v>6016</v>
      </c>
      <c r="C2164" s="396" t="s">
        <v>2323</v>
      </c>
      <c r="D2164" s="397" t="s">
        <v>4293</v>
      </c>
      <c r="E2164" s="396" t="s">
        <v>4293</v>
      </c>
      <c r="F2164" s="396" t="s">
        <v>2181</v>
      </c>
      <c r="G2164" s="396" t="s">
        <v>1323</v>
      </c>
      <c r="H2164" s="396" t="s">
        <v>3125</v>
      </c>
      <c r="I2164" s="398">
        <v>0</v>
      </c>
      <c r="J2164" s="399" t="s">
        <v>3290</v>
      </c>
      <c r="K2164" s="399" t="s">
        <v>3291</v>
      </c>
      <c r="L2164" s="402"/>
      <c r="M2164" s="402"/>
      <c r="N2164" s="402"/>
      <c r="O2164" s="402"/>
      <c r="P2164" s="402"/>
      <c r="Q2164" s="402"/>
      <c r="R2164" s="403"/>
      <c r="S2164" s="234" t="e">
        <f>IF(C2164="",NA(),MATCH($B2164&amp;$C2164,'Smelter Reference List'!$J:$J,0))</f>
        <v>#N/A</v>
      </c>
      <c r="T2164" s="235"/>
      <c r="U2164" s="235">
        <f t="shared" si="62"/>
        <v>0</v>
      </c>
      <c r="V2164" s="235"/>
      <c r="W2164" s="235"/>
      <c r="Y2164" s="228" t="str">
        <f t="shared" si="63"/>
        <v>CID001909Gold</v>
      </c>
    </row>
    <row r="2165" spans="1:25" s="228" customFormat="1" ht="25.5">
      <c r="A2165" s="257"/>
      <c r="B2165" s="400" t="s">
        <v>6017</v>
      </c>
      <c r="C2165" s="396" t="s">
        <v>2323</v>
      </c>
      <c r="D2165" s="397" t="s">
        <v>2575</v>
      </c>
      <c r="E2165" s="396" t="s">
        <v>2575</v>
      </c>
      <c r="F2165" s="396" t="s">
        <v>2181</v>
      </c>
      <c r="G2165" s="396" t="s">
        <v>1336</v>
      </c>
      <c r="H2165" s="396" t="s">
        <v>3125</v>
      </c>
      <c r="I2165" s="398">
        <v>0</v>
      </c>
      <c r="J2165" s="399" t="s">
        <v>3326</v>
      </c>
      <c r="K2165" s="399" t="s">
        <v>3224</v>
      </c>
      <c r="L2165" s="402"/>
      <c r="M2165" s="402"/>
      <c r="N2165" s="402"/>
      <c r="O2165" s="402"/>
      <c r="P2165" s="402"/>
      <c r="Q2165" s="402"/>
      <c r="R2165" s="403"/>
      <c r="S2165" s="234" t="e">
        <f>IF(C2165="",NA(),MATCH($B2165&amp;$C2165,'Smelter Reference List'!$J:$J,0))</f>
        <v>#N/A</v>
      </c>
      <c r="T2165" s="235"/>
      <c r="U2165" s="235">
        <f t="shared" si="62"/>
        <v>0</v>
      </c>
      <c r="V2165" s="235"/>
      <c r="W2165" s="235"/>
      <c r="Y2165" s="228" t="str">
        <f t="shared" si="63"/>
        <v>CID002224Gold</v>
      </c>
    </row>
    <row r="2166" spans="1:25" s="228" customFormat="1" ht="25.5">
      <c r="A2166" s="257"/>
      <c r="B2166" s="400" t="s">
        <v>6018</v>
      </c>
      <c r="C2166" s="396" t="s">
        <v>2323</v>
      </c>
      <c r="D2166" s="397" t="s">
        <v>4290</v>
      </c>
      <c r="E2166" s="396" t="s">
        <v>4290</v>
      </c>
      <c r="F2166" s="396" t="s">
        <v>2181</v>
      </c>
      <c r="G2166" s="396" t="s">
        <v>1337</v>
      </c>
      <c r="H2166" s="396" t="s">
        <v>3125</v>
      </c>
      <c r="I2166" s="398">
        <v>0</v>
      </c>
      <c r="J2166" s="399" t="s">
        <v>3331</v>
      </c>
      <c r="K2166" s="399" t="s">
        <v>3332</v>
      </c>
      <c r="L2166" s="402"/>
      <c r="M2166" s="402"/>
      <c r="N2166" s="402"/>
      <c r="O2166" s="402"/>
      <c r="P2166" s="402"/>
      <c r="Q2166" s="402"/>
      <c r="R2166" s="403"/>
      <c r="S2166" s="234" t="e">
        <f>IF(C2166="",NA(),MATCH($B2166&amp;$C2166,'Smelter Reference List'!$J:$J,0))</f>
        <v>#N/A</v>
      </c>
      <c r="T2166" s="235"/>
      <c r="U2166" s="235">
        <f t="shared" si="62"/>
        <v>0</v>
      </c>
      <c r="V2166" s="235"/>
      <c r="W2166" s="235"/>
      <c r="Y2166" s="228" t="str">
        <f t="shared" si="63"/>
        <v>CID002243Gold</v>
      </c>
    </row>
    <row r="2167" spans="1:25" s="228" customFormat="1" ht="25.5">
      <c r="A2167" s="257"/>
      <c r="B2167" s="400" t="s">
        <v>6019</v>
      </c>
      <c r="C2167" s="396" t="s">
        <v>2323</v>
      </c>
      <c r="D2167" s="397" t="s">
        <v>70</v>
      </c>
      <c r="E2167" s="396" t="s">
        <v>70</v>
      </c>
      <c r="F2167" s="396" t="s">
        <v>2195</v>
      </c>
      <c r="G2167" s="396" t="s">
        <v>1235</v>
      </c>
      <c r="H2167" s="396" t="s">
        <v>3125</v>
      </c>
      <c r="I2167" s="398">
        <v>0</v>
      </c>
      <c r="J2167" s="399" t="s">
        <v>3130</v>
      </c>
      <c r="K2167" s="399" t="s">
        <v>3131</v>
      </c>
      <c r="L2167" s="402"/>
      <c r="M2167" s="402"/>
      <c r="N2167" s="402"/>
      <c r="O2167" s="402"/>
      <c r="P2167" s="402"/>
      <c r="Q2167" s="402"/>
      <c r="R2167" s="403"/>
      <c r="S2167" s="234" t="e">
        <f>IF(C2167="",NA(),MATCH($B2167&amp;$C2167,'Smelter Reference List'!$J:$J,0))</f>
        <v>#N/A</v>
      </c>
      <c r="T2167" s="235"/>
      <c r="U2167" s="235">
        <f t="shared" si="62"/>
        <v>0</v>
      </c>
      <c r="V2167" s="235"/>
      <c r="W2167" s="235"/>
      <c r="Y2167" s="228" t="str">
        <f t="shared" si="63"/>
        <v>CID000035Gold</v>
      </c>
    </row>
    <row r="2168" spans="1:25" s="228" customFormat="1">
      <c r="A2168" s="257"/>
      <c r="B2168" s="400" t="s">
        <v>6020</v>
      </c>
      <c r="C2168" s="396" t="s">
        <v>2323</v>
      </c>
      <c r="D2168" s="397" t="s">
        <v>1959</v>
      </c>
      <c r="E2168" s="396" t="s">
        <v>1959</v>
      </c>
      <c r="F2168" s="396" t="s">
        <v>2195</v>
      </c>
      <c r="G2168" s="396" t="s">
        <v>1263</v>
      </c>
      <c r="H2168" s="396" t="s">
        <v>3125</v>
      </c>
      <c r="I2168" s="398">
        <v>0</v>
      </c>
      <c r="J2168" s="399" t="s">
        <v>3130</v>
      </c>
      <c r="K2168" s="399" t="s">
        <v>3131</v>
      </c>
      <c r="L2168" s="402"/>
      <c r="M2168" s="402"/>
      <c r="N2168" s="402"/>
      <c r="O2168" s="402"/>
      <c r="P2168" s="402"/>
      <c r="Q2168" s="402"/>
      <c r="R2168" s="403"/>
      <c r="S2168" s="234" t="e">
        <f>IF(C2168="",NA(),MATCH($B2168&amp;$C2168,'Smelter Reference List'!$J:$J,0))</f>
        <v>#N/A</v>
      </c>
      <c r="T2168" s="235"/>
      <c r="U2168" s="235">
        <f t="shared" si="62"/>
        <v>0</v>
      </c>
      <c r="V2168" s="235"/>
      <c r="W2168" s="235"/>
      <c r="Y2168" s="228" t="str">
        <f t="shared" si="63"/>
        <v>CID000694Gold</v>
      </c>
    </row>
    <row r="2169" spans="1:25" s="228" customFormat="1" ht="25.5">
      <c r="A2169" s="257"/>
      <c r="B2169" s="400" t="s">
        <v>6021</v>
      </c>
      <c r="C2169" s="396" t="s">
        <v>2323</v>
      </c>
      <c r="D2169" s="397" t="s">
        <v>2451</v>
      </c>
      <c r="E2169" s="396" t="s">
        <v>2451</v>
      </c>
      <c r="F2169" s="396" t="s">
        <v>2195</v>
      </c>
      <c r="G2169" s="396" t="s">
        <v>1265</v>
      </c>
      <c r="H2169" s="396" t="s">
        <v>3125</v>
      </c>
      <c r="I2169" s="398">
        <v>0</v>
      </c>
      <c r="J2169" s="399" t="s">
        <v>3192</v>
      </c>
      <c r="K2169" s="399" t="s">
        <v>3193</v>
      </c>
      <c r="L2169" s="402"/>
      <c r="M2169" s="402"/>
      <c r="N2169" s="402"/>
      <c r="O2169" s="402"/>
      <c r="P2169" s="402"/>
      <c r="Q2169" s="402"/>
      <c r="R2169" s="403"/>
      <c r="S2169" s="234" t="e">
        <f>IF(C2169="",NA(),MATCH($B2169&amp;$C2169,'Smelter Reference List'!$J:$J,0))</f>
        <v>#N/A</v>
      </c>
      <c r="T2169" s="235"/>
      <c r="U2169" s="235">
        <f t="shared" si="62"/>
        <v>0</v>
      </c>
      <c r="V2169" s="235"/>
      <c r="W2169" s="235"/>
      <c r="Y2169" s="228" t="str">
        <f t="shared" si="63"/>
        <v>CID000711Gold</v>
      </c>
    </row>
    <row r="2170" spans="1:25" s="228" customFormat="1">
      <c r="A2170" s="257"/>
      <c r="B2170" s="400" t="s">
        <v>6022</v>
      </c>
      <c r="C2170" s="396" t="s">
        <v>2323</v>
      </c>
      <c r="D2170" s="397" t="s">
        <v>4716</v>
      </c>
      <c r="E2170" s="396" t="s">
        <v>4716</v>
      </c>
      <c r="F2170" s="396" t="s">
        <v>2205</v>
      </c>
      <c r="G2170" s="396" t="s">
        <v>1315</v>
      </c>
      <c r="H2170" s="396" t="s">
        <v>3125</v>
      </c>
      <c r="I2170" s="398">
        <v>0</v>
      </c>
      <c r="J2170" s="399" t="s">
        <v>3281</v>
      </c>
      <c r="K2170" s="399" t="s">
        <v>3282</v>
      </c>
      <c r="L2170" s="402"/>
      <c r="M2170" s="402"/>
      <c r="N2170" s="402"/>
      <c r="O2170" s="402"/>
      <c r="P2170" s="402"/>
      <c r="Q2170" s="402"/>
      <c r="R2170" s="403"/>
      <c r="S2170" s="234" t="e">
        <f>IF(C2170="",NA(),MATCH($B2170&amp;$C2170,'Smelter Reference List'!$J:$J,0))</f>
        <v>#N/A</v>
      </c>
      <c r="T2170" s="235"/>
      <c r="U2170" s="235">
        <f t="shared" si="62"/>
        <v>0</v>
      </c>
      <c r="V2170" s="235"/>
      <c r="W2170" s="235"/>
      <c r="Y2170" s="228" t="str">
        <f t="shared" si="63"/>
        <v>CID001585Gold</v>
      </c>
    </row>
    <row r="2171" spans="1:25" s="228" customFormat="1">
      <c r="A2171" s="257"/>
      <c r="B2171" s="400" t="s">
        <v>6023</v>
      </c>
      <c r="C2171" s="396" t="s">
        <v>2323</v>
      </c>
      <c r="D2171" s="397" t="s">
        <v>72</v>
      </c>
      <c r="E2171" s="396" t="s">
        <v>72</v>
      </c>
      <c r="F2171" s="396" t="s">
        <v>2181</v>
      </c>
      <c r="G2171" s="396" t="s">
        <v>1264</v>
      </c>
      <c r="H2171" s="396" t="s">
        <v>3125</v>
      </c>
      <c r="I2171" s="398">
        <v>0</v>
      </c>
      <c r="J2171" s="399" t="s">
        <v>3190</v>
      </c>
      <c r="K2171" s="399" t="s">
        <v>3191</v>
      </c>
      <c r="L2171" s="402"/>
      <c r="M2171" s="402"/>
      <c r="N2171" s="402"/>
      <c r="O2171" s="402"/>
      <c r="P2171" s="402"/>
      <c r="Q2171" s="402"/>
      <c r="R2171" s="403"/>
      <c r="S2171" s="234" t="e">
        <f>IF(C2171="",NA(),MATCH($B2171&amp;$C2171,'Smelter Reference List'!$J:$J,0))</f>
        <v>#N/A</v>
      </c>
      <c r="T2171" s="235"/>
      <c r="U2171" s="235">
        <f t="shared" si="62"/>
        <v>0</v>
      </c>
      <c r="V2171" s="235"/>
      <c r="W2171" s="235"/>
      <c r="Y2171" s="228" t="str">
        <f t="shared" si="63"/>
        <v>CID000707Gold</v>
      </c>
    </row>
    <row r="2172" spans="1:25" s="228" customFormat="1" ht="25.5">
      <c r="A2172" s="257"/>
      <c r="B2172" s="400" t="s">
        <v>6024</v>
      </c>
      <c r="C2172" s="396" t="s">
        <v>2323</v>
      </c>
      <c r="D2172" s="397" t="s">
        <v>4162</v>
      </c>
      <c r="E2172" s="396" t="s">
        <v>4162</v>
      </c>
      <c r="F2172" s="396" t="s">
        <v>2181</v>
      </c>
      <c r="G2172" s="396" t="s">
        <v>1291</v>
      </c>
      <c r="H2172" s="396" t="s">
        <v>3125</v>
      </c>
      <c r="I2172" s="398">
        <v>0</v>
      </c>
      <c r="J2172" s="399" t="s">
        <v>3236</v>
      </c>
      <c r="K2172" s="399" t="s">
        <v>3191</v>
      </c>
      <c r="L2172" s="402"/>
      <c r="M2172" s="402"/>
      <c r="N2172" s="402"/>
      <c r="O2172" s="402"/>
      <c r="P2172" s="402"/>
      <c r="Q2172" s="402"/>
      <c r="R2172" s="403"/>
      <c r="S2172" s="234" t="e">
        <f>IF(C2172="",NA(),MATCH($B2172&amp;$C2172,'Smelter Reference List'!$J:$J,0))</f>
        <v>#N/A</v>
      </c>
      <c r="T2172" s="235"/>
      <c r="U2172" s="235">
        <f t="shared" si="62"/>
        <v>0</v>
      </c>
      <c r="V2172" s="235"/>
      <c r="W2172" s="235"/>
      <c r="Y2172" s="228" t="str">
        <f t="shared" si="63"/>
        <v>CID001149Gold</v>
      </c>
    </row>
    <row r="2173" spans="1:25" s="228" customFormat="1">
      <c r="A2173" s="257"/>
      <c r="B2173" s="400" t="s">
        <v>6025</v>
      </c>
      <c r="C2173" s="396" t="s">
        <v>2323</v>
      </c>
      <c r="D2173" s="397" t="s">
        <v>4670</v>
      </c>
      <c r="E2173" s="396" t="s">
        <v>4670</v>
      </c>
      <c r="F2173" s="396" t="s">
        <v>2249</v>
      </c>
      <c r="G2173" s="396" t="s">
        <v>1239</v>
      </c>
      <c r="H2173" s="396" t="s">
        <v>3125</v>
      </c>
      <c r="I2173" s="398">
        <v>0</v>
      </c>
      <c r="J2173" s="399" t="s">
        <v>3139</v>
      </c>
      <c r="K2173" s="399" t="s">
        <v>3140</v>
      </c>
      <c r="L2173" s="402"/>
      <c r="M2173" s="402"/>
      <c r="N2173" s="402"/>
      <c r="O2173" s="402"/>
      <c r="P2173" s="402"/>
      <c r="Q2173" s="402"/>
      <c r="R2173" s="403"/>
      <c r="S2173" s="234" t="e">
        <f>IF(C2173="",NA(),MATCH($B2173&amp;$C2173,'Smelter Reference List'!$J:$J,0))</f>
        <v>#N/A</v>
      </c>
      <c r="T2173" s="235"/>
      <c r="U2173" s="235">
        <f t="shared" si="62"/>
        <v>0</v>
      </c>
      <c r="V2173" s="235"/>
      <c r="W2173" s="235"/>
      <c r="Y2173" s="228" t="str">
        <f t="shared" si="63"/>
        <v>CID000082Gold</v>
      </c>
    </row>
    <row r="2174" spans="1:25" s="228" customFormat="1">
      <c r="A2174" s="257"/>
      <c r="B2174" s="400" t="s">
        <v>6026</v>
      </c>
      <c r="C2174" s="396" t="s">
        <v>2323</v>
      </c>
      <c r="D2174" s="397" t="s">
        <v>1788</v>
      </c>
      <c r="E2174" s="396" t="s">
        <v>1788</v>
      </c>
      <c r="F2174" s="396" t="s">
        <v>2249</v>
      </c>
      <c r="G2174" s="396" t="s">
        <v>1258</v>
      </c>
      <c r="H2174" s="396" t="s">
        <v>3125</v>
      </c>
      <c r="I2174" s="398">
        <v>0</v>
      </c>
      <c r="J2174" s="399" t="s">
        <v>3173</v>
      </c>
      <c r="K2174" s="399" t="s">
        <v>3174</v>
      </c>
      <c r="L2174" s="402"/>
      <c r="M2174" s="402"/>
      <c r="N2174" s="402"/>
      <c r="O2174" s="402"/>
      <c r="P2174" s="402"/>
      <c r="Q2174" s="402"/>
      <c r="R2174" s="403"/>
      <c r="S2174" s="234" t="e">
        <f>IF(C2174="",NA(),MATCH($B2174&amp;$C2174,'Smelter Reference List'!$J:$J,0))</f>
        <v>#N/A</v>
      </c>
      <c r="T2174" s="235"/>
      <c r="U2174" s="235">
        <f t="shared" si="62"/>
        <v>0</v>
      </c>
      <c r="V2174" s="235"/>
      <c r="W2174" s="235"/>
      <c r="Y2174" s="228" t="str">
        <f t="shared" si="63"/>
        <v>CID000401Gold</v>
      </c>
    </row>
    <row r="2175" spans="1:25" s="228" customFormat="1" ht="25.5">
      <c r="A2175" s="257"/>
      <c r="B2175" s="400" t="s">
        <v>6027</v>
      </c>
      <c r="C2175" s="396" t="s">
        <v>2323</v>
      </c>
      <c r="D2175" s="397" t="s">
        <v>2452</v>
      </c>
      <c r="E2175" s="396" t="s">
        <v>2452</v>
      </c>
      <c r="F2175" s="396" t="s">
        <v>2249</v>
      </c>
      <c r="G2175" s="396" t="s">
        <v>1269</v>
      </c>
      <c r="H2175" s="396" t="s">
        <v>3125</v>
      </c>
      <c r="I2175" s="398">
        <v>0</v>
      </c>
      <c r="J2175" s="399" t="s">
        <v>3199</v>
      </c>
      <c r="K2175" s="399" t="s">
        <v>3179</v>
      </c>
      <c r="L2175" s="402"/>
      <c r="M2175" s="402"/>
      <c r="N2175" s="402"/>
      <c r="O2175" s="402"/>
      <c r="P2175" s="402"/>
      <c r="Q2175" s="402"/>
      <c r="R2175" s="403"/>
      <c r="S2175" s="234" t="e">
        <f>IF(C2175="",NA(),MATCH($B2175&amp;$C2175,'Smelter Reference List'!$J:$J,0))</f>
        <v>#N/A</v>
      </c>
      <c r="T2175" s="235"/>
      <c r="U2175" s="235">
        <f t="shared" si="62"/>
        <v>0</v>
      </c>
      <c r="V2175" s="235"/>
      <c r="W2175" s="235"/>
      <c r="Y2175" s="228" t="str">
        <f t="shared" si="63"/>
        <v>CID000807Gold</v>
      </c>
    </row>
    <row r="2176" spans="1:25" s="228" customFormat="1">
      <c r="A2176" s="257"/>
      <c r="B2176" s="400" t="s">
        <v>6028</v>
      </c>
      <c r="C2176" s="396" t="s">
        <v>2323</v>
      </c>
      <c r="D2176" s="397" t="s">
        <v>1790</v>
      </c>
      <c r="E2176" s="396" t="s">
        <v>1790</v>
      </c>
      <c r="F2176" s="396" t="s">
        <v>2249</v>
      </c>
      <c r="G2176" s="396" t="s">
        <v>1271</v>
      </c>
      <c r="H2176" s="396" t="s">
        <v>3125</v>
      </c>
      <c r="I2176" s="398">
        <v>0</v>
      </c>
      <c r="J2176" s="399" t="s">
        <v>3201</v>
      </c>
      <c r="K2176" s="399" t="s">
        <v>3202</v>
      </c>
      <c r="L2176" s="402"/>
      <c r="M2176" s="402"/>
      <c r="N2176" s="402"/>
      <c r="O2176" s="402"/>
      <c r="P2176" s="402"/>
      <c r="Q2176" s="402"/>
      <c r="R2176" s="403"/>
      <c r="S2176" s="234" t="e">
        <f>IF(C2176="",NA(),MATCH($B2176&amp;$C2176,'Smelter Reference List'!$J:$J,0))</f>
        <v>#N/A</v>
      </c>
      <c r="T2176" s="235"/>
      <c r="U2176" s="235">
        <f t="shared" si="62"/>
        <v>0</v>
      </c>
      <c r="V2176" s="235"/>
      <c r="W2176" s="235"/>
      <c r="Y2176" s="228" t="str">
        <f t="shared" si="63"/>
        <v>CID000823Gold</v>
      </c>
    </row>
    <row r="2177" spans="1:25" s="228" customFormat="1">
      <c r="A2177" s="257"/>
      <c r="B2177" s="400" t="s">
        <v>6029</v>
      </c>
      <c r="C2177" s="396" t="s">
        <v>2323</v>
      </c>
      <c r="D2177" s="397" t="s">
        <v>75</v>
      </c>
      <c r="E2177" s="396" t="s">
        <v>75</v>
      </c>
      <c r="F2177" s="396" t="s">
        <v>2249</v>
      </c>
      <c r="G2177" s="396" t="s">
        <v>1290</v>
      </c>
      <c r="H2177" s="396" t="s">
        <v>3125</v>
      </c>
      <c r="I2177" s="398">
        <v>0</v>
      </c>
      <c r="J2177" s="399" t="s">
        <v>3231</v>
      </c>
      <c r="K2177" s="399" t="s">
        <v>3179</v>
      </c>
      <c r="L2177" s="402"/>
      <c r="M2177" s="402"/>
      <c r="N2177" s="402"/>
      <c r="O2177" s="402"/>
      <c r="P2177" s="402"/>
      <c r="Q2177" s="402"/>
      <c r="R2177" s="403"/>
      <c r="S2177" s="234" t="e">
        <f>IF(C2177="",NA(),MATCH($B2177&amp;$C2177,'Smelter Reference List'!$J:$J,0))</f>
        <v>#N/A</v>
      </c>
      <c r="T2177" s="235"/>
      <c r="U2177" s="235">
        <f t="shared" si="62"/>
        <v>0</v>
      </c>
      <c r="V2177" s="235"/>
      <c r="W2177" s="235"/>
      <c r="Y2177" s="228" t="str">
        <f t="shared" si="63"/>
        <v>CID001119Gold</v>
      </c>
    </row>
    <row r="2178" spans="1:25" s="228" customFormat="1" ht="25.5">
      <c r="A2178" s="257"/>
      <c r="B2178" s="400" t="s">
        <v>6030</v>
      </c>
      <c r="C2178" s="396" t="s">
        <v>2323</v>
      </c>
      <c r="D2178" s="397" t="s">
        <v>73</v>
      </c>
      <c r="E2178" s="396" t="s">
        <v>73</v>
      </c>
      <c r="F2178" s="396" t="s">
        <v>2249</v>
      </c>
      <c r="G2178" s="396" t="s">
        <v>1277</v>
      </c>
      <c r="H2178" s="396" t="s">
        <v>3125</v>
      </c>
      <c r="I2178" s="398">
        <v>0</v>
      </c>
      <c r="J2178" s="399" t="s">
        <v>4844</v>
      </c>
      <c r="K2178" s="399" t="s">
        <v>4844</v>
      </c>
      <c r="L2178" s="402"/>
      <c r="M2178" s="402"/>
      <c r="N2178" s="402"/>
      <c r="O2178" s="402"/>
      <c r="P2178" s="402"/>
      <c r="Q2178" s="402"/>
      <c r="R2178" s="403"/>
      <c r="S2178" s="234" t="e">
        <f>IF(C2178="",NA(),MATCH($B2178&amp;$C2178,'Smelter Reference List'!$J:$J,0))</f>
        <v>#N/A</v>
      </c>
      <c r="T2178" s="235"/>
      <c r="U2178" s="235">
        <f t="shared" si="62"/>
        <v>0</v>
      </c>
      <c r="V2178" s="235"/>
      <c r="W2178" s="235"/>
      <c r="Y2178" s="228" t="str">
        <f t="shared" si="63"/>
        <v>CID000937Gold</v>
      </c>
    </row>
    <row r="2179" spans="1:25" s="228" customFormat="1" ht="25.5">
      <c r="A2179" s="257"/>
      <c r="B2179" s="400" t="s">
        <v>6031</v>
      </c>
      <c r="C2179" s="396" t="s">
        <v>2323</v>
      </c>
      <c r="D2179" s="397" t="s">
        <v>2371</v>
      </c>
      <c r="E2179" s="396" t="s">
        <v>2371</v>
      </c>
      <c r="F2179" s="396" t="s">
        <v>2249</v>
      </c>
      <c r="G2179" s="396" t="s">
        <v>1296</v>
      </c>
      <c r="H2179" s="396" t="s">
        <v>3125</v>
      </c>
      <c r="I2179" s="398">
        <v>0</v>
      </c>
      <c r="J2179" s="399" t="s">
        <v>3245</v>
      </c>
      <c r="K2179" s="399" t="s">
        <v>4283</v>
      </c>
      <c r="L2179" s="402"/>
      <c r="M2179" s="402"/>
      <c r="N2179" s="402"/>
      <c r="O2179" s="402"/>
      <c r="P2179" s="402"/>
      <c r="Q2179" s="402"/>
      <c r="R2179" s="403"/>
      <c r="S2179" s="234" t="e">
        <f>IF(C2179="",NA(),MATCH($B2179&amp;$C2179,'Smelter Reference List'!$J:$J,0))</f>
        <v>#N/A</v>
      </c>
      <c r="T2179" s="235"/>
      <c r="U2179" s="235">
        <f t="shared" si="62"/>
        <v>0</v>
      </c>
      <c r="V2179" s="235"/>
      <c r="W2179" s="235"/>
      <c r="Y2179" s="228" t="str">
        <f t="shared" si="63"/>
        <v>CID001188Gold</v>
      </c>
    </row>
    <row r="2180" spans="1:25" s="228" customFormat="1" ht="25.5">
      <c r="A2180" s="257"/>
      <c r="B2180" s="400" t="s">
        <v>6032</v>
      </c>
      <c r="C2180" s="396" t="s">
        <v>2323</v>
      </c>
      <c r="D2180" s="397" t="s">
        <v>2454</v>
      </c>
      <c r="E2180" s="396" t="s">
        <v>2454</v>
      </c>
      <c r="F2180" s="396" t="s">
        <v>2249</v>
      </c>
      <c r="G2180" s="396" t="s">
        <v>1297</v>
      </c>
      <c r="H2180" s="396" t="s">
        <v>3125</v>
      </c>
      <c r="I2180" s="398">
        <v>0</v>
      </c>
      <c r="J2180" s="399" t="s">
        <v>3247</v>
      </c>
      <c r="K2180" s="399" t="s">
        <v>3246</v>
      </c>
      <c r="L2180" s="402"/>
      <c r="M2180" s="402"/>
      <c r="N2180" s="402"/>
      <c r="O2180" s="402"/>
      <c r="P2180" s="402"/>
      <c r="Q2180" s="402"/>
      <c r="R2180" s="403"/>
      <c r="S2180" s="234" t="e">
        <f>IF(C2180="",NA(),MATCH($B2180&amp;$C2180,'Smelter Reference List'!$J:$J,0))</f>
        <v>#N/A</v>
      </c>
      <c r="T2180" s="235"/>
      <c r="U2180" s="235">
        <f t="shared" si="62"/>
        <v>0</v>
      </c>
      <c r="V2180" s="235"/>
      <c r="W2180" s="235"/>
      <c r="Y2180" s="228" t="str">
        <f t="shared" si="63"/>
        <v>CID001193Gold</v>
      </c>
    </row>
    <row r="2181" spans="1:25" s="228" customFormat="1" ht="25.5">
      <c r="A2181" s="257"/>
      <c r="B2181" s="400" t="s">
        <v>6033</v>
      </c>
      <c r="C2181" s="396" t="s">
        <v>2323</v>
      </c>
      <c r="D2181" s="397" t="s">
        <v>77</v>
      </c>
      <c r="E2181" s="396" t="s">
        <v>77</v>
      </c>
      <c r="F2181" s="396" t="s">
        <v>2249</v>
      </c>
      <c r="G2181" s="396" t="s">
        <v>1321</v>
      </c>
      <c r="H2181" s="396" t="s">
        <v>3125</v>
      </c>
      <c r="I2181" s="398">
        <v>0</v>
      </c>
      <c r="J2181" s="399" t="s">
        <v>3297</v>
      </c>
      <c r="K2181" s="399" t="s">
        <v>4284</v>
      </c>
      <c r="L2181" s="402"/>
      <c r="M2181" s="402"/>
      <c r="N2181" s="402"/>
      <c r="O2181" s="402"/>
      <c r="P2181" s="402"/>
      <c r="Q2181" s="402"/>
      <c r="R2181" s="403"/>
      <c r="S2181" s="234" t="e">
        <f>IF(C2181="",NA(),MATCH($B2181&amp;$C2181,'Smelter Reference List'!$J:$J,0))</f>
        <v>#N/A</v>
      </c>
      <c r="T2181" s="235"/>
      <c r="U2181" s="235">
        <f t="shared" si="62"/>
        <v>0</v>
      </c>
      <c r="V2181" s="235"/>
      <c r="W2181" s="235"/>
      <c r="Y2181" s="228" t="str">
        <f t="shared" si="63"/>
        <v>CID001798Gold</v>
      </c>
    </row>
    <row r="2182" spans="1:25" s="228" customFormat="1" ht="25.5">
      <c r="A2182" s="257"/>
      <c r="B2182" s="400" t="s">
        <v>6034</v>
      </c>
      <c r="C2182" s="396" t="s">
        <v>2323</v>
      </c>
      <c r="D2182" s="397" t="s">
        <v>4251</v>
      </c>
      <c r="E2182" s="396" t="s">
        <v>4251</v>
      </c>
      <c r="F2182" s="396" t="s">
        <v>2181</v>
      </c>
      <c r="G2182" s="396" t="s">
        <v>1326</v>
      </c>
      <c r="H2182" s="396" t="s">
        <v>3125</v>
      </c>
      <c r="I2182" s="398">
        <v>0</v>
      </c>
      <c r="J2182" s="399" t="s">
        <v>3306</v>
      </c>
      <c r="K2182" s="399" t="s">
        <v>3307</v>
      </c>
      <c r="L2182" s="402"/>
      <c r="M2182" s="402"/>
      <c r="N2182" s="402"/>
      <c r="O2182" s="402"/>
      <c r="P2182" s="402"/>
      <c r="Q2182" s="402"/>
      <c r="R2182" s="403"/>
      <c r="S2182" s="234" t="e">
        <f>IF(C2182="",NA(),MATCH($B2182&amp;$C2182,'Smelter Reference List'!$J:$J,0))</f>
        <v>#N/A</v>
      </c>
      <c r="T2182" s="235"/>
      <c r="U2182" s="235">
        <f t="shared" ref="U2182:U2245" si="64">IF(AND(C2182="Smelter not listed",OR(LEN(D2182)=0,LEN(E2182)=0)),1,0)</f>
        <v>0</v>
      </c>
      <c r="V2182" s="235"/>
      <c r="W2182" s="235"/>
      <c r="Y2182" s="228" t="str">
        <f t="shared" ref="Y2182:Y2245" si="65">B2182&amp;C2182</f>
        <v>CID001947Gold</v>
      </c>
    </row>
    <row r="2183" spans="1:25" s="228" customFormat="1" ht="25.5">
      <c r="A2183" s="257"/>
      <c r="B2183" s="400" t="s">
        <v>6035</v>
      </c>
      <c r="C2183" s="396" t="s">
        <v>2323</v>
      </c>
      <c r="D2183" s="397" t="s">
        <v>4163</v>
      </c>
      <c r="E2183" s="396" t="s">
        <v>4163</v>
      </c>
      <c r="F2183" s="396" t="s">
        <v>1722</v>
      </c>
      <c r="G2183" s="396" t="s">
        <v>1292</v>
      </c>
      <c r="H2183" s="396" t="s">
        <v>3125</v>
      </c>
      <c r="I2183" s="398">
        <v>0</v>
      </c>
      <c r="J2183" s="399" t="s">
        <v>3237</v>
      </c>
      <c r="K2183" s="399" t="s">
        <v>3238</v>
      </c>
      <c r="L2183" s="402"/>
      <c r="M2183" s="402"/>
      <c r="N2183" s="402"/>
      <c r="O2183" s="402"/>
      <c r="P2183" s="402"/>
      <c r="Q2183" s="402"/>
      <c r="R2183" s="403"/>
      <c r="S2183" s="234" t="e">
        <f>IF(C2183="",NA(),MATCH($B2183&amp;$C2183,'Smelter Reference List'!$J:$J,0))</f>
        <v>#N/A</v>
      </c>
      <c r="T2183" s="235"/>
      <c r="U2183" s="235">
        <f t="shared" si="64"/>
        <v>0</v>
      </c>
      <c r="V2183" s="235"/>
      <c r="W2183" s="235"/>
      <c r="Y2183" s="228" t="str">
        <f t="shared" si="65"/>
        <v>CID001152Gold</v>
      </c>
    </row>
    <row r="2184" spans="1:25" s="228" customFormat="1">
      <c r="A2184" s="257"/>
      <c r="B2184" s="400" t="s">
        <v>6036</v>
      </c>
      <c r="C2184" s="396" t="s">
        <v>2323</v>
      </c>
      <c r="D2184" s="397" t="s">
        <v>1787</v>
      </c>
      <c r="E2184" s="396" t="s">
        <v>1787</v>
      </c>
      <c r="F2184" s="396" t="s">
        <v>2275</v>
      </c>
      <c r="G2184" s="396" t="s">
        <v>1247</v>
      </c>
      <c r="H2184" s="396" t="s">
        <v>3125</v>
      </c>
      <c r="I2184" s="398">
        <v>0</v>
      </c>
      <c r="J2184" s="399" t="s">
        <v>3152</v>
      </c>
      <c r="K2184" s="399" t="s">
        <v>3153</v>
      </c>
      <c r="L2184" s="402"/>
      <c r="M2184" s="402"/>
      <c r="N2184" s="402"/>
      <c r="O2184" s="402"/>
      <c r="P2184" s="402"/>
      <c r="Q2184" s="402"/>
      <c r="R2184" s="403"/>
      <c r="S2184" s="234" t="e">
        <f>IF(C2184="",NA(),MATCH($B2184&amp;$C2184,'Smelter Reference List'!$J:$J,0))</f>
        <v>#N/A</v>
      </c>
      <c r="T2184" s="235"/>
      <c r="U2184" s="235">
        <f t="shared" si="64"/>
        <v>0</v>
      </c>
      <c r="V2184" s="235"/>
      <c r="W2184" s="235"/>
      <c r="Y2184" s="228" t="str">
        <f t="shared" si="65"/>
        <v>CID000180Gold</v>
      </c>
    </row>
    <row r="2185" spans="1:25" s="228" customFormat="1" ht="25.5">
      <c r="A2185" s="257"/>
      <c r="B2185" s="400" t="s">
        <v>6037</v>
      </c>
      <c r="C2185" s="396" t="s">
        <v>2323</v>
      </c>
      <c r="D2185" s="397" t="s">
        <v>726</v>
      </c>
      <c r="E2185" s="396" t="s">
        <v>726</v>
      </c>
      <c r="F2185" s="396" t="s">
        <v>2249</v>
      </c>
      <c r="G2185" s="396" t="s">
        <v>727</v>
      </c>
      <c r="H2185" s="396" t="s">
        <v>3125</v>
      </c>
      <c r="I2185" s="398">
        <v>0</v>
      </c>
      <c r="J2185" s="399" t="s">
        <v>3178</v>
      </c>
      <c r="K2185" s="399" t="s">
        <v>3179</v>
      </c>
      <c r="L2185" s="402"/>
      <c r="M2185" s="402"/>
      <c r="N2185" s="402"/>
      <c r="O2185" s="402"/>
      <c r="P2185" s="402"/>
      <c r="Q2185" s="402"/>
      <c r="R2185" s="403"/>
      <c r="S2185" s="234" t="e">
        <f>IF(C2185="",NA(),MATCH($B2185&amp;$C2185,'Smelter Reference List'!$J:$J,0))</f>
        <v>#N/A</v>
      </c>
      <c r="T2185" s="235"/>
      <c r="U2185" s="235">
        <f t="shared" si="64"/>
        <v>0</v>
      </c>
      <c r="V2185" s="235"/>
      <c r="W2185" s="235"/>
      <c r="Y2185" s="228" t="str">
        <f t="shared" si="65"/>
        <v>CID000425Gold</v>
      </c>
    </row>
    <row r="2186" spans="1:25" s="228" customFormat="1">
      <c r="A2186" s="257"/>
      <c r="B2186" s="400" t="s">
        <v>6038</v>
      </c>
      <c r="C2186" s="396" t="s">
        <v>2323</v>
      </c>
      <c r="D2186" s="397" t="s">
        <v>4171</v>
      </c>
      <c r="E2186" s="396" t="s">
        <v>4171</v>
      </c>
      <c r="F2186" s="396" t="s">
        <v>1772</v>
      </c>
      <c r="G2186" s="396" t="s">
        <v>1310</v>
      </c>
      <c r="H2186" s="396" t="s">
        <v>3125</v>
      </c>
      <c r="I2186" s="398">
        <v>0</v>
      </c>
      <c r="J2186" s="399" t="s">
        <v>3270</v>
      </c>
      <c r="K2186" s="399" t="s">
        <v>3271</v>
      </c>
      <c r="L2186" s="402"/>
      <c r="M2186" s="402"/>
      <c r="N2186" s="402"/>
      <c r="O2186" s="402"/>
      <c r="P2186" s="402"/>
      <c r="Q2186" s="402"/>
      <c r="R2186" s="403"/>
      <c r="S2186" s="234" t="e">
        <f>IF(C2186="",NA(),MATCH($B2186&amp;$C2186,'Smelter Reference List'!$J:$J,0))</f>
        <v>#N/A</v>
      </c>
      <c r="T2186" s="235"/>
      <c r="U2186" s="235">
        <f t="shared" si="64"/>
        <v>0</v>
      </c>
      <c r="V2186" s="235"/>
      <c r="W2186" s="235"/>
      <c r="Y2186" s="228" t="str">
        <f t="shared" si="65"/>
        <v>CID001512Gold</v>
      </c>
    </row>
    <row r="2187" spans="1:25" s="228" customFormat="1" ht="25.5">
      <c r="A2187" s="257"/>
      <c r="B2187" s="400" t="s">
        <v>6039</v>
      </c>
      <c r="C2187" s="396" t="s">
        <v>2323</v>
      </c>
      <c r="D2187" s="397" t="s">
        <v>2455</v>
      </c>
      <c r="E2187" s="396" t="s">
        <v>2455</v>
      </c>
      <c r="F2187" s="396" t="s">
        <v>1760</v>
      </c>
      <c r="G2187" s="396" t="s">
        <v>1300</v>
      </c>
      <c r="H2187" s="396" t="s">
        <v>3125</v>
      </c>
      <c r="I2187" s="398">
        <v>0</v>
      </c>
      <c r="J2187" s="399" t="s">
        <v>3251</v>
      </c>
      <c r="K2187" s="399" t="s">
        <v>3252</v>
      </c>
      <c r="L2187" s="402"/>
      <c r="M2187" s="402"/>
      <c r="N2187" s="402"/>
      <c r="O2187" s="402"/>
      <c r="P2187" s="402"/>
      <c r="Q2187" s="402"/>
      <c r="R2187" s="403"/>
      <c r="S2187" s="234" t="e">
        <f>IF(C2187="",NA(),MATCH($B2187&amp;$C2187,'Smelter Reference List'!$J:$J,0))</f>
        <v>#N/A</v>
      </c>
      <c r="T2187" s="235"/>
      <c r="U2187" s="235">
        <f t="shared" si="64"/>
        <v>0</v>
      </c>
      <c r="V2187" s="235"/>
      <c r="W2187" s="235"/>
      <c r="Y2187" s="228" t="str">
        <f t="shared" si="65"/>
        <v>CID001236Gold</v>
      </c>
    </row>
    <row r="2188" spans="1:25" s="228" customFormat="1" ht="25.5">
      <c r="A2188" s="257"/>
      <c r="B2188" s="400" t="s">
        <v>6040</v>
      </c>
      <c r="C2188" s="396" t="s">
        <v>2323</v>
      </c>
      <c r="D2188" s="397" t="s">
        <v>1470</v>
      </c>
      <c r="E2188" s="396" t="s">
        <v>1470</v>
      </c>
      <c r="F2188" s="396" t="s">
        <v>5016</v>
      </c>
      <c r="G2188" s="396" t="s">
        <v>1330</v>
      </c>
      <c r="H2188" s="396" t="s">
        <v>3125</v>
      </c>
      <c r="I2188" s="398">
        <v>0</v>
      </c>
      <c r="J2188" s="399" t="s">
        <v>3316</v>
      </c>
      <c r="K2188" s="399" t="s">
        <v>3230</v>
      </c>
      <c r="L2188" s="402"/>
      <c r="M2188" s="402"/>
      <c r="N2188" s="402"/>
      <c r="O2188" s="402"/>
      <c r="P2188" s="402"/>
      <c r="Q2188" s="402"/>
      <c r="R2188" s="403"/>
      <c r="S2188" s="234" t="e">
        <f>IF(C2188="",NA(),MATCH($B2188&amp;$C2188,'Smelter Reference List'!$J:$J,0))</f>
        <v>#N/A</v>
      </c>
      <c r="T2188" s="235"/>
      <c r="U2188" s="235">
        <f t="shared" si="64"/>
        <v>0</v>
      </c>
      <c r="V2188" s="235"/>
      <c r="W2188" s="235"/>
      <c r="Y2188" s="228" t="str">
        <f t="shared" si="65"/>
        <v>CID001993Gold</v>
      </c>
    </row>
    <row r="2189" spans="1:25" s="228" customFormat="1" ht="25.5">
      <c r="A2189" s="257"/>
      <c r="B2189" s="400" t="s">
        <v>6041</v>
      </c>
      <c r="C2189" s="396" t="s">
        <v>2323</v>
      </c>
      <c r="D2189" s="397" t="s">
        <v>2372</v>
      </c>
      <c r="E2189" s="396" t="s">
        <v>2372</v>
      </c>
      <c r="F2189" s="396" t="s">
        <v>5016</v>
      </c>
      <c r="G2189" s="396" t="s">
        <v>1312</v>
      </c>
      <c r="H2189" s="396" t="s">
        <v>3125</v>
      </c>
      <c r="I2189" s="398">
        <v>0</v>
      </c>
      <c r="J2189" s="399" t="s">
        <v>3273</v>
      </c>
      <c r="K2189" s="399" t="s">
        <v>3274</v>
      </c>
      <c r="L2189" s="402"/>
      <c r="M2189" s="402"/>
      <c r="N2189" s="402"/>
      <c r="O2189" s="402"/>
      <c r="P2189" s="402"/>
      <c r="Q2189" s="402"/>
      <c r="R2189" s="403"/>
      <c r="S2189" s="234" t="e">
        <f>IF(C2189="",NA(),MATCH($B2189&amp;$C2189,'Smelter Reference List'!$J:$J,0))</f>
        <v>#N/A</v>
      </c>
      <c r="T2189" s="235"/>
      <c r="U2189" s="235">
        <f t="shared" si="64"/>
        <v>0</v>
      </c>
      <c r="V2189" s="235"/>
      <c r="W2189" s="235"/>
      <c r="Y2189" s="228" t="str">
        <f t="shared" si="65"/>
        <v>CID001546Gold</v>
      </c>
    </row>
    <row r="2190" spans="1:25" s="228" customFormat="1" ht="25.5">
      <c r="A2190" s="257"/>
      <c r="B2190" s="400" t="s">
        <v>6042</v>
      </c>
      <c r="C2190" s="396" t="s">
        <v>2323</v>
      </c>
      <c r="D2190" s="397" t="s">
        <v>4268</v>
      </c>
      <c r="E2190" s="396" t="s">
        <v>4268</v>
      </c>
      <c r="F2190" s="396" t="s">
        <v>5016</v>
      </c>
      <c r="G2190" s="396" t="s">
        <v>1302</v>
      </c>
      <c r="H2190" s="396" t="s">
        <v>3125</v>
      </c>
      <c r="I2190" s="398">
        <v>0</v>
      </c>
      <c r="J2190" s="399" t="s">
        <v>3255</v>
      </c>
      <c r="K2190" s="399" t="s">
        <v>3256</v>
      </c>
      <c r="L2190" s="402"/>
      <c r="M2190" s="402"/>
      <c r="N2190" s="402"/>
      <c r="O2190" s="402"/>
      <c r="P2190" s="402"/>
      <c r="Q2190" s="402"/>
      <c r="R2190" s="403"/>
      <c r="S2190" s="234" t="e">
        <f>IF(C2190="",NA(),MATCH($B2190&amp;$C2190,'Smelter Reference List'!$J:$J,0))</f>
        <v>#N/A</v>
      </c>
      <c r="T2190" s="235"/>
      <c r="U2190" s="235">
        <f t="shared" si="64"/>
        <v>0</v>
      </c>
      <c r="V2190" s="235"/>
      <c r="W2190" s="235"/>
      <c r="Y2190" s="228" t="str">
        <f t="shared" si="65"/>
        <v>CID001322Gold</v>
      </c>
    </row>
    <row r="2191" spans="1:25" s="228" customFormat="1">
      <c r="A2191" s="257"/>
      <c r="B2191" s="400" t="s">
        <v>6043</v>
      </c>
      <c r="C2191" s="396" t="s">
        <v>2323</v>
      </c>
      <c r="D2191" s="397" t="s">
        <v>2457</v>
      </c>
      <c r="E2191" s="396" t="s">
        <v>2457</v>
      </c>
      <c r="F2191" s="396" t="s">
        <v>2249</v>
      </c>
      <c r="G2191" s="396" t="s">
        <v>1322</v>
      </c>
      <c r="H2191" s="396" t="s">
        <v>3125</v>
      </c>
      <c r="I2191" s="398">
        <v>0</v>
      </c>
      <c r="J2191" s="399" t="s">
        <v>3299</v>
      </c>
      <c r="K2191" s="399" t="s">
        <v>3300</v>
      </c>
      <c r="L2191" s="402"/>
      <c r="M2191" s="402"/>
      <c r="N2191" s="402"/>
      <c r="O2191" s="402"/>
      <c r="P2191" s="402"/>
      <c r="Q2191" s="402"/>
      <c r="R2191" s="403"/>
      <c r="S2191" s="234" t="e">
        <f>IF(C2191="",NA(),MATCH($B2191&amp;$C2191,'Smelter Reference List'!$J:$J,0))</f>
        <v>#N/A</v>
      </c>
      <c r="T2191" s="235"/>
      <c r="U2191" s="235">
        <f t="shared" si="64"/>
        <v>0</v>
      </c>
      <c r="V2191" s="235"/>
      <c r="W2191" s="235"/>
      <c r="Y2191" s="228" t="str">
        <f t="shared" si="65"/>
        <v>CID001875Gold</v>
      </c>
    </row>
    <row r="2192" spans="1:25" s="228" customFormat="1">
      <c r="A2192" s="257"/>
      <c r="B2192" s="400" t="s">
        <v>6044</v>
      </c>
      <c r="C2192" s="396" t="s">
        <v>2323</v>
      </c>
      <c r="D2192" s="397" t="s">
        <v>4178</v>
      </c>
      <c r="E2192" s="396" t="s">
        <v>4178</v>
      </c>
      <c r="F2192" s="396" t="s">
        <v>2249</v>
      </c>
      <c r="G2192" s="396" t="s">
        <v>1325</v>
      </c>
      <c r="H2192" s="396" t="s">
        <v>3125</v>
      </c>
      <c r="I2192" s="398">
        <v>0</v>
      </c>
      <c r="J2192" s="399" t="s">
        <v>3305</v>
      </c>
      <c r="K2192" s="399" t="s">
        <v>3179</v>
      </c>
      <c r="L2192" s="402"/>
      <c r="M2192" s="402"/>
      <c r="N2192" s="402"/>
      <c r="O2192" s="402"/>
      <c r="P2192" s="402"/>
      <c r="Q2192" s="402"/>
      <c r="R2192" s="403"/>
      <c r="S2192" s="234" t="e">
        <f>IF(C2192="",NA(),MATCH($B2192&amp;$C2192,'Smelter Reference List'!$J:$J,0))</f>
        <v>#N/A</v>
      </c>
      <c r="T2192" s="235"/>
      <c r="U2192" s="235">
        <f t="shared" si="64"/>
        <v>0</v>
      </c>
      <c r="V2192" s="235"/>
      <c r="W2192" s="235"/>
      <c r="Y2192" s="228" t="str">
        <f t="shared" si="65"/>
        <v>CID001938Gold</v>
      </c>
    </row>
    <row r="2193" spans="1:25" s="228" customFormat="1">
      <c r="A2193" s="257"/>
      <c r="B2193" s="400" t="s">
        <v>6045</v>
      </c>
      <c r="C2193" s="396" t="s">
        <v>2323</v>
      </c>
      <c r="D2193" s="397" t="s">
        <v>4166</v>
      </c>
      <c r="E2193" s="396" t="s">
        <v>4166</v>
      </c>
      <c r="F2193" s="396" t="s">
        <v>2249</v>
      </c>
      <c r="G2193" s="396" t="s">
        <v>1301</v>
      </c>
      <c r="H2193" s="396" t="s">
        <v>3125</v>
      </c>
      <c r="I2193" s="398">
        <v>0</v>
      </c>
      <c r="J2193" s="399" t="s">
        <v>3253</v>
      </c>
      <c r="K2193" s="399" t="s">
        <v>3254</v>
      </c>
      <c r="L2193" s="402"/>
      <c r="M2193" s="402"/>
      <c r="N2193" s="402"/>
      <c r="O2193" s="402"/>
      <c r="P2193" s="402"/>
      <c r="Q2193" s="402"/>
      <c r="R2193" s="403"/>
      <c r="S2193" s="234" t="e">
        <f>IF(C2193="",NA(),MATCH($B2193&amp;$C2193,'Smelter Reference List'!$J:$J,0))</f>
        <v>#N/A</v>
      </c>
      <c r="T2193" s="235"/>
      <c r="U2193" s="235">
        <f t="shared" si="64"/>
        <v>0</v>
      </c>
      <c r="V2193" s="235"/>
      <c r="W2193" s="235"/>
      <c r="Y2193" s="228" t="str">
        <f t="shared" si="65"/>
        <v>CID001259Gold</v>
      </c>
    </row>
    <row r="2194" spans="1:25" s="228" customFormat="1" ht="25.5">
      <c r="A2194" s="257"/>
      <c r="B2194" s="400" t="s">
        <v>6046</v>
      </c>
      <c r="C2194" s="396" t="s">
        <v>2323</v>
      </c>
      <c r="D2194" s="397" t="s">
        <v>4146</v>
      </c>
      <c r="E2194" s="396" t="s">
        <v>4146</v>
      </c>
      <c r="F2194" s="396" t="s">
        <v>2249</v>
      </c>
      <c r="G2194" s="396" t="s">
        <v>1234</v>
      </c>
      <c r="H2194" s="396" t="s">
        <v>3125</v>
      </c>
      <c r="I2194" s="398">
        <v>0</v>
      </c>
      <c r="J2194" s="399" t="s">
        <v>3128</v>
      </c>
      <c r="K2194" s="399" t="s">
        <v>3129</v>
      </c>
      <c r="L2194" s="402"/>
      <c r="M2194" s="402"/>
      <c r="N2194" s="402"/>
      <c r="O2194" s="402"/>
      <c r="P2194" s="402"/>
      <c r="Q2194" s="402"/>
      <c r="R2194" s="403"/>
      <c r="S2194" s="234" t="e">
        <f>IF(C2194="",NA(),MATCH($B2194&amp;$C2194,'Smelter Reference List'!$J:$J,0))</f>
        <v>#N/A</v>
      </c>
      <c r="T2194" s="235"/>
      <c r="U2194" s="235">
        <f t="shared" si="64"/>
        <v>0</v>
      </c>
      <c r="V2194" s="235"/>
      <c r="W2194" s="235"/>
      <c r="Y2194" s="228" t="str">
        <f t="shared" si="65"/>
        <v>CID000019Gold</v>
      </c>
    </row>
    <row r="2195" spans="1:25" s="228" customFormat="1">
      <c r="A2195" s="257"/>
      <c r="B2195" s="400" t="s">
        <v>6047</v>
      </c>
      <c r="C2195" s="396" t="s">
        <v>2323</v>
      </c>
      <c r="D2195" s="397" t="s">
        <v>4158</v>
      </c>
      <c r="E2195" s="396" t="s">
        <v>4158</v>
      </c>
      <c r="F2195" s="396" t="s">
        <v>2249</v>
      </c>
      <c r="G2195" s="396" t="s">
        <v>1281</v>
      </c>
      <c r="H2195" s="396" t="s">
        <v>3125</v>
      </c>
      <c r="I2195" s="398">
        <v>0</v>
      </c>
      <c r="J2195" s="399" t="s">
        <v>3216</v>
      </c>
      <c r="K2195" s="399" t="s">
        <v>3179</v>
      </c>
      <c r="L2195" s="402"/>
      <c r="M2195" s="402"/>
      <c r="N2195" s="402"/>
      <c r="O2195" s="402"/>
      <c r="P2195" s="402"/>
      <c r="Q2195" s="402"/>
      <c r="R2195" s="403"/>
      <c r="S2195" s="234" t="e">
        <f>IF(C2195="",NA(),MATCH($B2195&amp;$C2195,'Smelter Reference List'!$J:$J,0))</f>
        <v>#N/A</v>
      </c>
      <c r="T2195" s="235"/>
      <c r="U2195" s="235">
        <f t="shared" si="64"/>
        <v>0</v>
      </c>
      <c r="V2195" s="235"/>
      <c r="W2195" s="235"/>
      <c r="Y2195" s="228" t="str">
        <f t="shared" si="65"/>
        <v>CID000981Gold</v>
      </c>
    </row>
    <row r="2196" spans="1:25" s="228" customFormat="1">
      <c r="A2196" s="257"/>
      <c r="B2196" s="400" t="s">
        <v>6048</v>
      </c>
      <c r="C2196" s="396" t="s">
        <v>2323</v>
      </c>
      <c r="D2196" s="397" t="s">
        <v>4182</v>
      </c>
      <c r="E2196" s="396" t="s">
        <v>4182</v>
      </c>
      <c r="F2196" s="396" t="s">
        <v>2249</v>
      </c>
      <c r="G2196" s="396" t="s">
        <v>1334</v>
      </c>
      <c r="H2196" s="396" t="s">
        <v>3125</v>
      </c>
      <c r="I2196" s="398">
        <v>0</v>
      </c>
      <c r="J2196" s="399" t="s">
        <v>3325</v>
      </c>
      <c r="K2196" s="399" t="s">
        <v>3300</v>
      </c>
      <c r="L2196" s="402"/>
      <c r="M2196" s="402"/>
      <c r="N2196" s="402"/>
      <c r="O2196" s="402"/>
      <c r="P2196" s="402"/>
      <c r="Q2196" s="402"/>
      <c r="R2196" s="403"/>
      <c r="S2196" s="234" t="e">
        <f>IF(C2196="",NA(),MATCH($B2196&amp;$C2196,'Smelter Reference List'!$J:$J,0))</f>
        <v>#N/A</v>
      </c>
      <c r="T2196" s="235"/>
      <c r="U2196" s="235">
        <f t="shared" si="64"/>
        <v>0</v>
      </c>
      <c r="V2196" s="235"/>
      <c r="W2196" s="235"/>
      <c r="Y2196" s="228" t="str">
        <f t="shared" si="65"/>
        <v>CID002129Gold</v>
      </c>
    </row>
    <row r="2197" spans="1:25" s="228" customFormat="1">
      <c r="A2197" s="257"/>
      <c r="B2197" s="400" t="s">
        <v>6049</v>
      </c>
      <c r="C2197" s="396" t="s">
        <v>2323</v>
      </c>
      <c r="D2197" s="397" t="s">
        <v>984</v>
      </c>
      <c r="E2197" s="396" t="s">
        <v>984</v>
      </c>
      <c r="F2197" s="396" t="s">
        <v>2249</v>
      </c>
      <c r="G2197" s="396" t="s">
        <v>1251</v>
      </c>
      <c r="H2197" s="396" t="s">
        <v>3125</v>
      </c>
      <c r="I2197" s="398">
        <v>0</v>
      </c>
      <c r="J2197" s="399" t="s">
        <v>3165</v>
      </c>
      <c r="K2197" s="399" t="s">
        <v>3161</v>
      </c>
      <c r="L2197" s="402"/>
      <c r="M2197" s="402"/>
      <c r="N2197" s="402"/>
      <c r="O2197" s="402"/>
      <c r="P2197" s="402"/>
      <c r="Q2197" s="402"/>
      <c r="R2197" s="403"/>
      <c r="S2197" s="234" t="e">
        <f>IF(C2197="",NA(),MATCH($B2197&amp;$C2197,'Smelter Reference List'!$J:$J,0))</f>
        <v>#N/A</v>
      </c>
      <c r="T2197" s="235"/>
      <c r="U2197" s="235">
        <f t="shared" si="64"/>
        <v>0</v>
      </c>
      <c r="V2197" s="235"/>
      <c r="W2197" s="235"/>
      <c r="Y2197" s="228" t="str">
        <f t="shared" si="65"/>
        <v>CID000264Gold</v>
      </c>
    </row>
    <row r="2198" spans="1:25" s="228" customFormat="1" ht="25.5">
      <c r="A2198" s="257"/>
      <c r="B2198" s="400" t="s">
        <v>6050</v>
      </c>
      <c r="C2198" s="396" t="s">
        <v>2323</v>
      </c>
      <c r="D2198" s="397" t="s">
        <v>74</v>
      </c>
      <c r="E2198" s="396" t="s">
        <v>74</v>
      </c>
      <c r="F2198" s="396" t="s">
        <v>5017</v>
      </c>
      <c r="G2198" s="396" t="s">
        <v>1286</v>
      </c>
      <c r="H2198" s="396" t="s">
        <v>3125</v>
      </c>
      <c r="I2198" s="398">
        <v>0</v>
      </c>
      <c r="J2198" s="399" t="s">
        <v>3225</v>
      </c>
      <c r="K2198" s="399" t="s">
        <v>3226</v>
      </c>
      <c r="L2198" s="402"/>
      <c r="M2198" s="402"/>
      <c r="N2198" s="402"/>
      <c r="O2198" s="402"/>
      <c r="P2198" s="402"/>
      <c r="Q2198" s="402"/>
      <c r="R2198" s="403"/>
      <c r="S2198" s="234" t="e">
        <f>IF(C2198="",NA(),MATCH($B2198&amp;$C2198,'Smelter Reference List'!$J:$J,0))</f>
        <v>#N/A</v>
      </c>
      <c r="T2198" s="235"/>
      <c r="U2198" s="235">
        <f t="shared" si="64"/>
        <v>0</v>
      </c>
      <c r="V2198" s="235"/>
      <c r="W2198" s="235"/>
      <c r="Y2198" s="228" t="str">
        <f t="shared" si="65"/>
        <v>CID001078Gold</v>
      </c>
    </row>
    <row r="2199" spans="1:25" s="228" customFormat="1" ht="25.5">
      <c r="A2199" s="257"/>
      <c r="B2199" s="400" t="s">
        <v>6051</v>
      </c>
      <c r="C2199" s="396" t="s">
        <v>2323</v>
      </c>
      <c r="D2199" s="397" t="s">
        <v>1170</v>
      </c>
      <c r="E2199" s="396" t="s">
        <v>1170</v>
      </c>
      <c r="F2199" s="396" t="s">
        <v>5017</v>
      </c>
      <c r="G2199" s="396" t="s">
        <v>1327</v>
      </c>
      <c r="H2199" s="396" t="s">
        <v>3125</v>
      </c>
      <c r="I2199" s="398">
        <v>0</v>
      </c>
      <c r="J2199" s="399" t="s">
        <v>3310</v>
      </c>
      <c r="K2199" s="399" t="s">
        <v>3311</v>
      </c>
      <c r="L2199" s="402"/>
      <c r="M2199" s="402"/>
      <c r="N2199" s="402"/>
      <c r="O2199" s="402"/>
      <c r="P2199" s="402"/>
      <c r="Q2199" s="402"/>
      <c r="R2199" s="403"/>
      <c r="S2199" s="234" t="e">
        <f>IF(C2199="",NA(),MATCH($B2199&amp;$C2199,'Smelter Reference List'!$J:$J,0))</f>
        <v>#N/A</v>
      </c>
      <c r="T2199" s="235"/>
      <c r="U2199" s="235">
        <f t="shared" si="64"/>
        <v>0</v>
      </c>
      <c r="V2199" s="235"/>
      <c r="W2199" s="235"/>
      <c r="Y2199" s="228" t="str">
        <f t="shared" si="65"/>
        <v>CID001955Gold</v>
      </c>
    </row>
    <row r="2200" spans="1:25" s="228" customFormat="1" ht="25.5">
      <c r="A2200" s="257"/>
      <c r="B2200" s="400" t="s">
        <v>6052</v>
      </c>
      <c r="C2200" s="396" t="s">
        <v>2323</v>
      </c>
      <c r="D2200" s="397" t="s">
        <v>4150</v>
      </c>
      <c r="E2200" s="396" t="s">
        <v>4150</v>
      </c>
      <c r="F2200" s="396" t="s">
        <v>5017</v>
      </c>
      <c r="G2200" s="396" t="s">
        <v>1252</v>
      </c>
      <c r="H2200" s="396" t="s">
        <v>3125</v>
      </c>
      <c r="I2200" s="398">
        <v>0</v>
      </c>
      <c r="J2200" s="399" t="s">
        <v>4683</v>
      </c>
      <c r="K2200" s="399" t="s">
        <v>3167</v>
      </c>
      <c r="L2200" s="402"/>
      <c r="M2200" s="402"/>
      <c r="N2200" s="402"/>
      <c r="O2200" s="402"/>
      <c r="P2200" s="402"/>
      <c r="Q2200" s="402"/>
      <c r="R2200" s="403"/>
      <c r="S2200" s="234" t="e">
        <f>IF(C2200="",NA(),MATCH($B2200&amp;$C2200,'Smelter Reference List'!$J:$J,0))</f>
        <v>#N/A</v>
      </c>
      <c r="T2200" s="235"/>
      <c r="U2200" s="235">
        <f t="shared" si="64"/>
        <v>0</v>
      </c>
      <c r="V2200" s="235"/>
      <c r="W2200" s="235"/>
      <c r="Y2200" s="228" t="str">
        <f t="shared" si="65"/>
        <v>CID000328Gold</v>
      </c>
    </row>
    <row r="2201" spans="1:25" s="228" customFormat="1" ht="25.5">
      <c r="A2201" s="257"/>
      <c r="B2201" s="400" t="s">
        <v>6053</v>
      </c>
      <c r="C2201" s="396" t="s">
        <v>2323</v>
      </c>
      <c r="D2201" s="397" t="s">
        <v>4341</v>
      </c>
      <c r="E2201" s="396" t="s">
        <v>4341</v>
      </c>
      <c r="F2201" s="396" t="s">
        <v>5017</v>
      </c>
      <c r="G2201" s="396" t="s">
        <v>1255</v>
      </c>
      <c r="H2201" s="396" t="s">
        <v>3125</v>
      </c>
      <c r="I2201" s="398">
        <v>0</v>
      </c>
      <c r="J2201" s="399" t="s">
        <v>3171</v>
      </c>
      <c r="K2201" s="399" t="s">
        <v>3172</v>
      </c>
      <c r="L2201" s="402"/>
      <c r="M2201" s="402"/>
      <c r="N2201" s="402"/>
      <c r="O2201" s="402"/>
      <c r="P2201" s="402"/>
      <c r="Q2201" s="402"/>
      <c r="R2201" s="403"/>
      <c r="S2201" s="234" t="e">
        <f>IF(C2201="",NA(),MATCH($B2201&amp;$C2201,'Smelter Reference List'!$J:$J,0))</f>
        <v>#N/A</v>
      </c>
      <c r="T2201" s="235"/>
      <c r="U2201" s="235">
        <f t="shared" si="64"/>
        <v>0</v>
      </c>
      <c r="V2201" s="235"/>
      <c r="W2201" s="235"/>
      <c r="Y2201" s="228" t="str">
        <f t="shared" si="65"/>
        <v>CID000359Gold</v>
      </c>
    </row>
    <row r="2202" spans="1:25" s="228" customFormat="1" ht="25.5">
      <c r="A2202" s="257"/>
      <c r="B2202" s="400" t="s">
        <v>6054</v>
      </c>
      <c r="C2202" s="396" t="s">
        <v>2323</v>
      </c>
      <c r="D2202" s="397" t="s">
        <v>5038</v>
      </c>
      <c r="E2202" s="396" t="s">
        <v>5038</v>
      </c>
      <c r="F2202" s="396" t="s">
        <v>5017</v>
      </c>
      <c r="G2202" s="396" t="s">
        <v>1267</v>
      </c>
      <c r="H2202" s="396" t="s">
        <v>3125</v>
      </c>
      <c r="I2202" s="398">
        <v>0</v>
      </c>
      <c r="J2202" s="399" t="s">
        <v>3196</v>
      </c>
      <c r="K2202" s="399" t="s">
        <v>3172</v>
      </c>
      <c r="L2202" s="402"/>
      <c r="M2202" s="402"/>
      <c r="N2202" s="402"/>
      <c r="O2202" s="402"/>
      <c r="P2202" s="402"/>
      <c r="Q2202" s="402"/>
      <c r="R2202" s="403"/>
      <c r="S2202" s="234" t="e">
        <f>IF(C2202="",NA(),MATCH($B2202&amp;$C2202,'Smelter Reference List'!$J:$J,0))</f>
        <v>#N/A</v>
      </c>
      <c r="T2202" s="235"/>
      <c r="U2202" s="235">
        <f t="shared" si="64"/>
        <v>0</v>
      </c>
      <c r="V2202" s="235"/>
      <c r="W2202" s="235"/>
      <c r="Y2202" s="228" t="str">
        <f t="shared" si="65"/>
        <v>CID000778Gold</v>
      </c>
    </row>
    <row r="2203" spans="1:25" s="228" customFormat="1" ht="25.5">
      <c r="A2203" s="257"/>
      <c r="B2203" s="400" t="s">
        <v>6055</v>
      </c>
      <c r="C2203" s="396" t="s">
        <v>2323</v>
      </c>
      <c r="D2203" s="397" t="s">
        <v>5040</v>
      </c>
      <c r="E2203" s="396" t="s">
        <v>5040</v>
      </c>
      <c r="F2203" s="396" t="s">
        <v>5017</v>
      </c>
      <c r="G2203" s="396" t="s">
        <v>1313</v>
      </c>
      <c r="H2203" s="396" t="s">
        <v>3125</v>
      </c>
      <c r="I2203" s="398">
        <v>0</v>
      </c>
      <c r="J2203" s="399" t="s">
        <v>3277</v>
      </c>
      <c r="K2203" s="399" t="s">
        <v>3278</v>
      </c>
      <c r="L2203" s="402"/>
      <c r="M2203" s="402"/>
      <c r="N2203" s="402"/>
      <c r="O2203" s="402"/>
      <c r="P2203" s="402"/>
      <c r="Q2203" s="402"/>
      <c r="R2203" s="403"/>
      <c r="S2203" s="234" t="e">
        <f>IF(C2203="",NA(),MATCH($B2203&amp;$C2203,'Smelter Reference List'!$J:$J,0))</f>
        <v>#N/A</v>
      </c>
      <c r="T2203" s="235"/>
      <c r="U2203" s="235">
        <f t="shared" si="64"/>
        <v>0</v>
      </c>
      <c r="V2203" s="235"/>
      <c r="W2203" s="235"/>
      <c r="Y2203" s="228" t="str">
        <f t="shared" si="65"/>
        <v>CID001562Gold</v>
      </c>
    </row>
    <row r="2204" spans="1:25" s="228" customFormat="1" ht="25.5">
      <c r="A2204" s="257"/>
      <c r="B2204" s="400" t="s">
        <v>6056</v>
      </c>
      <c r="C2204" s="396" t="s">
        <v>2323</v>
      </c>
      <c r="D2204" s="397" t="s">
        <v>4267</v>
      </c>
      <c r="E2204" s="396" t="s">
        <v>4267</v>
      </c>
      <c r="F2204" s="396" t="s">
        <v>5016</v>
      </c>
      <c r="G2204" s="396" t="s">
        <v>1273</v>
      </c>
      <c r="H2204" s="396" t="s">
        <v>3125</v>
      </c>
      <c r="I2204" s="398">
        <v>0</v>
      </c>
      <c r="J2204" s="399" t="s">
        <v>3206</v>
      </c>
      <c r="K2204" s="399" t="s">
        <v>3207</v>
      </c>
      <c r="L2204" s="402"/>
      <c r="M2204" s="402"/>
      <c r="N2204" s="402"/>
      <c r="O2204" s="402"/>
      <c r="P2204" s="402"/>
      <c r="Q2204" s="402"/>
      <c r="R2204" s="403"/>
      <c r="S2204" s="234" t="e">
        <f>IF(C2204="",NA(),MATCH($B2204&amp;$C2204,'Smelter Reference List'!$J:$J,0))</f>
        <v>#N/A</v>
      </c>
      <c r="T2204" s="235"/>
      <c r="U2204" s="235">
        <f t="shared" si="64"/>
        <v>0</v>
      </c>
      <c r="V2204" s="235"/>
      <c r="W2204" s="235"/>
      <c r="Y2204" s="228" t="str">
        <f t="shared" si="65"/>
        <v>CID000920Gold</v>
      </c>
    </row>
    <row r="2205" spans="1:25" s="228" customFormat="1" ht="25.5">
      <c r="A2205" s="257"/>
      <c r="B2205" s="400" t="s">
        <v>6057</v>
      </c>
      <c r="C2205" s="396" t="s">
        <v>2323</v>
      </c>
      <c r="D2205" s="397" t="s">
        <v>1792</v>
      </c>
      <c r="E2205" s="396" t="s">
        <v>1792</v>
      </c>
      <c r="F2205" s="396" t="s">
        <v>5016</v>
      </c>
      <c r="G2205" s="396" t="s">
        <v>1289</v>
      </c>
      <c r="H2205" s="396" t="s">
        <v>3125</v>
      </c>
      <c r="I2205" s="398">
        <v>0</v>
      </c>
      <c r="J2205" s="399" t="s">
        <v>3229</v>
      </c>
      <c r="K2205" s="399" t="s">
        <v>3230</v>
      </c>
      <c r="L2205" s="402"/>
      <c r="M2205" s="402"/>
      <c r="N2205" s="402"/>
      <c r="O2205" s="402"/>
      <c r="P2205" s="402"/>
      <c r="Q2205" s="402"/>
      <c r="R2205" s="403"/>
      <c r="S2205" s="234" t="e">
        <f>IF(C2205="",NA(),MATCH($B2205&amp;$C2205,'Smelter Reference List'!$J:$J,0))</f>
        <v>#N/A</v>
      </c>
      <c r="T2205" s="235"/>
      <c r="U2205" s="235">
        <f t="shared" si="64"/>
        <v>0</v>
      </c>
      <c r="V2205" s="235"/>
      <c r="W2205" s="235"/>
      <c r="Y2205" s="228" t="str">
        <f t="shared" si="65"/>
        <v>CID001113Gold</v>
      </c>
    </row>
    <row r="2206" spans="1:25" s="228" customFormat="1" ht="25.5">
      <c r="A2206" s="257"/>
      <c r="B2206" s="400" t="s">
        <v>6058</v>
      </c>
      <c r="C2206" s="396" t="s">
        <v>2323</v>
      </c>
      <c r="D2206" s="397" t="s">
        <v>2453</v>
      </c>
      <c r="E2206" s="396" t="s">
        <v>2453</v>
      </c>
      <c r="F2206" s="396" t="s">
        <v>5016</v>
      </c>
      <c r="G2206" s="396" t="s">
        <v>1294</v>
      </c>
      <c r="H2206" s="396" t="s">
        <v>3125</v>
      </c>
      <c r="I2206" s="398">
        <v>0</v>
      </c>
      <c r="J2206" s="399" t="s">
        <v>3241</v>
      </c>
      <c r="K2206" s="399" t="s">
        <v>3242</v>
      </c>
      <c r="L2206" s="402"/>
      <c r="M2206" s="402"/>
      <c r="N2206" s="402"/>
      <c r="O2206" s="402"/>
      <c r="P2206" s="402"/>
      <c r="Q2206" s="402"/>
      <c r="R2206" s="403"/>
      <c r="S2206" s="234" t="e">
        <f>IF(C2206="",NA(),MATCH($B2206&amp;$C2206,'Smelter Reference List'!$J:$J,0))</f>
        <v>#N/A</v>
      </c>
      <c r="T2206" s="235"/>
      <c r="U2206" s="235">
        <f t="shared" si="64"/>
        <v>0</v>
      </c>
      <c r="V2206" s="235"/>
      <c r="W2206" s="235"/>
      <c r="Y2206" s="228" t="str">
        <f t="shared" si="65"/>
        <v>CID001157Gold</v>
      </c>
    </row>
    <row r="2207" spans="1:25" s="228" customFormat="1" ht="25.5">
      <c r="A2207" s="257"/>
      <c r="B2207" s="400" t="s">
        <v>6059</v>
      </c>
      <c r="C2207" s="396" t="s">
        <v>2323</v>
      </c>
      <c r="D2207" s="397" t="s">
        <v>4265</v>
      </c>
      <c r="E2207" s="396" t="s">
        <v>4265</v>
      </c>
      <c r="F2207" s="396" t="s">
        <v>1717</v>
      </c>
      <c r="G2207" s="396" t="s">
        <v>1259</v>
      </c>
      <c r="H2207" s="396" t="s">
        <v>3125</v>
      </c>
      <c r="I2207" s="398">
        <v>0</v>
      </c>
      <c r="J2207" s="399" t="s">
        <v>3180</v>
      </c>
      <c r="K2207" s="399" t="s">
        <v>4343</v>
      </c>
      <c r="L2207" s="402"/>
      <c r="M2207" s="402"/>
      <c r="N2207" s="402"/>
      <c r="O2207" s="402"/>
      <c r="P2207" s="402"/>
      <c r="Q2207" s="402"/>
      <c r="R2207" s="403"/>
      <c r="S2207" s="234" t="e">
        <f>IF(C2207="",NA(),MATCH($B2207&amp;$C2207,'Smelter Reference List'!$J:$J,0))</f>
        <v>#N/A</v>
      </c>
      <c r="T2207" s="235"/>
      <c r="U2207" s="235">
        <f t="shared" si="64"/>
        <v>0</v>
      </c>
      <c r="V2207" s="235"/>
      <c r="W2207" s="235"/>
      <c r="Y2207" s="228" t="str">
        <f t="shared" si="65"/>
        <v>CID000493Gold</v>
      </c>
    </row>
    <row r="2208" spans="1:25" s="228" customFormat="1" ht="38.25">
      <c r="A2208" s="257"/>
      <c r="B2208" s="400" t="s">
        <v>6060</v>
      </c>
      <c r="C2208" s="396" t="s">
        <v>2323</v>
      </c>
      <c r="D2208" s="397" t="s">
        <v>1797</v>
      </c>
      <c r="E2208" s="396" t="s">
        <v>1797</v>
      </c>
      <c r="F2208" s="396" t="s">
        <v>5018</v>
      </c>
      <c r="G2208" s="396" t="s">
        <v>1320</v>
      </c>
      <c r="H2208" s="396" t="s">
        <v>3125</v>
      </c>
      <c r="I2208" s="398">
        <v>0</v>
      </c>
      <c r="J2208" s="399" t="s">
        <v>3295</v>
      </c>
      <c r="K2208" s="399" t="s">
        <v>3296</v>
      </c>
      <c r="L2208" s="402"/>
      <c r="M2208" s="402"/>
      <c r="N2208" s="402"/>
      <c r="O2208" s="402"/>
      <c r="P2208" s="402"/>
      <c r="Q2208" s="402"/>
      <c r="R2208" s="403"/>
      <c r="S2208" s="234" t="e">
        <f>IF(C2208="",NA(),MATCH($B2208&amp;$C2208,'Smelter Reference List'!$J:$J,0))</f>
        <v>#N/A</v>
      </c>
      <c r="T2208" s="235"/>
      <c r="U2208" s="235">
        <f t="shared" si="64"/>
        <v>0</v>
      </c>
      <c r="V2208" s="235"/>
      <c r="W2208" s="235"/>
      <c r="Y2208" s="228" t="str">
        <f t="shared" si="65"/>
        <v>CID001761Gold</v>
      </c>
    </row>
    <row r="2209" spans="1:25" s="228" customFormat="1" ht="25.5">
      <c r="A2209" s="257"/>
      <c r="B2209" s="400" t="s">
        <v>6061</v>
      </c>
      <c r="C2209" s="396" t="s">
        <v>2326</v>
      </c>
      <c r="D2209" s="397" t="s">
        <v>4286</v>
      </c>
      <c r="E2209" s="396" t="s">
        <v>4286</v>
      </c>
      <c r="F2209" s="396" t="s">
        <v>2181</v>
      </c>
      <c r="G2209" s="396" t="s">
        <v>1415</v>
      </c>
      <c r="H2209" s="396" t="s">
        <v>3125</v>
      </c>
      <c r="I2209" s="398">
        <v>0</v>
      </c>
      <c r="J2209" s="399" t="s">
        <v>4137</v>
      </c>
      <c r="K2209" s="399" t="s">
        <v>3186</v>
      </c>
      <c r="L2209" s="402"/>
      <c r="M2209" s="402"/>
      <c r="N2209" s="402"/>
      <c r="O2209" s="402"/>
      <c r="P2209" s="402"/>
      <c r="Q2209" s="402"/>
      <c r="R2209" s="403"/>
      <c r="S2209" s="234" t="e">
        <f>IF(C2209="",NA(),MATCH($B2209&amp;$C2209,'Smelter Reference List'!$J:$J,0))</f>
        <v>#N/A</v>
      </c>
      <c r="T2209" s="235"/>
      <c r="U2209" s="235">
        <f t="shared" si="64"/>
        <v>0</v>
      </c>
      <c r="V2209" s="235"/>
      <c r="W2209" s="235"/>
      <c r="Y2209" s="228" t="str">
        <f t="shared" si="65"/>
        <v>CID000766Tungsten</v>
      </c>
    </row>
    <row r="2210" spans="1:25" s="228" customFormat="1" ht="25.5">
      <c r="A2210" s="257"/>
      <c r="B2210" s="400" t="s">
        <v>6062</v>
      </c>
      <c r="C2210" s="396" t="s">
        <v>2326</v>
      </c>
      <c r="D2210" s="397" t="s">
        <v>1464</v>
      </c>
      <c r="E2210" s="396" t="s">
        <v>1464</v>
      </c>
      <c r="F2210" s="396" t="s">
        <v>2181</v>
      </c>
      <c r="G2210" s="396" t="s">
        <v>1413</v>
      </c>
      <c r="H2210" s="396" t="s">
        <v>3125</v>
      </c>
      <c r="I2210" s="398">
        <v>0</v>
      </c>
      <c r="J2210" s="399" t="s">
        <v>3559</v>
      </c>
      <c r="K2210" s="399" t="s">
        <v>3332</v>
      </c>
      <c r="L2210" s="402"/>
      <c r="M2210" s="402"/>
      <c r="N2210" s="402"/>
      <c r="O2210" s="402"/>
      <c r="P2210" s="402"/>
      <c r="Q2210" s="402"/>
      <c r="R2210" s="403"/>
      <c r="S2210" s="234" t="e">
        <f>IF(C2210="",NA(),MATCH($B2210&amp;$C2210,'Smelter Reference List'!$J:$J,0))</f>
        <v>#N/A</v>
      </c>
      <c r="T2210" s="235"/>
      <c r="U2210" s="235">
        <f t="shared" si="64"/>
        <v>0</v>
      </c>
      <c r="V2210" s="235"/>
      <c r="W2210" s="235"/>
      <c r="Y2210" s="228" t="str">
        <f t="shared" si="65"/>
        <v>CID000499Tungsten</v>
      </c>
    </row>
    <row r="2211" spans="1:25" s="228" customFormat="1">
      <c r="A2211" s="257"/>
      <c r="B2211" s="400" t="s">
        <v>6063</v>
      </c>
      <c r="C2211" s="396" t="s">
        <v>2326</v>
      </c>
      <c r="D2211" s="397" t="s">
        <v>3552</v>
      </c>
      <c r="E2211" s="396" t="s">
        <v>3552</v>
      </c>
      <c r="F2211" s="396" t="s">
        <v>2249</v>
      </c>
      <c r="G2211" s="396" t="s">
        <v>1408</v>
      </c>
      <c r="H2211" s="396" t="s">
        <v>3125</v>
      </c>
      <c r="I2211" s="398">
        <v>0</v>
      </c>
      <c r="J2211" s="399" t="s">
        <v>4135</v>
      </c>
      <c r="K2211" s="399" t="s">
        <v>4136</v>
      </c>
      <c r="L2211" s="402"/>
      <c r="M2211" s="402"/>
      <c r="N2211" s="402"/>
      <c r="O2211" s="402"/>
      <c r="P2211" s="402"/>
      <c r="Q2211" s="402"/>
      <c r="R2211" s="403"/>
      <c r="S2211" s="234" t="e">
        <f>IF(C2211="",NA(),MATCH($B2211&amp;$C2211,'Smelter Reference List'!$J:$J,0))</f>
        <v>#N/A</v>
      </c>
      <c r="T2211" s="235"/>
      <c r="U2211" s="235">
        <f t="shared" si="64"/>
        <v>0</v>
      </c>
      <c r="V2211" s="235"/>
      <c r="W2211" s="235"/>
      <c r="Y2211" s="228" t="str">
        <f t="shared" si="65"/>
        <v>CID000004Tungsten</v>
      </c>
    </row>
    <row r="2212" spans="1:25" s="228" customFormat="1" ht="25.5">
      <c r="A2212" s="257"/>
      <c r="B2212" s="400" t="s">
        <v>6064</v>
      </c>
      <c r="C2212" s="396" t="s">
        <v>2326</v>
      </c>
      <c r="D2212" s="397" t="s">
        <v>1785</v>
      </c>
      <c r="E2212" s="396" t="s">
        <v>1785</v>
      </c>
      <c r="F2212" s="396" t="s">
        <v>2155</v>
      </c>
      <c r="G2212" s="396" t="s">
        <v>1422</v>
      </c>
      <c r="H2212" s="396" t="s">
        <v>3125</v>
      </c>
      <c r="I2212" s="398">
        <v>0</v>
      </c>
      <c r="J2212" s="399" t="s">
        <v>3566</v>
      </c>
      <c r="K2212" s="399" t="s">
        <v>3415</v>
      </c>
      <c r="L2212" s="402"/>
      <c r="M2212" s="402"/>
      <c r="N2212" s="402"/>
      <c r="O2212" s="402"/>
      <c r="P2212" s="402"/>
      <c r="Q2212" s="402"/>
      <c r="R2212" s="403"/>
      <c r="S2212" s="234" t="e">
        <f>IF(C2212="",NA(),MATCH($B2212&amp;$C2212,'Smelter Reference List'!$J:$J,0))</f>
        <v>#N/A</v>
      </c>
      <c r="T2212" s="235"/>
      <c r="U2212" s="235">
        <f t="shared" si="64"/>
        <v>0</v>
      </c>
      <c r="V2212" s="235"/>
      <c r="W2212" s="235"/>
      <c r="Y2212" s="228" t="str">
        <f t="shared" si="65"/>
        <v>CID002044Tungsten</v>
      </c>
    </row>
    <row r="2213" spans="1:25" s="228" customFormat="1" ht="25.5">
      <c r="A2213" s="257"/>
      <c r="B2213" s="400" t="s">
        <v>6065</v>
      </c>
      <c r="C2213" s="396" t="s">
        <v>2326</v>
      </c>
      <c r="D2213" s="397" t="s">
        <v>2660</v>
      </c>
      <c r="E2213" s="396" t="s">
        <v>2660</v>
      </c>
      <c r="F2213" s="396" t="s">
        <v>2181</v>
      </c>
      <c r="G2213" s="396" t="s">
        <v>1410</v>
      </c>
      <c r="H2213" s="396" t="s">
        <v>3125</v>
      </c>
      <c r="I2213" s="398">
        <v>0</v>
      </c>
      <c r="J2213" s="399" t="s">
        <v>3557</v>
      </c>
      <c r="K2213" s="399" t="s">
        <v>3335</v>
      </c>
      <c r="L2213" s="402"/>
      <c r="M2213" s="402"/>
      <c r="N2213" s="402"/>
      <c r="O2213" s="402"/>
      <c r="P2213" s="402"/>
      <c r="Q2213" s="402"/>
      <c r="R2213" s="403"/>
      <c r="S2213" s="234" t="e">
        <f>IF(C2213="",NA(),MATCH($B2213&amp;$C2213,'Smelter Reference List'!$J:$J,0))</f>
        <v>#N/A</v>
      </c>
      <c r="T2213" s="235"/>
      <c r="U2213" s="235">
        <f t="shared" si="64"/>
        <v>0</v>
      </c>
      <c r="V2213" s="235"/>
      <c r="W2213" s="235"/>
      <c r="Y2213" s="228" t="str">
        <f t="shared" si="65"/>
        <v>CID000218Tungsten</v>
      </c>
    </row>
    <row r="2214" spans="1:25" s="228" customFormat="1" ht="25.5">
      <c r="A2214" s="257"/>
      <c r="B2214" s="400" t="s">
        <v>6066</v>
      </c>
      <c r="C2214" s="396" t="s">
        <v>2326</v>
      </c>
      <c r="D2214" s="397" t="s">
        <v>2659</v>
      </c>
      <c r="E2214" s="396" t="s">
        <v>2659</v>
      </c>
      <c r="F2214" s="396" t="s">
        <v>2181</v>
      </c>
      <c r="G2214" s="396" t="s">
        <v>1411</v>
      </c>
      <c r="H2214" s="396" t="s">
        <v>3125</v>
      </c>
      <c r="I2214" s="398">
        <v>0</v>
      </c>
      <c r="J2214" s="399" t="s">
        <v>3471</v>
      </c>
      <c r="K2214" s="399" t="s">
        <v>3204</v>
      </c>
      <c r="L2214" s="402"/>
      <c r="M2214" s="402"/>
      <c r="N2214" s="402"/>
      <c r="O2214" s="402"/>
      <c r="P2214" s="402"/>
      <c r="Q2214" s="402"/>
      <c r="R2214" s="403"/>
      <c r="S2214" s="234" t="e">
        <f>IF(C2214="",NA(),MATCH($B2214&amp;$C2214,'Smelter Reference List'!$J:$J,0))</f>
        <v>#N/A</v>
      </c>
      <c r="T2214" s="235"/>
      <c r="U2214" s="235">
        <f t="shared" si="64"/>
        <v>0</v>
      </c>
      <c r="V2214" s="235"/>
      <c r="W2214" s="235"/>
      <c r="Y2214" s="228" t="str">
        <f t="shared" si="65"/>
        <v>CID000258Tungsten</v>
      </c>
    </row>
    <row r="2215" spans="1:25" s="228" customFormat="1" ht="25.5">
      <c r="A2215" s="257"/>
      <c r="B2215" s="400" t="s">
        <v>6067</v>
      </c>
      <c r="C2215" s="396" t="s">
        <v>2326</v>
      </c>
      <c r="D2215" s="397" t="s">
        <v>211</v>
      </c>
      <c r="E2215" s="396" t="s">
        <v>211</v>
      </c>
      <c r="F2215" s="396" t="s">
        <v>2181</v>
      </c>
      <c r="G2215" s="396" t="s">
        <v>1419</v>
      </c>
      <c r="H2215" s="396" t="s">
        <v>3125</v>
      </c>
      <c r="I2215" s="398">
        <v>0</v>
      </c>
      <c r="J2215" s="399" t="s">
        <v>3471</v>
      </c>
      <c r="K2215" s="399" t="s">
        <v>3204</v>
      </c>
      <c r="L2215" s="402"/>
      <c r="M2215" s="402"/>
      <c r="N2215" s="402"/>
      <c r="O2215" s="402"/>
      <c r="P2215" s="402"/>
      <c r="Q2215" s="402"/>
      <c r="R2215" s="403"/>
      <c r="S2215" s="234" t="e">
        <f>IF(C2215="",NA(),MATCH($B2215&amp;$C2215,'Smelter Reference List'!$J:$J,0))</f>
        <v>#N/A</v>
      </c>
      <c r="T2215" s="235"/>
      <c r="U2215" s="235">
        <f t="shared" si="64"/>
        <v>0</v>
      </c>
      <c r="V2215" s="235"/>
      <c r="W2215" s="235"/>
      <c r="Y2215" s="228" t="str">
        <f t="shared" si="65"/>
        <v>CID000875Tungsten</v>
      </c>
    </row>
    <row r="2216" spans="1:25" s="228" customFormat="1">
      <c r="A2216" s="257"/>
      <c r="B2216" s="400" t="s">
        <v>6068</v>
      </c>
      <c r="C2216" s="396" t="s">
        <v>2326</v>
      </c>
      <c r="D2216" s="397" t="s">
        <v>2663</v>
      </c>
      <c r="E2216" s="396" t="s">
        <v>2663</v>
      </c>
      <c r="F2216" s="396" t="s">
        <v>2181</v>
      </c>
      <c r="G2216" s="396" t="s">
        <v>1423</v>
      </c>
      <c r="H2216" s="396" t="s">
        <v>3125</v>
      </c>
      <c r="I2216" s="398">
        <v>0</v>
      </c>
      <c r="J2216" s="399" t="s">
        <v>3569</v>
      </c>
      <c r="K2216" s="399" t="s">
        <v>3332</v>
      </c>
      <c r="L2216" s="402"/>
      <c r="M2216" s="402"/>
      <c r="N2216" s="402"/>
      <c r="O2216" s="402"/>
      <c r="P2216" s="402"/>
      <c r="Q2216" s="402"/>
      <c r="R2216" s="403"/>
      <c r="S2216" s="234" t="e">
        <f>IF(C2216="",NA(),MATCH($B2216&amp;$C2216,'Smelter Reference List'!$J:$J,0))</f>
        <v>#N/A</v>
      </c>
      <c r="T2216" s="235"/>
      <c r="U2216" s="235">
        <f t="shared" si="64"/>
        <v>0</v>
      </c>
      <c r="V2216" s="235"/>
      <c r="W2216" s="235"/>
      <c r="Y2216" s="228" t="str">
        <f t="shared" si="65"/>
        <v>CID002082Tungsten</v>
      </c>
    </row>
    <row r="2217" spans="1:25" s="228" customFormat="1" ht="25.5">
      <c r="A2217" s="257"/>
      <c r="B2217" s="400" t="s">
        <v>6069</v>
      </c>
      <c r="C2217" s="396" t="s">
        <v>2326</v>
      </c>
      <c r="D2217" s="397" t="s">
        <v>2661</v>
      </c>
      <c r="E2217" s="396" t="s">
        <v>2661</v>
      </c>
      <c r="F2217" s="396" t="s">
        <v>2181</v>
      </c>
      <c r="G2217" s="396" t="s">
        <v>1416</v>
      </c>
      <c r="H2217" s="396" t="s">
        <v>3125</v>
      </c>
      <c r="I2217" s="398">
        <v>0</v>
      </c>
      <c r="J2217" s="399" t="s">
        <v>3407</v>
      </c>
      <c r="K2217" s="399" t="s">
        <v>3186</v>
      </c>
      <c r="L2217" s="402"/>
      <c r="M2217" s="402"/>
      <c r="N2217" s="402"/>
      <c r="O2217" s="402"/>
      <c r="P2217" s="402"/>
      <c r="Q2217" s="402"/>
      <c r="R2217" s="403"/>
      <c r="S2217" s="234" t="e">
        <f>IF(C2217="",NA(),MATCH($B2217&amp;$C2217,'Smelter Reference List'!$J:$J,0))</f>
        <v>#N/A</v>
      </c>
      <c r="T2217" s="235"/>
      <c r="U2217" s="235">
        <f t="shared" si="64"/>
        <v>0</v>
      </c>
      <c r="V2217" s="235"/>
      <c r="W2217" s="235"/>
      <c r="Y2217" s="228" t="str">
        <f t="shared" si="65"/>
        <v>CID000769Tungsten</v>
      </c>
    </row>
    <row r="2218" spans="1:25" s="228" customFormat="1">
      <c r="A2218" s="257"/>
      <c r="B2218" s="400" t="s">
        <v>6070</v>
      </c>
      <c r="C2218" s="396" t="s">
        <v>2326</v>
      </c>
      <c r="D2218" s="397" t="s">
        <v>2662</v>
      </c>
      <c r="E2218" s="396" t="s">
        <v>2662</v>
      </c>
      <c r="F2218" s="396" t="s">
        <v>2249</v>
      </c>
      <c r="G2218" s="396" t="s">
        <v>1417</v>
      </c>
      <c r="H2218" s="396" t="s">
        <v>3125</v>
      </c>
      <c r="I2218" s="398">
        <v>0</v>
      </c>
      <c r="J2218" s="399" t="s">
        <v>4138</v>
      </c>
      <c r="K2218" s="399" t="s">
        <v>3174</v>
      </c>
      <c r="L2218" s="402"/>
      <c r="M2218" s="402"/>
      <c r="N2218" s="402"/>
      <c r="O2218" s="402"/>
      <c r="P2218" s="402"/>
      <c r="Q2218" s="402"/>
      <c r="R2218" s="403"/>
      <c r="S2218" s="234" t="e">
        <f>IF(C2218="",NA(),MATCH($B2218&amp;$C2218,'Smelter Reference List'!$J:$J,0))</f>
        <v>#N/A</v>
      </c>
      <c r="T2218" s="235"/>
      <c r="U2218" s="235">
        <f t="shared" si="64"/>
        <v>0</v>
      </c>
      <c r="V2218" s="235"/>
      <c r="W2218" s="235"/>
      <c r="Y2218" s="228" t="str">
        <f t="shared" si="65"/>
        <v>CID000825Tungsten</v>
      </c>
    </row>
    <row r="2219" spans="1:25" s="228" customFormat="1" ht="25.5">
      <c r="A2219" s="257"/>
      <c r="B2219" s="400" t="s">
        <v>6071</v>
      </c>
      <c r="C2219" s="396" t="s">
        <v>2326</v>
      </c>
      <c r="D2219" s="397" t="s">
        <v>209</v>
      </c>
      <c r="E2219" s="396" t="s">
        <v>209</v>
      </c>
      <c r="F2219" s="396" t="s">
        <v>5016</v>
      </c>
      <c r="G2219" s="396" t="s">
        <v>1409</v>
      </c>
      <c r="H2219" s="396" t="s">
        <v>3125</v>
      </c>
      <c r="I2219" s="398">
        <v>0</v>
      </c>
      <c r="J2219" s="399" t="s">
        <v>3555</v>
      </c>
      <c r="K2219" s="399" t="s">
        <v>3556</v>
      </c>
      <c r="L2219" s="402"/>
      <c r="M2219" s="402"/>
      <c r="N2219" s="402"/>
      <c r="O2219" s="402"/>
      <c r="P2219" s="402"/>
      <c r="Q2219" s="402"/>
      <c r="R2219" s="403"/>
      <c r="S2219" s="234" t="e">
        <f>IF(C2219="",NA(),MATCH($B2219&amp;$C2219,'Smelter Reference List'!$J:$J,0))</f>
        <v>#N/A</v>
      </c>
      <c r="T2219" s="235"/>
      <c r="U2219" s="235">
        <f t="shared" si="64"/>
        <v>0</v>
      </c>
      <c r="V2219" s="235"/>
      <c r="W2219" s="235"/>
      <c r="Y2219" s="228" t="str">
        <f t="shared" si="65"/>
        <v>CID000105Tungsten</v>
      </c>
    </row>
    <row r="2220" spans="1:25" s="228" customFormat="1" ht="25.5">
      <c r="A2220" s="257"/>
      <c r="B2220" s="400" t="s">
        <v>6072</v>
      </c>
      <c r="C2220" s="396" t="s">
        <v>2326</v>
      </c>
      <c r="D2220" s="397" t="s">
        <v>1</v>
      </c>
      <c r="E2220" s="396" t="s">
        <v>1</v>
      </c>
      <c r="F2220" s="396" t="s">
        <v>5016</v>
      </c>
      <c r="G2220" s="396" t="s">
        <v>1414</v>
      </c>
      <c r="H2220" s="396" t="s">
        <v>3125</v>
      </c>
      <c r="I2220" s="398">
        <v>0</v>
      </c>
      <c r="J2220" s="399" t="s">
        <v>3560</v>
      </c>
      <c r="K2220" s="399" t="s">
        <v>3401</v>
      </c>
      <c r="L2220" s="402"/>
      <c r="M2220" s="402"/>
      <c r="N2220" s="402"/>
      <c r="O2220" s="402"/>
      <c r="P2220" s="402"/>
      <c r="Q2220" s="402"/>
      <c r="R2220" s="403"/>
      <c r="S2220" s="234" t="e">
        <f>IF(C2220="",NA(),MATCH($B2220&amp;$C2220,'Smelter Reference List'!$J:$J,0))</f>
        <v>#N/A</v>
      </c>
      <c r="T2220" s="235"/>
      <c r="U2220" s="235">
        <f t="shared" si="64"/>
        <v>0</v>
      </c>
      <c r="V2220" s="235"/>
      <c r="W2220" s="235"/>
      <c r="Y2220" s="228" t="str">
        <f t="shared" si="65"/>
        <v>CID000568Tungsten</v>
      </c>
    </row>
    <row r="2221" spans="1:25" s="228" customFormat="1" ht="25.5">
      <c r="A2221" s="257"/>
      <c r="B2221" s="400" t="s">
        <v>6073</v>
      </c>
      <c r="C2221" s="396" t="s">
        <v>2326</v>
      </c>
      <c r="D2221" s="397" t="s">
        <v>212</v>
      </c>
      <c r="E2221" s="396" t="s">
        <v>212</v>
      </c>
      <c r="F2221" s="396" t="s">
        <v>5016</v>
      </c>
      <c r="G2221" s="396" t="s">
        <v>1420</v>
      </c>
      <c r="H2221" s="396" t="s">
        <v>3125</v>
      </c>
      <c r="I2221" s="398">
        <v>0</v>
      </c>
      <c r="J2221" s="399" t="s">
        <v>3563</v>
      </c>
      <c r="K2221" s="399" t="s">
        <v>3431</v>
      </c>
      <c r="L2221" s="402"/>
      <c r="M2221" s="402"/>
      <c r="N2221" s="402"/>
      <c r="O2221" s="402"/>
      <c r="P2221" s="402"/>
      <c r="Q2221" s="402"/>
      <c r="R2221" s="403"/>
      <c r="S2221" s="234" t="e">
        <f>IF(C2221="",NA(),MATCH($B2221&amp;$C2221,'Smelter Reference List'!$J:$J,0))</f>
        <v>#N/A</v>
      </c>
      <c r="T2221" s="235"/>
      <c r="U2221" s="235">
        <f t="shared" si="64"/>
        <v>0</v>
      </c>
      <c r="V2221" s="235"/>
      <c r="W2221" s="235"/>
      <c r="Y2221" s="228" t="str">
        <f t="shared" si="65"/>
        <v>CID000966Tungsten</v>
      </c>
    </row>
    <row r="2222" spans="1:25" s="228" customFormat="1" ht="25.5">
      <c r="A2222" s="257"/>
      <c r="B2222" s="400" t="s">
        <v>6074</v>
      </c>
      <c r="C2222" s="396" t="s">
        <v>2326</v>
      </c>
      <c r="D2222" s="397" t="s">
        <v>2</v>
      </c>
      <c r="E2222" s="396" t="s">
        <v>2</v>
      </c>
      <c r="F2222" s="396" t="s">
        <v>1766</v>
      </c>
      <c r="G2222" s="396" t="s">
        <v>1421</v>
      </c>
      <c r="H2222" s="396" t="s">
        <v>3125</v>
      </c>
      <c r="I2222" s="398">
        <v>0</v>
      </c>
      <c r="J2222" s="399" t="s">
        <v>3564</v>
      </c>
      <c r="K2222" s="399" t="s">
        <v>4139</v>
      </c>
      <c r="L2222" s="402"/>
      <c r="M2222" s="402"/>
      <c r="N2222" s="402"/>
      <c r="O2222" s="402"/>
      <c r="P2222" s="402"/>
      <c r="Q2222" s="402"/>
      <c r="R2222" s="403"/>
      <c r="S2222" s="234" t="e">
        <f>IF(C2222="",NA(),MATCH($B2222&amp;$C2222,'Smelter Reference List'!$J:$J,0))</f>
        <v>#N/A</v>
      </c>
      <c r="T2222" s="235"/>
      <c r="U2222" s="235">
        <f t="shared" si="64"/>
        <v>0</v>
      </c>
      <c r="V2222" s="235"/>
      <c r="W2222" s="235"/>
      <c r="Y2222" s="228" t="str">
        <f t="shared" si="65"/>
        <v>CID001889Tungsten</v>
      </c>
    </row>
    <row r="2223" spans="1:25" s="228" customFormat="1" ht="25.5">
      <c r="A2223" s="257"/>
      <c r="B2223" s="400" t="s">
        <v>6075</v>
      </c>
      <c r="C2223" s="396" t="s">
        <v>2324</v>
      </c>
      <c r="D2223" s="397" t="s">
        <v>4153</v>
      </c>
      <c r="E2223" s="396" t="s">
        <v>4153</v>
      </c>
      <c r="F2223" s="396" t="s">
        <v>2181</v>
      </c>
      <c r="G2223" s="396" t="s">
        <v>1374</v>
      </c>
      <c r="H2223" s="396" t="s">
        <v>3125</v>
      </c>
      <c r="I2223" s="398">
        <v>0</v>
      </c>
      <c r="J2223" s="399" t="s">
        <v>3471</v>
      </c>
      <c r="K2223" s="399" t="s">
        <v>3204</v>
      </c>
      <c r="L2223" s="402"/>
      <c r="M2223" s="402"/>
      <c r="N2223" s="402"/>
      <c r="O2223" s="402"/>
      <c r="P2223" s="402"/>
      <c r="Q2223" s="402"/>
      <c r="R2223" s="403"/>
      <c r="S2223" s="234" t="e">
        <f>IF(C2223="",NA(),MATCH($B2223&amp;$C2223,'Smelter Reference List'!$J:$J,0))</f>
        <v>#N/A</v>
      </c>
      <c r="T2223" s="235"/>
      <c r="U2223" s="235">
        <f t="shared" si="64"/>
        <v>0</v>
      </c>
      <c r="V2223" s="235"/>
      <c r="W2223" s="235"/>
      <c r="Y2223" s="228" t="str">
        <f t="shared" si="65"/>
        <v>CID000760Tin</v>
      </c>
    </row>
    <row r="2224" spans="1:25" s="228" customFormat="1">
      <c r="A2224" s="257"/>
      <c r="B2224" s="400" t="s">
        <v>6076</v>
      </c>
      <c r="C2224" s="396" t="s">
        <v>2324</v>
      </c>
      <c r="D2224" s="397" t="s">
        <v>1194</v>
      </c>
      <c r="E2224" s="396" t="s">
        <v>1194</v>
      </c>
      <c r="F2224" s="396" t="s">
        <v>2238</v>
      </c>
      <c r="G2224" s="396" t="s">
        <v>1389</v>
      </c>
      <c r="H2224" s="396" t="s">
        <v>3125</v>
      </c>
      <c r="I2224" s="398">
        <v>0</v>
      </c>
      <c r="J2224" s="399" t="s">
        <v>3457</v>
      </c>
      <c r="K2224" s="399" t="s">
        <v>3454</v>
      </c>
      <c r="L2224" s="402"/>
      <c r="M2224" s="402"/>
      <c r="N2224" s="402"/>
      <c r="O2224" s="402"/>
      <c r="P2224" s="402"/>
      <c r="Q2224" s="402"/>
      <c r="R2224" s="403"/>
      <c r="S2224" s="234" t="e">
        <f>IF(C2224="",NA(),MATCH($B2224&amp;$C2224,'Smelter Reference List'!$J:$J,0))</f>
        <v>#N/A</v>
      </c>
      <c r="T2224" s="235"/>
      <c r="U2224" s="235">
        <f t="shared" si="64"/>
        <v>0</v>
      </c>
      <c r="V2224" s="235"/>
      <c r="W2224" s="235"/>
      <c r="Y2224" s="228" t="str">
        <f t="shared" si="65"/>
        <v>CID001428Tin</v>
      </c>
    </row>
    <row r="2225" spans="1:25" s="228" customFormat="1" ht="25.5">
      <c r="A2225" s="257"/>
      <c r="B2225" s="400" t="s">
        <v>6077</v>
      </c>
      <c r="C2225" s="396" t="s">
        <v>2324</v>
      </c>
      <c r="D2225" s="397" t="s">
        <v>2371</v>
      </c>
      <c r="E2225" s="396" t="s">
        <v>2371</v>
      </c>
      <c r="F2225" s="396" t="s">
        <v>2249</v>
      </c>
      <c r="G2225" s="396" t="s">
        <v>1381</v>
      </c>
      <c r="H2225" s="396" t="s">
        <v>3125</v>
      </c>
      <c r="I2225" s="398">
        <v>0</v>
      </c>
      <c r="J2225" s="399" t="s">
        <v>3490</v>
      </c>
      <c r="K2225" s="399" t="s">
        <v>3140</v>
      </c>
      <c r="L2225" s="402"/>
      <c r="M2225" s="402"/>
      <c r="N2225" s="402"/>
      <c r="O2225" s="402"/>
      <c r="P2225" s="402"/>
      <c r="Q2225" s="402"/>
      <c r="R2225" s="403"/>
      <c r="S2225" s="234" t="e">
        <f>IF(C2225="",NA(),MATCH($B2225&amp;$C2225,'Smelter Reference List'!$J:$J,0))</f>
        <v>#N/A</v>
      </c>
      <c r="T2225" s="235"/>
      <c r="U2225" s="235">
        <f t="shared" si="64"/>
        <v>0</v>
      </c>
      <c r="V2225" s="235"/>
      <c r="W2225" s="235"/>
      <c r="Y2225" s="228" t="str">
        <f t="shared" si="65"/>
        <v>CID001191Tin</v>
      </c>
    </row>
    <row r="2226" spans="1:25" s="228" customFormat="1" ht="25.5">
      <c r="A2226" s="257"/>
      <c r="B2226" s="400" t="s">
        <v>6078</v>
      </c>
      <c r="C2226" s="396" t="s">
        <v>2324</v>
      </c>
      <c r="D2226" s="397" t="s">
        <v>1471</v>
      </c>
      <c r="E2226" s="396" t="s">
        <v>1471</v>
      </c>
      <c r="F2226" s="396" t="s">
        <v>2289</v>
      </c>
      <c r="G2226" s="396" t="s">
        <v>1378</v>
      </c>
      <c r="H2226" s="396" t="s">
        <v>3125</v>
      </c>
      <c r="I2226" s="398">
        <v>0</v>
      </c>
      <c r="J2226" s="399" t="s">
        <v>3481</v>
      </c>
      <c r="K2226" s="399" t="s">
        <v>3482</v>
      </c>
      <c r="L2226" s="402"/>
      <c r="M2226" s="402"/>
      <c r="N2226" s="402"/>
      <c r="O2226" s="402"/>
      <c r="P2226" s="402"/>
      <c r="Q2226" s="402"/>
      <c r="R2226" s="403"/>
      <c r="S2226" s="234" t="e">
        <f>IF(C2226="",NA(),MATCH($B2226&amp;$C2226,'Smelter Reference List'!$J:$J,0))</f>
        <v>#N/A</v>
      </c>
      <c r="T2226" s="235"/>
      <c r="U2226" s="235">
        <f t="shared" si="64"/>
        <v>0</v>
      </c>
      <c r="V2226" s="235"/>
      <c r="W2226" s="235"/>
      <c r="Y2226" s="228" t="str">
        <f t="shared" si="65"/>
        <v>CID001105Tin</v>
      </c>
    </row>
    <row r="2227" spans="1:25" s="228" customFormat="1">
      <c r="A2227" s="257"/>
      <c r="B2227" s="400" t="s">
        <v>6079</v>
      </c>
      <c r="C2227" s="396" t="s">
        <v>2324</v>
      </c>
      <c r="D2227" s="397" t="s">
        <v>1196</v>
      </c>
      <c r="E2227" s="396" t="s">
        <v>1196</v>
      </c>
      <c r="F2227" s="396" t="s">
        <v>2238</v>
      </c>
      <c r="G2227" s="396" t="s">
        <v>1393</v>
      </c>
      <c r="H2227" s="396" t="s">
        <v>3125</v>
      </c>
      <c r="I2227" s="398">
        <v>0</v>
      </c>
      <c r="J2227" s="399" t="s">
        <v>3453</v>
      </c>
      <c r="K2227" s="399" t="s">
        <v>3454</v>
      </c>
      <c r="L2227" s="402"/>
      <c r="M2227" s="402"/>
      <c r="N2227" s="402"/>
      <c r="O2227" s="402"/>
      <c r="P2227" s="402"/>
      <c r="Q2227" s="402"/>
      <c r="R2227" s="403"/>
      <c r="S2227" s="234" t="e">
        <f>IF(C2227="",NA(),MATCH($B2227&amp;$C2227,'Smelter Reference List'!$J:$J,0))</f>
        <v>#N/A</v>
      </c>
      <c r="T2227" s="235"/>
      <c r="U2227" s="235">
        <f t="shared" si="64"/>
        <v>0</v>
      </c>
      <c r="V2227" s="235"/>
      <c r="W2227" s="235"/>
      <c r="Y2227" s="228" t="str">
        <f t="shared" si="65"/>
        <v>CID001453Tin</v>
      </c>
    </row>
    <row r="2228" spans="1:25" s="228" customFormat="1">
      <c r="A2228" s="257"/>
      <c r="B2228" s="400" t="s">
        <v>6080</v>
      </c>
      <c r="C2228" s="396" t="s">
        <v>2324</v>
      </c>
      <c r="D2228" s="397" t="s">
        <v>1197</v>
      </c>
      <c r="E2228" s="396" t="s">
        <v>1197</v>
      </c>
      <c r="F2228" s="396" t="s">
        <v>2238</v>
      </c>
      <c r="G2228" s="396" t="s">
        <v>1397</v>
      </c>
      <c r="H2228" s="396" t="s">
        <v>3125</v>
      </c>
      <c r="I2228" s="398">
        <v>0</v>
      </c>
      <c r="J2228" s="399" t="s">
        <v>3457</v>
      </c>
      <c r="K2228" s="399" t="s">
        <v>3454</v>
      </c>
      <c r="L2228" s="402"/>
      <c r="M2228" s="402"/>
      <c r="N2228" s="402"/>
      <c r="O2228" s="402"/>
      <c r="P2228" s="402"/>
      <c r="Q2228" s="402"/>
      <c r="R2228" s="403"/>
      <c r="S2228" s="234" t="e">
        <f>IF(C2228="",NA(),MATCH($B2228&amp;$C2228,'Smelter Reference List'!$J:$J,0))</f>
        <v>#N/A</v>
      </c>
      <c r="T2228" s="235"/>
      <c r="U2228" s="235">
        <f t="shared" si="64"/>
        <v>0</v>
      </c>
      <c r="V2228" s="235"/>
      <c r="W2228" s="235"/>
      <c r="Y2228" s="228" t="str">
        <f t="shared" si="65"/>
        <v>CID001463Tin</v>
      </c>
    </row>
    <row r="2229" spans="1:25" s="228" customFormat="1" ht="25.5">
      <c r="A2229" s="257"/>
      <c r="B2229" s="400" t="s">
        <v>6081</v>
      </c>
      <c r="C2229" s="396" t="s">
        <v>2324</v>
      </c>
      <c r="D2229" s="397" t="s">
        <v>4266</v>
      </c>
      <c r="E2229" s="396" t="s">
        <v>4266</v>
      </c>
      <c r="F2229" s="396" t="s">
        <v>2238</v>
      </c>
      <c r="G2229" s="396" t="s">
        <v>1399</v>
      </c>
      <c r="H2229" s="396" t="s">
        <v>3125</v>
      </c>
      <c r="I2229" s="398">
        <v>0</v>
      </c>
      <c r="J2229" s="399" t="s">
        <v>3507</v>
      </c>
      <c r="K2229" s="399" t="s">
        <v>3454</v>
      </c>
      <c r="L2229" s="402"/>
      <c r="M2229" s="402"/>
      <c r="N2229" s="402"/>
      <c r="O2229" s="402"/>
      <c r="P2229" s="402"/>
      <c r="Q2229" s="402"/>
      <c r="R2229" s="403"/>
      <c r="S2229" s="234" t="e">
        <f>IF(C2229="",NA(),MATCH($B2229&amp;$C2229,'Smelter Reference List'!$J:$J,0))</f>
        <v>#N/A</v>
      </c>
      <c r="T2229" s="235"/>
      <c r="U2229" s="235">
        <f t="shared" si="64"/>
        <v>0</v>
      </c>
      <c r="V2229" s="235"/>
      <c r="W2229" s="235"/>
      <c r="Y2229" s="228" t="str">
        <f t="shared" si="65"/>
        <v>CID001482Tin</v>
      </c>
    </row>
    <row r="2230" spans="1:25" s="228" customFormat="1">
      <c r="A2230" s="257"/>
      <c r="B2230" s="400" t="s">
        <v>6082</v>
      </c>
      <c r="C2230" s="396" t="s">
        <v>2324</v>
      </c>
      <c r="D2230" s="397" t="s">
        <v>972</v>
      </c>
      <c r="E2230" s="396" t="s">
        <v>972</v>
      </c>
      <c r="F2230" s="396" t="s">
        <v>2238</v>
      </c>
      <c r="G2230" s="396" t="s">
        <v>1400</v>
      </c>
      <c r="H2230" s="396" t="s">
        <v>3125</v>
      </c>
      <c r="I2230" s="398">
        <v>0</v>
      </c>
      <c r="J2230" s="399" t="s">
        <v>3457</v>
      </c>
      <c r="K2230" s="399" t="s">
        <v>3454</v>
      </c>
      <c r="L2230" s="402"/>
      <c r="M2230" s="402"/>
      <c r="N2230" s="402"/>
      <c r="O2230" s="402"/>
      <c r="P2230" s="402"/>
      <c r="Q2230" s="402"/>
      <c r="R2230" s="403"/>
      <c r="S2230" s="234" t="e">
        <f>IF(C2230="",NA(),MATCH($B2230&amp;$C2230,'Smelter Reference List'!$J:$J,0))</f>
        <v>#N/A</v>
      </c>
      <c r="T2230" s="235"/>
      <c r="U2230" s="235">
        <f t="shared" si="64"/>
        <v>0</v>
      </c>
      <c r="V2230" s="235"/>
      <c r="W2230" s="235"/>
      <c r="Y2230" s="228" t="str">
        <f t="shared" si="65"/>
        <v>CID001490Tin</v>
      </c>
    </row>
    <row r="2231" spans="1:25" s="228" customFormat="1" ht="25.5">
      <c r="A2231" s="257"/>
      <c r="B2231" s="400" t="s">
        <v>6083</v>
      </c>
      <c r="C2231" s="396" t="s">
        <v>2324</v>
      </c>
      <c r="D2231" s="397" t="s">
        <v>3503</v>
      </c>
      <c r="E2231" s="396" t="s">
        <v>3503</v>
      </c>
      <c r="F2231" s="396" t="s">
        <v>2238</v>
      </c>
      <c r="G2231" s="396" t="s">
        <v>1424</v>
      </c>
      <c r="H2231" s="396" t="s">
        <v>3125</v>
      </c>
      <c r="I2231" s="398">
        <v>0</v>
      </c>
      <c r="J2231" s="399" t="s">
        <v>3504</v>
      </c>
      <c r="K2231" s="399" t="s">
        <v>3505</v>
      </c>
      <c r="L2231" s="402"/>
      <c r="M2231" s="402"/>
      <c r="N2231" s="402"/>
      <c r="O2231" s="402"/>
      <c r="P2231" s="402"/>
      <c r="Q2231" s="402"/>
      <c r="R2231" s="403"/>
      <c r="S2231" s="234" t="e">
        <f>IF(C2231="",NA(),MATCH($B2231&amp;$C2231,'Smelter Reference List'!$J:$J,0))</f>
        <v>#N/A</v>
      </c>
      <c r="T2231" s="235"/>
      <c r="U2231" s="235">
        <f t="shared" si="64"/>
        <v>0</v>
      </c>
      <c r="V2231" s="235"/>
      <c r="W2231" s="235"/>
      <c r="Y2231" s="228" t="str">
        <f t="shared" si="65"/>
        <v>CID001477Tin</v>
      </c>
    </row>
    <row r="2232" spans="1:25" s="228" customFormat="1" ht="25.5">
      <c r="A2232" s="257"/>
      <c r="B2232" s="400" t="s">
        <v>6084</v>
      </c>
      <c r="C2232" s="396" t="s">
        <v>2324</v>
      </c>
      <c r="D2232" s="397" t="s">
        <v>67</v>
      </c>
      <c r="E2232" s="396" t="s">
        <v>67</v>
      </c>
      <c r="F2232" s="396" t="s">
        <v>5016</v>
      </c>
      <c r="G2232" s="396" t="s">
        <v>1364</v>
      </c>
      <c r="H2232" s="396" t="s">
        <v>3125</v>
      </c>
      <c r="I2232" s="398">
        <v>0</v>
      </c>
      <c r="J2232" s="399" t="s">
        <v>3444</v>
      </c>
      <c r="K2232" s="399" t="s">
        <v>3401</v>
      </c>
      <c r="L2232" s="402"/>
      <c r="M2232" s="402"/>
      <c r="N2232" s="402"/>
      <c r="O2232" s="402"/>
      <c r="P2232" s="402"/>
      <c r="Q2232" s="402"/>
      <c r="R2232" s="403"/>
      <c r="S2232" s="234" t="e">
        <f>IF(C2232="",NA(),MATCH($B2232&amp;$C2232,'Smelter Reference List'!$J:$J,0))</f>
        <v>#N/A</v>
      </c>
      <c r="T2232" s="235"/>
      <c r="U2232" s="235">
        <f t="shared" si="64"/>
        <v>0</v>
      </c>
      <c r="V2232" s="235"/>
      <c r="W2232" s="235"/>
      <c r="Y2232" s="228" t="str">
        <f t="shared" si="65"/>
        <v>CID000292Tin</v>
      </c>
    </row>
    <row r="2233" spans="1:25" s="228" customFormat="1">
      <c r="A2233" s="257"/>
      <c r="B2233" s="400" t="s">
        <v>6085</v>
      </c>
      <c r="C2233" s="396" t="s">
        <v>2324</v>
      </c>
      <c r="D2233" s="397" t="s">
        <v>1462</v>
      </c>
      <c r="E2233" s="396" t="s">
        <v>1462</v>
      </c>
      <c r="F2233" s="396" t="s">
        <v>1708</v>
      </c>
      <c r="G2233" s="396" t="s">
        <v>1371</v>
      </c>
      <c r="H2233" s="396" t="s">
        <v>3125</v>
      </c>
      <c r="I2233" s="398">
        <v>0</v>
      </c>
      <c r="J2233" s="399" t="s">
        <v>3466</v>
      </c>
      <c r="K2233" s="399" t="s">
        <v>3467</v>
      </c>
      <c r="L2233" s="402"/>
      <c r="M2233" s="402"/>
      <c r="N2233" s="402"/>
      <c r="O2233" s="402"/>
      <c r="P2233" s="402"/>
      <c r="Q2233" s="402"/>
      <c r="R2233" s="403"/>
      <c r="S2233" s="234" t="e">
        <f>IF(C2233="",NA(),MATCH($B2233&amp;$C2233,'Smelter Reference List'!$J:$J,0))</f>
        <v>#N/A</v>
      </c>
      <c r="T2233" s="235"/>
      <c r="U2233" s="235">
        <f t="shared" si="64"/>
        <v>0</v>
      </c>
      <c r="V2233" s="235"/>
      <c r="W2233" s="235"/>
      <c r="Y2233" s="228" t="str">
        <f t="shared" si="65"/>
        <v>CID000468Tin</v>
      </c>
    </row>
    <row r="2234" spans="1:25" s="228" customFormat="1">
      <c r="A2234" s="257"/>
      <c r="B2234" s="400" t="s">
        <v>6086</v>
      </c>
      <c r="C2234" s="396" t="s">
        <v>2324</v>
      </c>
      <c r="D2234" s="397" t="s">
        <v>1954</v>
      </c>
      <c r="E2234" s="396" t="s">
        <v>1954</v>
      </c>
      <c r="F2234" s="396" t="s">
        <v>1704</v>
      </c>
      <c r="G2234" s="396" t="s">
        <v>1380</v>
      </c>
      <c r="H2234" s="396" t="s">
        <v>3125</v>
      </c>
      <c r="I2234" s="398">
        <v>0</v>
      </c>
      <c r="J2234" s="399" t="s">
        <v>3487</v>
      </c>
      <c r="K2234" s="399" t="s">
        <v>3488</v>
      </c>
      <c r="L2234" s="402"/>
      <c r="M2234" s="402"/>
      <c r="N2234" s="402"/>
      <c r="O2234" s="402"/>
      <c r="P2234" s="402"/>
      <c r="Q2234" s="402"/>
      <c r="R2234" s="403"/>
      <c r="S2234" s="234" t="e">
        <f>IF(C2234="",NA(),MATCH($B2234&amp;$C2234,'Smelter Reference List'!$J:$J,0))</f>
        <v>#N/A</v>
      </c>
      <c r="T2234" s="235"/>
      <c r="U2234" s="235">
        <f t="shared" si="64"/>
        <v>0</v>
      </c>
      <c r="V2234" s="235"/>
      <c r="W2234" s="235"/>
      <c r="Y2234" s="228" t="str">
        <f t="shared" si="65"/>
        <v>CID001182Tin</v>
      </c>
    </row>
    <row r="2235" spans="1:25" s="228" customFormat="1">
      <c r="A2235" s="257"/>
      <c r="B2235" s="400" t="s">
        <v>6087</v>
      </c>
      <c r="C2235" s="396" t="s">
        <v>2324</v>
      </c>
      <c r="D2235" s="397" t="s">
        <v>1951</v>
      </c>
      <c r="E2235" s="396" t="s">
        <v>1951</v>
      </c>
      <c r="F2235" s="396" t="s">
        <v>1743</v>
      </c>
      <c r="G2235" s="396" t="s">
        <v>1404</v>
      </c>
      <c r="H2235" s="396" t="s">
        <v>3125</v>
      </c>
      <c r="I2235" s="398">
        <v>0</v>
      </c>
      <c r="J2235" s="399" t="s">
        <v>3510</v>
      </c>
      <c r="K2235" s="399" t="s">
        <v>3511</v>
      </c>
      <c r="L2235" s="402"/>
      <c r="M2235" s="402"/>
      <c r="N2235" s="402"/>
      <c r="O2235" s="402"/>
      <c r="P2235" s="402"/>
      <c r="Q2235" s="402"/>
      <c r="R2235" s="403"/>
      <c r="S2235" s="234" t="e">
        <f>IF(C2235="",NA(),MATCH($B2235&amp;$C2235,'Smelter Reference List'!$J:$J,0))</f>
        <v>#N/A</v>
      </c>
      <c r="T2235" s="235"/>
      <c r="U2235" s="235">
        <f t="shared" si="64"/>
        <v>0</v>
      </c>
      <c r="V2235" s="235"/>
      <c r="W2235" s="235"/>
      <c r="Y2235" s="228" t="str">
        <f t="shared" si="65"/>
        <v>CID001898Tin</v>
      </c>
    </row>
    <row r="2236" spans="1:25" s="228" customFormat="1" ht="25.5">
      <c r="A2236" s="257"/>
      <c r="B2236" s="400" t="s">
        <v>6088</v>
      </c>
      <c r="C2236" s="396" t="s">
        <v>2324</v>
      </c>
      <c r="D2236" s="397" t="s">
        <v>3469</v>
      </c>
      <c r="E2236" s="396" t="s">
        <v>3469</v>
      </c>
      <c r="F2236" s="396" t="s">
        <v>2181</v>
      </c>
      <c r="G2236" s="396" t="s">
        <v>1373</v>
      </c>
      <c r="H2236" s="396" t="s">
        <v>3125</v>
      </c>
      <c r="I2236" s="398">
        <v>0</v>
      </c>
      <c r="J2236" s="399" t="s">
        <v>5023</v>
      </c>
      <c r="K2236" s="399" t="s">
        <v>3161</v>
      </c>
      <c r="L2236" s="402"/>
      <c r="M2236" s="402"/>
      <c r="N2236" s="402"/>
      <c r="O2236" s="402"/>
      <c r="P2236" s="402"/>
      <c r="Q2236" s="402"/>
      <c r="R2236" s="403"/>
      <c r="S2236" s="234" t="e">
        <f>IF(C2236="",NA(),MATCH($B2236&amp;$C2236,'Smelter Reference List'!$J:$J,0))</f>
        <v>#N/A</v>
      </c>
      <c r="T2236" s="235"/>
      <c r="U2236" s="235">
        <f t="shared" si="64"/>
        <v>0</v>
      </c>
      <c r="V2236" s="235"/>
      <c r="W2236" s="235"/>
      <c r="Y2236" s="228" t="str">
        <f t="shared" si="65"/>
        <v>CID000555Tin</v>
      </c>
    </row>
    <row r="2237" spans="1:25" s="228" customFormat="1" ht="25.5">
      <c r="A2237" s="257"/>
      <c r="B2237" s="400" t="s">
        <v>6089</v>
      </c>
      <c r="C2237" s="396" t="s">
        <v>2324</v>
      </c>
      <c r="D2237" s="397" t="s">
        <v>4152</v>
      </c>
      <c r="E2237" s="396" t="s">
        <v>4152</v>
      </c>
      <c r="F2237" s="396" t="s">
        <v>2181</v>
      </c>
      <c r="G2237" s="396" t="s">
        <v>1372</v>
      </c>
      <c r="H2237" s="396" t="s">
        <v>3125</v>
      </c>
      <c r="I2237" s="398">
        <v>0</v>
      </c>
      <c r="J2237" s="399" t="s">
        <v>5023</v>
      </c>
      <c r="K2237" s="399" t="s">
        <v>3161</v>
      </c>
      <c r="L2237" s="402"/>
      <c r="M2237" s="402"/>
      <c r="N2237" s="402"/>
      <c r="O2237" s="402"/>
      <c r="P2237" s="402"/>
      <c r="Q2237" s="402"/>
      <c r="R2237" s="403"/>
      <c r="S2237" s="234" t="e">
        <f>IF(C2237="",NA(),MATCH($B2237&amp;$C2237,'Smelter Reference List'!$J:$J,0))</f>
        <v>#N/A</v>
      </c>
      <c r="T2237" s="235"/>
      <c r="U2237" s="235">
        <f t="shared" si="64"/>
        <v>0</v>
      </c>
      <c r="V2237" s="235"/>
      <c r="W2237" s="235"/>
      <c r="Y2237" s="228" t="str">
        <f t="shared" si="65"/>
        <v>CID000538Tin</v>
      </c>
    </row>
    <row r="2238" spans="1:25" s="228" customFormat="1" ht="38.25">
      <c r="A2238" s="257"/>
      <c r="B2238" s="400" t="s">
        <v>6090</v>
      </c>
      <c r="C2238" s="396" t="s">
        <v>2324</v>
      </c>
      <c r="D2238" s="397" t="s">
        <v>1506</v>
      </c>
      <c r="E2238" s="396" t="s">
        <v>1506</v>
      </c>
      <c r="F2238" s="396" t="s">
        <v>5022</v>
      </c>
      <c r="G2238" s="396" t="s">
        <v>1368</v>
      </c>
      <c r="H2238" s="396" t="s">
        <v>3125</v>
      </c>
      <c r="I2238" s="398">
        <v>0</v>
      </c>
      <c r="J2238" s="399" t="s">
        <v>3459</v>
      </c>
      <c r="K2238" s="399" t="s">
        <v>3460</v>
      </c>
      <c r="L2238" s="402"/>
      <c r="M2238" s="402"/>
      <c r="N2238" s="402"/>
      <c r="O2238" s="402"/>
      <c r="P2238" s="402"/>
      <c r="Q2238" s="402"/>
      <c r="R2238" s="403"/>
      <c r="S2238" s="234" t="e">
        <f>IF(C2238="",NA(),MATCH($B2238&amp;$C2238,'Smelter Reference List'!$J:$J,0))</f>
        <v>#N/A</v>
      </c>
      <c r="T2238" s="235"/>
      <c r="U2238" s="235">
        <f t="shared" si="64"/>
        <v>0</v>
      </c>
      <c r="V2238" s="235"/>
      <c r="W2238" s="235"/>
      <c r="Y2238" s="228" t="str">
        <f t="shared" si="65"/>
        <v>CID000438Tin</v>
      </c>
    </row>
    <row r="2239" spans="1:25" s="228" customFormat="1" ht="38.25">
      <c r="A2239" s="257"/>
      <c r="B2239" s="400" t="s">
        <v>6091</v>
      </c>
      <c r="C2239" s="396" t="s">
        <v>2324</v>
      </c>
      <c r="D2239" s="397" t="s">
        <v>3494</v>
      </c>
      <c r="E2239" s="396" t="s">
        <v>3494</v>
      </c>
      <c r="F2239" s="396" t="s">
        <v>5022</v>
      </c>
      <c r="G2239" s="396" t="s">
        <v>1384</v>
      </c>
      <c r="H2239" s="396" t="s">
        <v>3125</v>
      </c>
      <c r="I2239" s="398">
        <v>0</v>
      </c>
      <c r="J2239" s="399" t="s">
        <v>3459</v>
      </c>
      <c r="K2239" s="399" t="s">
        <v>3460</v>
      </c>
      <c r="L2239" s="402"/>
      <c r="M2239" s="402"/>
      <c r="N2239" s="402"/>
      <c r="O2239" s="402"/>
      <c r="P2239" s="402"/>
      <c r="Q2239" s="402"/>
      <c r="R2239" s="403"/>
      <c r="S2239" s="234" t="e">
        <f>IF(C2239="",NA(),MATCH($B2239&amp;$C2239,'Smelter Reference List'!$J:$J,0))</f>
        <v>#N/A</v>
      </c>
      <c r="T2239" s="235"/>
      <c r="U2239" s="235">
        <f t="shared" si="64"/>
        <v>0</v>
      </c>
      <c r="V2239" s="235"/>
      <c r="W2239" s="235"/>
      <c r="Y2239" s="228" t="str">
        <f t="shared" si="65"/>
        <v>CID001337Tin</v>
      </c>
    </row>
    <row r="2240" spans="1:25" s="228" customFormat="1">
      <c r="A2240" s="257"/>
      <c r="B2240" s="400" t="s">
        <v>6092</v>
      </c>
      <c r="C2240" s="396" t="s">
        <v>2324</v>
      </c>
      <c r="D2240" s="397" t="s">
        <v>1953</v>
      </c>
      <c r="E2240" s="396" t="s">
        <v>1953</v>
      </c>
      <c r="F2240" s="396" t="s">
        <v>2170</v>
      </c>
      <c r="G2240" s="396" t="s">
        <v>1379</v>
      </c>
      <c r="H2240" s="396" t="s">
        <v>3125</v>
      </c>
      <c r="I2240" s="398">
        <v>0</v>
      </c>
      <c r="J2240" s="399" t="s">
        <v>3485</v>
      </c>
      <c r="K2240" s="399" t="s">
        <v>3313</v>
      </c>
      <c r="L2240" s="402"/>
      <c r="M2240" s="402"/>
      <c r="N2240" s="402"/>
      <c r="O2240" s="402"/>
      <c r="P2240" s="402"/>
      <c r="Q2240" s="402"/>
      <c r="R2240" s="403"/>
      <c r="S2240" s="234" t="e">
        <f>IF(C2240="",NA(),MATCH($B2240&amp;$C2240,'Smelter Reference List'!$J:$J,0))</f>
        <v>#N/A</v>
      </c>
      <c r="T2240" s="235"/>
      <c r="U2240" s="235">
        <f t="shared" si="64"/>
        <v>0</v>
      </c>
      <c r="V2240" s="235"/>
      <c r="W2240" s="235"/>
      <c r="Y2240" s="228" t="str">
        <f t="shared" si="65"/>
        <v>CID001173Tin</v>
      </c>
    </row>
    <row r="2241" spans="1:25" s="228" customFormat="1" ht="25.5">
      <c r="A2241" s="257"/>
      <c r="B2241" s="400" t="s">
        <v>6093</v>
      </c>
      <c r="C2241" s="396" t="s">
        <v>2324</v>
      </c>
      <c r="D2241" s="397" t="s">
        <v>3450</v>
      </c>
      <c r="E2241" s="396" t="s">
        <v>3450</v>
      </c>
      <c r="F2241" s="396" t="s">
        <v>2170</v>
      </c>
      <c r="G2241" s="396" t="s">
        <v>1365</v>
      </c>
      <c r="H2241" s="396" t="s">
        <v>3125</v>
      </c>
      <c r="I2241" s="398">
        <v>0</v>
      </c>
      <c r="J2241" s="399" t="s">
        <v>3451</v>
      </c>
      <c r="K2241" s="399" t="s">
        <v>3452</v>
      </c>
      <c r="L2241" s="402"/>
      <c r="M2241" s="402"/>
      <c r="N2241" s="402"/>
      <c r="O2241" s="402"/>
      <c r="P2241" s="402"/>
      <c r="Q2241" s="402"/>
      <c r="R2241" s="403"/>
      <c r="S2241" s="234" t="e">
        <f>IF(C2241="",NA(),MATCH($B2241&amp;$C2241,'Smelter Reference List'!$J:$J,0))</f>
        <v>#N/A</v>
      </c>
      <c r="T2241" s="235"/>
      <c r="U2241" s="235">
        <f t="shared" si="64"/>
        <v>0</v>
      </c>
      <c r="V2241" s="235"/>
      <c r="W2241" s="235"/>
      <c r="Y2241" s="228" t="str">
        <f t="shared" si="65"/>
        <v>CID000295Tin</v>
      </c>
    </row>
    <row r="2242" spans="1:25" s="228" customFormat="1" ht="25.5">
      <c r="A2242" s="257"/>
      <c r="B2242" s="400" t="s">
        <v>6094</v>
      </c>
      <c r="C2242" s="396" t="s">
        <v>2324</v>
      </c>
      <c r="D2242" s="397" t="s">
        <v>68</v>
      </c>
      <c r="E2242" s="396" t="s">
        <v>68</v>
      </c>
      <c r="F2242" s="396" t="s">
        <v>2170</v>
      </c>
      <c r="G2242" s="396" t="s">
        <v>1405</v>
      </c>
      <c r="H2242" s="396" t="s">
        <v>3125</v>
      </c>
      <c r="I2242" s="398">
        <v>0</v>
      </c>
      <c r="J2242" s="399" t="s">
        <v>3451</v>
      </c>
      <c r="K2242" s="399" t="s">
        <v>3452</v>
      </c>
      <c r="L2242" s="402"/>
      <c r="M2242" s="402"/>
      <c r="N2242" s="402"/>
      <c r="O2242" s="402"/>
      <c r="P2242" s="402"/>
      <c r="Q2242" s="402"/>
      <c r="R2242" s="403"/>
      <c r="S2242" s="234" t="e">
        <f>IF(C2242="",NA(),MATCH($B2242&amp;$C2242,'Smelter Reference List'!$J:$J,0))</f>
        <v>#N/A</v>
      </c>
      <c r="T2242" s="235"/>
      <c r="U2242" s="235">
        <f t="shared" si="64"/>
        <v>0</v>
      </c>
      <c r="V2242" s="235"/>
      <c r="W2242" s="235"/>
      <c r="Y2242" s="228" t="str">
        <f t="shared" si="65"/>
        <v>CID002036Tin</v>
      </c>
    </row>
    <row r="2243" spans="1:25" s="228" customFormat="1">
      <c r="A2243" s="257"/>
      <c r="B2243" s="400" t="s">
        <v>6095</v>
      </c>
      <c r="C2243" s="396" t="s">
        <v>2324</v>
      </c>
      <c r="D2243" s="397" t="s">
        <v>1394</v>
      </c>
      <c r="E2243" s="396" t="s">
        <v>1394</v>
      </c>
      <c r="F2243" s="396" t="s">
        <v>2238</v>
      </c>
      <c r="G2243" s="396" t="s">
        <v>1395</v>
      </c>
      <c r="H2243" s="396" t="s">
        <v>3125</v>
      </c>
      <c r="I2243" s="398">
        <v>0</v>
      </c>
      <c r="J2243" s="399" t="s">
        <v>3457</v>
      </c>
      <c r="K2243" s="399" t="s">
        <v>3454</v>
      </c>
      <c r="L2243" s="402"/>
      <c r="M2243" s="402"/>
      <c r="N2243" s="402"/>
      <c r="O2243" s="402"/>
      <c r="P2243" s="402"/>
      <c r="Q2243" s="402"/>
      <c r="R2243" s="403"/>
      <c r="S2243" s="234" t="e">
        <f>IF(C2243="",NA(),MATCH($B2243&amp;$C2243,'Smelter Reference List'!$J:$J,0))</f>
        <v>#N/A</v>
      </c>
      <c r="T2243" s="235"/>
      <c r="U2243" s="235">
        <f t="shared" si="64"/>
        <v>0</v>
      </c>
      <c r="V2243" s="235"/>
      <c r="W2243" s="235"/>
      <c r="Y2243" s="228" t="str">
        <f t="shared" si="65"/>
        <v>CID001458Tin</v>
      </c>
    </row>
    <row r="2244" spans="1:25" s="228" customFormat="1">
      <c r="A2244" s="257"/>
      <c r="B2244" s="400" t="s">
        <v>6096</v>
      </c>
      <c r="C2244" s="396" t="s">
        <v>2324</v>
      </c>
      <c r="D2244" s="397" t="s">
        <v>1504</v>
      </c>
      <c r="E2244" s="396" t="s">
        <v>1504</v>
      </c>
      <c r="F2244" s="396" t="s">
        <v>2238</v>
      </c>
      <c r="G2244" s="396" t="s">
        <v>1366</v>
      </c>
      <c r="H2244" s="396" t="s">
        <v>3125</v>
      </c>
      <c r="I2244" s="398">
        <v>0</v>
      </c>
      <c r="J2244" s="399" t="s">
        <v>3456</v>
      </c>
      <c r="K2244" s="399" t="s">
        <v>3454</v>
      </c>
      <c r="L2244" s="402"/>
      <c r="M2244" s="402"/>
      <c r="N2244" s="402"/>
      <c r="O2244" s="402"/>
      <c r="P2244" s="402"/>
      <c r="Q2244" s="402"/>
      <c r="R2244" s="403"/>
      <c r="S2244" s="234" t="e">
        <f>IF(C2244="",NA(),MATCH($B2244&amp;$C2244,'Smelter Reference List'!$J:$J,0))</f>
        <v>#N/A</v>
      </c>
      <c r="T2244" s="235"/>
      <c r="U2244" s="235">
        <f t="shared" si="64"/>
        <v>0</v>
      </c>
      <c r="V2244" s="235"/>
      <c r="W2244" s="235"/>
      <c r="Y2244" s="228" t="str">
        <f t="shared" si="65"/>
        <v>CID000313Tin</v>
      </c>
    </row>
    <row r="2245" spans="1:25" s="228" customFormat="1">
      <c r="A2245" s="257"/>
      <c r="B2245" s="400" t="s">
        <v>6097</v>
      </c>
      <c r="C2245" s="396" t="s">
        <v>2324</v>
      </c>
      <c r="D2245" s="397" t="s">
        <v>1505</v>
      </c>
      <c r="E2245" s="396" t="s">
        <v>1505</v>
      </c>
      <c r="F2245" s="396" t="s">
        <v>2238</v>
      </c>
      <c r="G2245" s="396" t="s">
        <v>1367</v>
      </c>
      <c r="H2245" s="396" t="s">
        <v>3125</v>
      </c>
      <c r="I2245" s="398">
        <v>0</v>
      </c>
      <c r="J2245" s="399" t="s">
        <v>3457</v>
      </c>
      <c r="K2245" s="399" t="s">
        <v>3454</v>
      </c>
      <c r="L2245" s="402"/>
      <c r="M2245" s="402"/>
      <c r="N2245" s="402"/>
      <c r="O2245" s="402"/>
      <c r="P2245" s="402"/>
      <c r="Q2245" s="402"/>
      <c r="R2245" s="403"/>
      <c r="S2245" s="234" t="e">
        <f>IF(C2245="",NA(),MATCH($B2245&amp;$C2245,'Smelter Reference List'!$J:$J,0))</f>
        <v>#N/A</v>
      </c>
      <c r="T2245" s="235"/>
      <c r="U2245" s="235">
        <f t="shared" si="64"/>
        <v>0</v>
      </c>
      <c r="V2245" s="235"/>
      <c r="W2245" s="235"/>
      <c r="Y2245" s="228" t="str">
        <f t="shared" si="65"/>
        <v>CID000315Tin</v>
      </c>
    </row>
    <row r="2246" spans="1:25" s="228" customFormat="1">
      <c r="A2246" s="257"/>
      <c r="B2246" s="400" t="s">
        <v>6098</v>
      </c>
      <c r="C2246" s="396" t="s">
        <v>2324</v>
      </c>
      <c r="D2246" s="397" t="s">
        <v>1508</v>
      </c>
      <c r="E2246" s="396" t="s">
        <v>1508</v>
      </c>
      <c r="F2246" s="396" t="s">
        <v>2238</v>
      </c>
      <c r="G2246" s="396" t="s">
        <v>1385</v>
      </c>
      <c r="H2246" s="396" t="s">
        <v>3125</v>
      </c>
      <c r="I2246" s="398">
        <v>0</v>
      </c>
      <c r="J2246" s="399" t="s">
        <v>3453</v>
      </c>
      <c r="K2246" s="399" t="s">
        <v>3454</v>
      </c>
      <c r="L2246" s="402"/>
      <c r="M2246" s="402"/>
      <c r="N2246" s="402"/>
      <c r="O2246" s="402"/>
      <c r="P2246" s="402"/>
      <c r="Q2246" s="402"/>
      <c r="R2246" s="403"/>
      <c r="S2246" s="234" t="e">
        <f>IF(C2246="",NA(),MATCH($B2246&amp;$C2246,'Smelter Reference List'!$J:$J,0))</f>
        <v>#N/A</v>
      </c>
      <c r="T2246" s="235"/>
      <c r="U2246" s="235">
        <f t="shared" ref="U2246:U2309" si="66">IF(AND(C2246="Smelter not listed",OR(LEN(D2246)=0,LEN(E2246)=0)),1,0)</f>
        <v>0</v>
      </c>
      <c r="V2246" s="235"/>
      <c r="W2246" s="235"/>
      <c r="Y2246" s="228" t="str">
        <f t="shared" ref="Y2246:Y2309" si="67">B2246&amp;C2246</f>
        <v>CID001399Tin</v>
      </c>
    </row>
    <row r="2247" spans="1:25" s="228" customFormat="1" ht="25.5">
      <c r="A2247" s="257"/>
      <c r="B2247" s="400" t="s">
        <v>6099</v>
      </c>
      <c r="C2247" s="396" t="s">
        <v>2324</v>
      </c>
      <c r="D2247" s="397" t="s">
        <v>1193</v>
      </c>
      <c r="E2247" s="396" t="s">
        <v>1193</v>
      </c>
      <c r="F2247" s="396" t="s">
        <v>2238</v>
      </c>
      <c r="G2247" s="396" t="s">
        <v>1388</v>
      </c>
      <c r="H2247" s="396" t="s">
        <v>3125</v>
      </c>
      <c r="I2247" s="398">
        <v>0</v>
      </c>
      <c r="J2247" s="399" t="s">
        <v>3457</v>
      </c>
      <c r="K2247" s="399" t="s">
        <v>3454</v>
      </c>
      <c r="L2247" s="402"/>
      <c r="M2247" s="402"/>
      <c r="N2247" s="402"/>
      <c r="O2247" s="402"/>
      <c r="P2247" s="402"/>
      <c r="Q2247" s="402"/>
      <c r="R2247" s="403"/>
      <c r="S2247" s="234" t="e">
        <f>IF(C2247="",NA(),MATCH($B2247&amp;$C2247,'Smelter Reference List'!$J:$J,0))</f>
        <v>#N/A</v>
      </c>
      <c r="T2247" s="235"/>
      <c r="U2247" s="235">
        <f t="shared" si="66"/>
        <v>0</v>
      </c>
      <c r="V2247" s="235"/>
      <c r="W2247" s="235"/>
      <c r="Y2247" s="228" t="str">
        <f t="shared" si="67"/>
        <v>CID001421Tin</v>
      </c>
    </row>
    <row r="2248" spans="1:25" s="228" customFormat="1" ht="25.5">
      <c r="A2248" s="257"/>
      <c r="B2248" s="400" t="s">
        <v>6100</v>
      </c>
      <c r="C2248" s="396" t="s">
        <v>2324</v>
      </c>
      <c r="D2248" s="397" t="s">
        <v>4165</v>
      </c>
      <c r="E2248" s="396" t="s">
        <v>4165</v>
      </c>
      <c r="F2248" s="396" t="s">
        <v>2181</v>
      </c>
      <c r="G2248" s="396" t="s">
        <v>3491</v>
      </c>
      <c r="H2248" s="396" t="s">
        <v>3125</v>
      </c>
      <c r="I2248" s="398">
        <v>0</v>
      </c>
      <c r="J2248" s="399" t="s">
        <v>3471</v>
      </c>
      <c r="K2248" s="399" t="s">
        <v>3204</v>
      </c>
      <c r="L2248" s="402"/>
      <c r="M2248" s="402"/>
      <c r="N2248" s="402"/>
      <c r="O2248" s="402"/>
      <c r="P2248" s="402"/>
      <c r="Q2248" s="402"/>
      <c r="R2248" s="403"/>
      <c r="S2248" s="234" t="e">
        <f>IF(C2248="",NA(),MATCH($B2248&amp;$C2248,'Smelter Reference List'!$J:$J,0))</f>
        <v>#N/A</v>
      </c>
      <c r="T2248" s="235"/>
      <c r="U2248" s="235">
        <f t="shared" si="66"/>
        <v>0</v>
      </c>
      <c r="V2248" s="235"/>
      <c r="W2248" s="235"/>
      <c r="Y2248" s="228" t="str">
        <f t="shared" si="67"/>
        <v>CID001231Tin</v>
      </c>
    </row>
    <row r="2249" spans="1:25" s="228" customFormat="1">
      <c r="A2249" s="257"/>
      <c r="B2249" s="400" t="s">
        <v>6101</v>
      </c>
      <c r="C2249" s="396" t="s">
        <v>2324</v>
      </c>
      <c r="D2249" s="397" t="s">
        <v>2578</v>
      </c>
      <c r="E2249" s="396" t="s">
        <v>2578</v>
      </c>
      <c r="F2249" s="396" t="s">
        <v>2181</v>
      </c>
      <c r="G2249" s="396" t="s">
        <v>1377</v>
      </c>
      <c r="H2249" s="396" t="s">
        <v>3125</v>
      </c>
      <c r="I2249" s="398">
        <v>0</v>
      </c>
      <c r="J2249" s="399" t="s">
        <v>3476</v>
      </c>
      <c r="K2249" s="399" t="s">
        <v>3442</v>
      </c>
      <c r="L2249" s="402"/>
      <c r="M2249" s="402"/>
      <c r="N2249" s="402"/>
      <c r="O2249" s="402"/>
      <c r="P2249" s="402"/>
      <c r="Q2249" s="402"/>
      <c r="R2249" s="403"/>
      <c r="S2249" s="234" t="e">
        <f>IF(C2249="",NA(),MATCH($B2249&amp;$C2249,'Smelter Reference List'!$J:$J,0))</f>
        <v>#N/A</v>
      </c>
      <c r="T2249" s="235"/>
      <c r="U2249" s="235">
        <f t="shared" si="66"/>
        <v>0</v>
      </c>
      <c r="V2249" s="235"/>
      <c r="W2249" s="235"/>
      <c r="Y2249" s="228" t="str">
        <f t="shared" si="67"/>
        <v>CID001070Tin</v>
      </c>
    </row>
    <row r="2250" spans="1:25" s="228" customFormat="1" ht="25.5">
      <c r="A2250" s="257"/>
      <c r="B2250" s="400" t="s">
        <v>6102</v>
      </c>
      <c r="C2250" s="396" t="s">
        <v>2324</v>
      </c>
      <c r="D2250" s="397" t="s">
        <v>4149</v>
      </c>
      <c r="E2250" s="396" t="s">
        <v>4149</v>
      </c>
      <c r="F2250" s="396" t="s">
        <v>2181</v>
      </c>
      <c r="G2250" s="396" t="s">
        <v>1363</v>
      </c>
      <c r="H2250" s="396" t="s">
        <v>3125</v>
      </c>
      <c r="I2250" s="398">
        <v>0</v>
      </c>
      <c r="J2250" s="399" t="s">
        <v>3441</v>
      </c>
      <c r="K2250" s="399" t="s">
        <v>3442</v>
      </c>
      <c r="L2250" s="402"/>
      <c r="M2250" s="402"/>
      <c r="N2250" s="402"/>
      <c r="O2250" s="402"/>
      <c r="P2250" s="402"/>
      <c r="Q2250" s="402"/>
      <c r="R2250" s="403"/>
      <c r="S2250" s="234" t="e">
        <f>IF(C2250="",NA(),MATCH($B2250&amp;$C2250,'Smelter Reference List'!$J:$J,0))</f>
        <v>#N/A</v>
      </c>
      <c r="T2250" s="235"/>
      <c r="U2250" s="235">
        <f t="shared" si="66"/>
        <v>0</v>
      </c>
      <c r="V2250" s="235"/>
      <c r="W2250" s="235"/>
      <c r="Y2250" s="228" t="str">
        <f t="shared" si="67"/>
        <v>CID000278Tin</v>
      </c>
    </row>
    <row r="2251" spans="1:25" s="228" customFormat="1">
      <c r="A2251" s="257"/>
      <c r="B2251" s="400" t="s">
        <v>6103</v>
      </c>
      <c r="C2251" s="396" t="s">
        <v>2325</v>
      </c>
      <c r="D2251" s="397" t="s">
        <v>63</v>
      </c>
      <c r="E2251" s="396" t="s">
        <v>63</v>
      </c>
      <c r="F2251" s="396" t="s">
        <v>2181</v>
      </c>
      <c r="G2251" s="396" t="s">
        <v>1342</v>
      </c>
      <c r="H2251" s="396" t="s">
        <v>3125</v>
      </c>
      <c r="I2251" s="398">
        <v>0</v>
      </c>
      <c r="J2251" s="399" t="s">
        <v>3374</v>
      </c>
      <c r="K2251" s="399" t="s">
        <v>3335</v>
      </c>
      <c r="L2251" s="402"/>
      <c r="M2251" s="402"/>
      <c r="N2251" s="402"/>
      <c r="O2251" s="402"/>
      <c r="P2251" s="402"/>
      <c r="Q2251" s="402"/>
      <c r="R2251" s="403"/>
      <c r="S2251" s="234" t="e">
        <f>IF(C2251="",NA(),MATCH($B2251&amp;$C2251,'Smelter Reference List'!$J:$J,0))</f>
        <v>#N/A</v>
      </c>
      <c r="T2251" s="235"/>
      <c r="U2251" s="235">
        <f t="shared" si="66"/>
        <v>0</v>
      </c>
      <c r="V2251" s="235"/>
      <c r="W2251" s="235"/>
      <c r="Y2251" s="228" t="str">
        <f t="shared" si="67"/>
        <v>CID000460Tantalum</v>
      </c>
    </row>
    <row r="2252" spans="1:25" s="228" customFormat="1" ht="25.5">
      <c r="A2252" s="257"/>
      <c r="B2252" s="400" t="s">
        <v>6104</v>
      </c>
      <c r="C2252" s="396" t="s">
        <v>2325</v>
      </c>
      <c r="D2252" s="397" t="s">
        <v>1950</v>
      </c>
      <c r="E2252" s="396" t="s">
        <v>1950</v>
      </c>
      <c r="F2252" s="396" t="s">
        <v>2181</v>
      </c>
      <c r="G2252" s="396" t="s">
        <v>1354</v>
      </c>
      <c r="H2252" s="396" t="s">
        <v>3125</v>
      </c>
      <c r="I2252" s="398">
        <v>0</v>
      </c>
      <c r="J2252" s="399" t="s">
        <v>3391</v>
      </c>
      <c r="K2252" s="399" t="s">
        <v>3392</v>
      </c>
      <c r="L2252" s="402"/>
      <c r="M2252" s="402"/>
      <c r="N2252" s="402"/>
      <c r="O2252" s="402"/>
      <c r="P2252" s="402"/>
      <c r="Q2252" s="402"/>
      <c r="R2252" s="403"/>
      <c r="S2252" s="234" t="e">
        <f>IF(C2252="",NA(),MATCH($B2252&amp;$C2252,'Smelter Reference List'!$J:$J,0))</f>
        <v>#N/A</v>
      </c>
      <c r="T2252" s="235"/>
      <c r="U2252" s="235">
        <f t="shared" si="66"/>
        <v>0</v>
      </c>
      <c r="V2252" s="235"/>
      <c r="W2252" s="235"/>
      <c r="Y2252" s="228" t="str">
        <f t="shared" si="67"/>
        <v>CID001277Tantalum</v>
      </c>
    </row>
    <row r="2253" spans="1:25" s="228" customFormat="1" ht="25.5">
      <c r="A2253" s="257"/>
      <c r="B2253" s="400" t="s">
        <v>6105</v>
      </c>
      <c r="C2253" s="396" t="s">
        <v>2325</v>
      </c>
      <c r="D2253" s="397" t="s">
        <v>5020</v>
      </c>
      <c r="E2253" s="396" t="s">
        <v>5020</v>
      </c>
      <c r="F2253" s="396" t="s">
        <v>2181</v>
      </c>
      <c r="G2253" s="396" t="s">
        <v>1361</v>
      </c>
      <c r="H2253" s="396" t="s">
        <v>3125</v>
      </c>
      <c r="I2253" s="398">
        <v>0</v>
      </c>
      <c r="J2253" s="399" t="s">
        <v>3395</v>
      </c>
      <c r="K2253" s="399" t="s">
        <v>3186</v>
      </c>
      <c r="L2253" s="402"/>
      <c r="M2253" s="402"/>
      <c r="N2253" s="402"/>
      <c r="O2253" s="402"/>
      <c r="P2253" s="402"/>
      <c r="Q2253" s="402"/>
      <c r="R2253" s="403"/>
      <c r="S2253" s="234" t="e">
        <f>IF(C2253="",NA(),MATCH($B2253&amp;$C2253,'Smelter Reference List'!$J:$J,0))</f>
        <v>#N/A</v>
      </c>
      <c r="T2253" s="235"/>
      <c r="U2253" s="235">
        <f t="shared" si="66"/>
        <v>0</v>
      </c>
      <c r="V2253" s="235"/>
      <c r="W2253" s="235"/>
      <c r="Y2253" s="228" t="str">
        <f t="shared" si="67"/>
        <v>CID002232Tantalum</v>
      </c>
    </row>
    <row r="2254" spans="1:25" s="228" customFormat="1" ht="25.5">
      <c r="A2254" s="257"/>
      <c r="B2254" s="400" t="s">
        <v>6106</v>
      </c>
      <c r="C2254" s="396" t="s">
        <v>2325</v>
      </c>
      <c r="D2254" s="397" t="s">
        <v>4172</v>
      </c>
      <c r="E2254" s="396" t="s">
        <v>4172</v>
      </c>
      <c r="F2254" s="396" t="s">
        <v>2181</v>
      </c>
      <c r="G2254" s="396" t="s">
        <v>1356</v>
      </c>
      <c r="H2254" s="396" t="s">
        <v>3125</v>
      </c>
      <c r="I2254" s="398">
        <v>0</v>
      </c>
      <c r="J2254" s="399" t="s">
        <v>3395</v>
      </c>
      <c r="K2254" s="399" t="s">
        <v>3186</v>
      </c>
      <c r="L2254" s="402"/>
      <c r="M2254" s="402"/>
      <c r="N2254" s="402"/>
      <c r="O2254" s="402"/>
      <c r="P2254" s="402"/>
      <c r="Q2254" s="402"/>
      <c r="R2254" s="403"/>
      <c r="S2254" s="234" t="e">
        <f>IF(C2254="",NA(),MATCH($B2254&amp;$C2254,'Smelter Reference List'!$J:$J,0))</f>
        <v>#N/A</v>
      </c>
      <c r="T2254" s="235"/>
      <c r="U2254" s="235">
        <f t="shared" si="66"/>
        <v>0</v>
      </c>
      <c r="V2254" s="235"/>
      <c r="W2254" s="235"/>
      <c r="Y2254" s="228" t="str">
        <f t="shared" si="67"/>
        <v>CID001522Tantalum</v>
      </c>
    </row>
    <row r="2255" spans="1:25" s="228" customFormat="1" ht="25.5">
      <c r="A2255" s="257"/>
      <c r="B2255" s="400" t="s">
        <v>6107</v>
      </c>
      <c r="C2255" s="396" t="s">
        <v>2325</v>
      </c>
      <c r="D2255" s="397" t="s">
        <v>5</v>
      </c>
      <c r="E2255" s="396" t="s">
        <v>5</v>
      </c>
      <c r="F2255" s="396" t="s">
        <v>2181</v>
      </c>
      <c r="G2255" s="396" t="s">
        <v>1346</v>
      </c>
      <c r="H2255" s="396" t="s">
        <v>3125</v>
      </c>
      <c r="I2255" s="398">
        <v>0</v>
      </c>
      <c r="J2255" s="399" t="s">
        <v>3379</v>
      </c>
      <c r="K2255" s="399" t="s">
        <v>3204</v>
      </c>
      <c r="L2255" s="402"/>
      <c r="M2255" s="402"/>
      <c r="N2255" s="402"/>
      <c r="O2255" s="402"/>
      <c r="P2255" s="402"/>
      <c r="Q2255" s="402"/>
      <c r="R2255" s="403"/>
      <c r="S2255" s="234" t="e">
        <f>IF(C2255="",NA(),MATCH($B2255&amp;$C2255,'Smelter Reference List'!$J:$J,0))</f>
        <v>#N/A</v>
      </c>
      <c r="T2255" s="235"/>
      <c r="U2255" s="235">
        <f t="shared" si="66"/>
        <v>0</v>
      </c>
      <c r="V2255" s="235"/>
      <c r="W2255" s="235"/>
      <c r="Y2255" s="228" t="str">
        <f t="shared" si="67"/>
        <v>CID000914Tantalum</v>
      </c>
    </row>
    <row r="2256" spans="1:25" s="228" customFormat="1" ht="25.5">
      <c r="A2256" s="257"/>
      <c r="B2256" s="400" t="s">
        <v>6108</v>
      </c>
      <c r="C2256" s="396" t="s">
        <v>2325</v>
      </c>
      <c r="D2256" s="397" t="s">
        <v>2374</v>
      </c>
      <c r="E2256" s="396" t="s">
        <v>2374</v>
      </c>
      <c r="F2256" s="396" t="s">
        <v>2181</v>
      </c>
      <c r="G2256" s="396" t="s">
        <v>1339</v>
      </c>
      <c r="H2256" s="396" t="s">
        <v>3125</v>
      </c>
      <c r="I2256" s="398">
        <v>0</v>
      </c>
      <c r="J2256" s="399" t="s">
        <v>3371</v>
      </c>
      <c r="K2256" s="399" t="s">
        <v>3335</v>
      </c>
      <c r="L2256" s="402"/>
      <c r="M2256" s="402"/>
      <c r="N2256" s="402"/>
      <c r="O2256" s="402"/>
      <c r="P2256" s="402"/>
      <c r="Q2256" s="402"/>
      <c r="R2256" s="403"/>
      <c r="S2256" s="234" t="e">
        <f>IF(C2256="",NA(),MATCH($B2256&amp;$C2256,'Smelter Reference List'!$J:$J,0))</f>
        <v>#N/A</v>
      </c>
      <c r="T2256" s="235"/>
      <c r="U2256" s="235">
        <f t="shared" si="66"/>
        <v>0</v>
      </c>
      <c r="V2256" s="235"/>
      <c r="W2256" s="235"/>
      <c r="Y2256" s="228" t="str">
        <f t="shared" si="67"/>
        <v>CID000291Tantalum</v>
      </c>
    </row>
    <row r="2257" spans="1:25" s="228" customFormat="1" ht="25.5">
      <c r="A2257" s="257"/>
      <c r="B2257" s="400" t="s">
        <v>6109</v>
      </c>
      <c r="C2257" s="396" t="s">
        <v>2325</v>
      </c>
      <c r="D2257" s="397" t="s">
        <v>2454</v>
      </c>
      <c r="E2257" s="396" t="s">
        <v>2454</v>
      </c>
      <c r="F2257" s="396" t="s">
        <v>2249</v>
      </c>
      <c r="G2257" s="396" t="s">
        <v>1352</v>
      </c>
      <c r="H2257" s="396" t="s">
        <v>3125</v>
      </c>
      <c r="I2257" s="398">
        <v>0</v>
      </c>
      <c r="J2257" s="399" t="s">
        <v>3387</v>
      </c>
      <c r="K2257" s="399" t="s">
        <v>3388</v>
      </c>
      <c r="L2257" s="402"/>
      <c r="M2257" s="402"/>
      <c r="N2257" s="402"/>
      <c r="O2257" s="402"/>
      <c r="P2257" s="402"/>
      <c r="Q2257" s="402"/>
      <c r="R2257" s="403"/>
      <c r="S2257" s="234" t="e">
        <f>IF(C2257="",NA(),MATCH($B2257&amp;$C2257,'Smelter Reference List'!$J:$J,0))</f>
        <v>#N/A</v>
      </c>
      <c r="T2257" s="235"/>
      <c r="U2257" s="235">
        <f t="shared" si="66"/>
        <v>0</v>
      </c>
      <c r="V2257" s="235"/>
      <c r="W2257" s="235"/>
      <c r="Y2257" s="228" t="str">
        <f t="shared" si="67"/>
        <v>CID001192Tantalum</v>
      </c>
    </row>
    <row r="2258" spans="1:25" s="228" customFormat="1">
      <c r="A2258" s="257"/>
      <c r="B2258" s="400" t="s">
        <v>6110</v>
      </c>
      <c r="C2258" s="396" t="s">
        <v>2325</v>
      </c>
      <c r="D2258" s="397" t="s">
        <v>3402</v>
      </c>
      <c r="E2258" s="396" t="s">
        <v>3402</v>
      </c>
      <c r="F2258" s="396" t="s">
        <v>2250</v>
      </c>
      <c r="G2258" s="396" t="s">
        <v>1360</v>
      </c>
      <c r="H2258" s="396" t="s">
        <v>3125</v>
      </c>
      <c r="I2258" s="398">
        <v>0</v>
      </c>
      <c r="J2258" s="399" t="s">
        <v>3214</v>
      </c>
      <c r="K2258" s="399" t="s">
        <v>3403</v>
      </c>
      <c r="L2258" s="402"/>
      <c r="M2258" s="402"/>
      <c r="N2258" s="402"/>
      <c r="O2258" s="402"/>
      <c r="P2258" s="402"/>
      <c r="Q2258" s="402"/>
      <c r="R2258" s="403"/>
      <c r="S2258" s="234" t="e">
        <f>IF(C2258="",NA(),MATCH($B2258&amp;$C2258,'Smelter Reference List'!$J:$J,0))</f>
        <v>#N/A</v>
      </c>
      <c r="T2258" s="235"/>
      <c r="U2258" s="235">
        <f t="shared" si="66"/>
        <v>0</v>
      </c>
      <c r="V2258" s="235"/>
      <c r="W2258" s="235"/>
      <c r="Y2258" s="228" t="str">
        <f t="shared" si="67"/>
        <v>CID001969Tantalum</v>
      </c>
    </row>
    <row r="2259" spans="1:25" s="228" customFormat="1" ht="25.5">
      <c r="A2259" s="257"/>
      <c r="B2259" s="400" t="s">
        <v>6111</v>
      </c>
      <c r="C2259" s="396" t="s">
        <v>2325</v>
      </c>
      <c r="D2259" s="397" t="s">
        <v>2658</v>
      </c>
      <c r="E2259" s="396" t="s">
        <v>2658</v>
      </c>
      <c r="F2259" s="396" t="s">
        <v>1717</v>
      </c>
      <c r="G2259" s="396" t="s">
        <v>1357</v>
      </c>
      <c r="H2259" s="396" t="s">
        <v>3125</v>
      </c>
      <c r="I2259" s="398">
        <v>0</v>
      </c>
      <c r="J2259" s="399" t="s">
        <v>3396</v>
      </c>
      <c r="K2259" s="399" t="s">
        <v>3397</v>
      </c>
      <c r="L2259" s="402"/>
      <c r="M2259" s="402"/>
      <c r="N2259" s="402"/>
      <c r="O2259" s="402"/>
      <c r="P2259" s="402"/>
      <c r="Q2259" s="402"/>
      <c r="R2259" s="403"/>
      <c r="S2259" s="234" t="e">
        <f>IF(C2259="",NA(),MATCH($B2259&amp;$C2259,'Smelter Reference List'!$J:$J,0))</f>
        <v>#N/A</v>
      </c>
      <c r="T2259" s="235"/>
      <c r="U2259" s="235">
        <f t="shared" si="66"/>
        <v>0</v>
      </c>
      <c r="V2259" s="235"/>
      <c r="W2259" s="235"/>
      <c r="Y2259" s="228" t="str">
        <f t="shared" si="67"/>
        <v>CID001769Tantalum</v>
      </c>
    </row>
    <row r="2260" spans="1:25" s="228" customFormat="1" ht="25.5">
      <c r="A2260" s="257"/>
      <c r="B2260" s="400" t="s">
        <v>6112</v>
      </c>
      <c r="C2260" s="396" t="s">
        <v>2325</v>
      </c>
      <c r="D2260" s="397" t="s">
        <v>2307</v>
      </c>
      <c r="E2260" s="396" t="s">
        <v>2307</v>
      </c>
      <c r="F2260" s="396" t="s">
        <v>5016</v>
      </c>
      <c r="G2260" s="396" t="s">
        <v>1341</v>
      </c>
      <c r="H2260" s="396" t="s">
        <v>3125</v>
      </c>
      <c r="I2260" s="398">
        <v>0</v>
      </c>
      <c r="J2260" s="399" t="s">
        <v>3373</v>
      </c>
      <c r="K2260" s="399" t="s">
        <v>3348</v>
      </c>
      <c r="L2260" s="402"/>
      <c r="M2260" s="402"/>
      <c r="N2260" s="402"/>
      <c r="O2260" s="402"/>
      <c r="P2260" s="402"/>
      <c r="Q2260" s="402"/>
      <c r="R2260" s="403"/>
      <c r="S2260" s="234" t="e">
        <f>IF(C2260="",NA(),MATCH($B2260&amp;$C2260,'Smelter Reference List'!$J:$J,0))</f>
        <v>#N/A</v>
      </c>
      <c r="T2260" s="235"/>
      <c r="U2260" s="235">
        <f t="shared" si="66"/>
        <v>0</v>
      </c>
      <c r="V2260" s="235"/>
      <c r="W2260" s="235"/>
      <c r="Y2260" s="228" t="str">
        <f t="shared" si="67"/>
        <v>CID000456Tantalum</v>
      </c>
    </row>
    <row r="2261" spans="1:25" s="228" customFormat="1" ht="25.5">
      <c r="A2261" s="257"/>
      <c r="B2261" s="400" t="s">
        <v>6113</v>
      </c>
      <c r="C2261" s="396" t="s">
        <v>2325</v>
      </c>
      <c r="D2261" s="397" t="s">
        <v>2735</v>
      </c>
      <c r="E2261" s="396" t="s">
        <v>2735</v>
      </c>
      <c r="F2261" s="396" t="s">
        <v>5016</v>
      </c>
      <c r="G2261" s="396" t="s">
        <v>2736</v>
      </c>
      <c r="H2261" s="396" t="s">
        <v>3125</v>
      </c>
      <c r="I2261" s="398">
        <v>0</v>
      </c>
      <c r="J2261" s="399" t="s">
        <v>3428</v>
      </c>
      <c r="K2261" s="399" t="s">
        <v>3401</v>
      </c>
      <c r="L2261" s="402"/>
      <c r="M2261" s="402"/>
      <c r="N2261" s="402"/>
      <c r="O2261" s="402"/>
      <c r="P2261" s="402"/>
      <c r="Q2261" s="402"/>
      <c r="R2261" s="403"/>
      <c r="S2261" s="234" t="e">
        <f>IF(C2261="",NA(),MATCH($B2261&amp;$C2261,'Smelter Reference List'!$J:$J,0))</f>
        <v>#N/A</v>
      </c>
      <c r="T2261" s="235"/>
      <c r="U2261" s="235">
        <f t="shared" si="66"/>
        <v>0</v>
      </c>
      <c r="V2261" s="235"/>
      <c r="W2261" s="235"/>
      <c r="Y2261" s="228" t="str">
        <f t="shared" si="67"/>
        <v>CID002557Tantalum</v>
      </c>
    </row>
    <row r="2262" spans="1:25" s="228" customFormat="1" ht="25.5">
      <c r="A2262" s="257"/>
      <c r="B2262" s="400" t="s">
        <v>6114</v>
      </c>
      <c r="C2262" s="396" t="s">
        <v>2325</v>
      </c>
      <c r="D2262" s="397" t="s">
        <v>2768</v>
      </c>
      <c r="E2262" s="396" t="s">
        <v>2768</v>
      </c>
      <c r="F2262" s="396" t="s">
        <v>5016</v>
      </c>
      <c r="G2262" s="396" t="s">
        <v>2769</v>
      </c>
      <c r="H2262" s="396" t="s">
        <v>3125</v>
      </c>
      <c r="I2262" s="398">
        <v>0</v>
      </c>
      <c r="J2262" s="399" t="s">
        <v>3430</v>
      </c>
      <c r="K2262" s="399" t="s">
        <v>3431</v>
      </c>
      <c r="L2262" s="402"/>
      <c r="M2262" s="402"/>
      <c r="N2262" s="402"/>
      <c r="O2262" s="402"/>
      <c r="P2262" s="402"/>
      <c r="Q2262" s="402"/>
      <c r="R2262" s="403"/>
      <c r="S2262" s="234" t="e">
        <f>IF(C2262="",NA(),MATCH($B2262&amp;$C2262,'Smelter Reference List'!$J:$J,0))</f>
        <v>#N/A</v>
      </c>
      <c r="T2262" s="235"/>
      <c r="U2262" s="235">
        <f t="shared" si="66"/>
        <v>0</v>
      </c>
      <c r="V2262" s="235"/>
      <c r="W2262" s="235"/>
      <c r="Y2262" s="228" t="str">
        <f t="shared" si="67"/>
        <v>CID002568Tantalum</v>
      </c>
    </row>
    <row r="2263" spans="1:25" s="228" customFormat="1" ht="25.5">
      <c r="A2263" s="257"/>
      <c r="B2263" s="400" t="s">
        <v>6115</v>
      </c>
      <c r="C2263" s="396" t="s">
        <v>2325</v>
      </c>
      <c r="D2263" s="397" t="s">
        <v>3399</v>
      </c>
      <c r="E2263" s="396" t="s">
        <v>3399</v>
      </c>
      <c r="F2263" s="396" t="s">
        <v>5016</v>
      </c>
      <c r="G2263" s="396" t="s">
        <v>1359</v>
      </c>
      <c r="H2263" s="396" t="s">
        <v>3125</v>
      </c>
      <c r="I2263" s="398">
        <v>0</v>
      </c>
      <c r="J2263" s="399" t="s">
        <v>3400</v>
      </c>
      <c r="K2263" s="399" t="s">
        <v>3401</v>
      </c>
      <c r="L2263" s="402"/>
      <c r="M2263" s="402"/>
      <c r="N2263" s="402"/>
      <c r="O2263" s="402"/>
      <c r="P2263" s="402"/>
      <c r="Q2263" s="402"/>
      <c r="R2263" s="403"/>
      <c r="S2263" s="234" t="e">
        <f>IF(C2263="",NA(),MATCH($B2263&amp;$C2263,'Smelter Reference List'!$J:$J,0))</f>
        <v>#N/A</v>
      </c>
      <c r="T2263" s="235"/>
      <c r="U2263" s="235">
        <f t="shared" si="66"/>
        <v>0</v>
      </c>
      <c r="V2263" s="235"/>
      <c r="W2263" s="235"/>
      <c r="Y2263" s="228" t="str">
        <f t="shared" si="67"/>
        <v>CID001891Tantalum</v>
      </c>
    </row>
    <row r="2264" spans="1:25" s="228" customFormat="1" ht="20.25">
      <c r="A2264" s="257"/>
      <c r="B2264" s="232" t="str">
        <f>IF(LEN(A2264)=0,"",INDEX('Smelter Reference List'!$A:$A,MATCH($A2264,'Smelter Reference List'!$E:$E,0)))</f>
        <v/>
      </c>
      <c r="C2264" s="297" t="str">
        <f>IF(LEN(A2264)=0,"",INDEX('Smelter Reference List'!$C:$C,MATCH($A2264,'Smelter Reference List'!$E:$E,0)))</f>
        <v/>
      </c>
      <c r="D2264" s="161" t="str">
        <f ca="1">IF(ISERROR($S2264),"",OFFSET('Smelter Reference List'!$C$4,$S2264-4,0)&amp;"")</f>
        <v/>
      </c>
      <c r="E2264" s="161" t="str">
        <f ca="1">IF(ISERROR($S2264),"",OFFSET('Smelter Reference List'!$D$4,$S2264-4,0)&amp;"")</f>
        <v/>
      </c>
      <c r="F2264" s="161" t="str">
        <f ca="1">IF(ISERROR($S2264),"",OFFSET('Smelter Reference List'!$E$4,$S2264-4,0))</f>
        <v/>
      </c>
      <c r="G2264" s="161" t="str">
        <f ca="1">IF(C2264=$U$4,"Enter smelter details", IF(ISERROR($S2264),"",OFFSET('Smelter Reference List'!$F$4,$S2264-4,0)))</f>
        <v/>
      </c>
      <c r="H2264" s="247" t="str">
        <f ca="1">IF(ISERROR($S2264),"",OFFSET('Smelter Reference List'!$G$4,$S2264-4,0))</f>
        <v/>
      </c>
      <c r="I2264" s="248" t="str">
        <f ca="1">IF(ISERROR($S2264),"",OFFSET('Smelter Reference List'!$H$4,$S2264-4,0))</f>
        <v/>
      </c>
      <c r="J2264" s="248" t="str">
        <f ca="1">IF(ISERROR($S2264),"",OFFSET('Smelter Reference List'!$I$4,$S2264-4,0))</f>
        <v/>
      </c>
      <c r="K2264" s="245"/>
      <c r="L2264" s="245"/>
      <c r="M2264" s="245"/>
      <c r="N2264" s="245"/>
      <c r="O2264" s="245"/>
      <c r="P2264" s="245"/>
      <c r="Q2264" s="246"/>
      <c r="R2264" s="233"/>
      <c r="S2264" s="234" t="e">
        <f>IF(C2264="",NA(),MATCH($B2264&amp;$C2264,'Smelter Reference List'!$J:$J,0))</f>
        <v>#N/A</v>
      </c>
      <c r="T2264" s="235"/>
      <c r="U2264" s="235">
        <f t="shared" ca="1" si="66"/>
        <v>0</v>
      </c>
      <c r="V2264" s="235"/>
      <c r="W2264" s="235"/>
      <c r="Y2264" s="228" t="str">
        <f t="shared" si="67"/>
        <v/>
      </c>
    </row>
    <row r="2265" spans="1:25" s="228" customFormat="1" ht="20.25">
      <c r="A2265" s="257"/>
      <c r="B2265" s="232" t="str">
        <f>IF(LEN(A2265)=0,"",INDEX('Smelter Reference List'!$A:$A,MATCH($A2265,'Smelter Reference List'!$E:$E,0)))</f>
        <v/>
      </c>
      <c r="C2265" s="297" t="str">
        <f>IF(LEN(A2265)=0,"",INDEX('Smelter Reference List'!$C:$C,MATCH($A2265,'Smelter Reference List'!$E:$E,0)))</f>
        <v/>
      </c>
      <c r="D2265" s="161" t="str">
        <f ca="1">IF(ISERROR($S2265),"",OFFSET('Smelter Reference List'!$C$4,$S2265-4,0)&amp;"")</f>
        <v/>
      </c>
      <c r="E2265" s="161" t="str">
        <f ca="1">IF(ISERROR($S2265),"",OFFSET('Smelter Reference List'!$D$4,$S2265-4,0)&amp;"")</f>
        <v/>
      </c>
      <c r="F2265" s="161" t="str">
        <f ca="1">IF(ISERROR($S2265),"",OFFSET('Smelter Reference List'!$E$4,$S2265-4,0))</f>
        <v/>
      </c>
      <c r="G2265" s="161" t="str">
        <f ca="1">IF(C2265=$U$4,"Enter smelter details", IF(ISERROR($S2265),"",OFFSET('Smelter Reference List'!$F$4,$S2265-4,0)))</f>
        <v/>
      </c>
      <c r="H2265" s="247" t="str">
        <f ca="1">IF(ISERROR($S2265),"",OFFSET('Smelter Reference List'!$G$4,$S2265-4,0))</f>
        <v/>
      </c>
      <c r="I2265" s="248" t="str">
        <f ca="1">IF(ISERROR($S2265),"",OFFSET('Smelter Reference List'!$H$4,$S2265-4,0))</f>
        <v/>
      </c>
      <c r="J2265" s="248" t="str">
        <f ca="1">IF(ISERROR($S2265),"",OFFSET('Smelter Reference List'!$I$4,$S2265-4,0))</f>
        <v/>
      </c>
      <c r="K2265" s="245"/>
      <c r="L2265" s="245"/>
      <c r="M2265" s="245"/>
      <c r="N2265" s="245"/>
      <c r="O2265" s="245"/>
      <c r="P2265" s="245"/>
      <c r="Q2265" s="246"/>
      <c r="R2265" s="233"/>
      <c r="S2265" s="234" t="e">
        <f>IF(C2265="",NA(),MATCH($B2265&amp;$C2265,'Smelter Reference List'!$J:$J,0))</f>
        <v>#N/A</v>
      </c>
      <c r="T2265" s="235"/>
      <c r="U2265" s="235">
        <f t="shared" ca="1" si="66"/>
        <v>0</v>
      </c>
      <c r="V2265" s="235"/>
      <c r="W2265" s="235"/>
      <c r="Y2265" s="228" t="str">
        <f t="shared" si="67"/>
        <v/>
      </c>
    </row>
    <row r="2266" spans="1:25" s="228" customFormat="1" ht="20.25">
      <c r="A2266" s="257"/>
      <c r="B2266" s="232" t="str">
        <f>IF(LEN(A2266)=0,"",INDEX('Smelter Reference List'!$A:$A,MATCH($A2266,'Smelter Reference List'!$E:$E,0)))</f>
        <v/>
      </c>
      <c r="C2266" s="297" t="str">
        <f>IF(LEN(A2266)=0,"",INDEX('Smelter Reference List'!$C:$C,MATCH($A2266,'Smelter Reference List'!$E:$E,0)))</f>
        <v/>
      </c>
      <c r="D2266" s="161" t="str">
        <f ca="1">IF(ISERROR($S2266),"",OFFSET('Smelter Reference List'!$C$4,$S2266-4,0)&amp;"")</f>
        <v/>
      </c>
      <c r="E2266" s="161" t="str">
        <f ca="1">IF(ISERROR($S2266),"",OFFSET('Smelter Reference List'!$D$4,$S2266-4,0)&amp;"")</f>
        <v/>
      </c>
      <c r="F2266" s="161" t="str">
        <f ca="1">IF(ISERROR($S2266),"",OFFSET('Smelter Reference List'!$E$4,$S2266-4,0))</f>
        <v/>
      </c>
      <c r="G2266" s="161" t="str">
        <f ca="1">IF(C2266=$U$4,"Enter smelter details", IF(ISERROR($S2266),"",OFFSET('Smelter Reference List'!$F$4,$S2266-4,0)))</f>
        <v/>
      </c>
      <c r="H2266" s="247" t="str">
        <f ca="1">IF(ISERROR($S2266),"",OFFSET('Smelter Reference List'!$G$4,$S2266-4,0))</f>
        <v/>
      </c>
      <c r="I2266" s="248" t="str">
        <f ca="1">IF(ISERROR($S2266),"",OFFSET('Smelter Reference List'!$H$4,$S2266-4,0))</f>
        <v/>
      </c>
      <c r="J2266" s="248" t="str">
        <f ca="1">IF(ISERROR($S2266),"",OFFSET('Smelter Reference List'!$I$4,$S2266-4,0))</f>
        <v/>
      </c>
      <c r="K2266" s="245"/>
      <c r="L2266" s="245"/>
      <c r="M2266" s="245"/>
      <c r="N2266" s="245"/>
      <c r="O2266" s="245"/>
      <c r="P2266" s="245"/>
      <c r="Q2266" s="246"/>
      <c r="R2266" s="233"/>
      <c r="S2266" s="234" t="e">
        <f>IF(C2266="",NA(),MATCH($B2266&amp;$C2266,'Smelter Reference List'!$J:$J,0))</f>
        <v>#N/A</v>
      </c>
      <c r="T2266" s="235"/>
      <c r="U2266" s="235">
        <f t="shared" ca="1" si="66"/>
        <v>0</v>
      </c>
      <c r="V2266" s="235"/>
      <c r="W2266" s="235"/>
      <c r="Y2266" s="228" t="str">
        <f t="shared" si="67"/>
        <v/>
      </c>
    </row>
    <row r="2267" spans="1:25" s="228" customFormat="1" ht="20.25">
      <c r="A2267" s="257"/>
      <c r="B2267" s="232" t="str">
        <f>IF(LEN(A2267)=0,"",INDEX('Smelter Reference List'!$A:$A,MATCH($A2267,'Smelter Reference List'!$E:$E,0)))</f>
        <v/>
      </c>
      <c r="C2267" s="297" t="str">
        <f>IF(LEN(A2267)=0,"",INDEX('Smelter Reference List'!$C:$C,MATCH($A2267,'Smelter Reference List'!$E:$E,0)))</f>
        <v/>
      </c>
      <c r="D2267" s="161" t="str">
        <f ca="1">IF(ISERROR($S2267),"",OFFSET('Smelter Reference List'!$C$4,$S2267-4,0)&amp;"")</f>
        <v/>
      </c>
      <c r="E2267" s="161" t="str">
        <f ca="1">IF(ISERROR($S2267),"",OFFSET('Smelter Reference List'!$D$4,$S2267-4,0)&amp;"")</f>
        <v/>
      </c>
      <c r="F2267" s="161" t="str">
        <f ca="1">IF(ISERROR($S2267),"",OFFSET('Smelter Reference List'!$E$4,$S2267-4,0))</f>
        <v/>
      </c>
      <c r="G2267" s="161" t="str">
        <f ca="1">IF(C2267=$U$4,"Enter smelter details", IF(ISERROR($S2267),"",OFFSET('Smelter Reference List'!$F$4,$S2267-4,0)))</f>
        <v/>
      </c>
      <c r="H2267" s="247" t="str">
        <f ca="1">IF(ISERROR($S2267),"",OFFSET('Smelter Reference List'!$G$4,$S2267-4,0))</f>
        <v/>
      </c>
      <c r="I2267" s="248" t="str">
        <f ca="1">IF(ISERROR($S2267),"",OFFSET('Smelter Reference List'!$H$4,$S2267-4,0))</f>
        <v/>
      </c>
      <c r="J2267" s="248" t="str">
        <f ca="1">IF(ISERROR($S2267),"",OFFSET('Smelter Reference List'!$I$4,$S2267-4,0))</f>
        <v/>
      </c>
      <c r="K2267" s="245"/>
      <c r="L2267" s="245"/>
      <c r="M2267" s="245"/>
      <c r="N2267" s="245"/>
      <c r="O2267" s="245"/>
      <c r="P2267" s="245"/>
      <c r="Q2267" s="246"/>
      <c r="R2267" s="233"/>
      <c r="S2267" s="234" t="e">
        <f>IF(C2267="",NA(),MATCH($B2267&amp;$C2267,'Smelter Reference List'!$J:$J,0))</f>
        <v>#N/A</v>
      </c>
      <c r="T2267" s="235"/>
      <c r="U2267" s="235">
        <f t="shared" ca="1" si="66"/>
        <v>0</v>
      </c>
      <c r="V2267" s="235"/>
      <c r="W2267" s="235"/>
      <c r="Y2267" s="228" t="str">
        <f t="shared" si="67"/>
        <v/>
      </c>
    </row>
    <row r="2268" spans="1:25" s="228" customFormat="1" ht="20.25">
      <c r="A2268" s="257"/>
      <c r="B2268" s="232" t="str">
        <f>IF(LEN(A2268)=0,"",INDEX('Smelter Reference List'!$A:$A,MATCH($A2268,'Smelter Reference List'!$E:$E,0)))</f>
        <v/>
      </c>
      <c r="C2268" s="297" t="str">
        <f>IF(LEN(A2268)=0,"",INDEX('Smelter Reference List'!$C:$C,MATCH($A2268,'Smelter Reference List'!$E:$E,0)))</f>
        <v/>
      </c>
      <c r="D2268" s="161" t="str">
        <f ca="1">IF(ISERROR($S2268),"",OFFSET('Smelter Reference List'!$C$4,$S2268-4,0)&amp;"")</f>
        <v/>
      </c>
      <c r="E2268" s="161" t="str">
        <f ca="1">IF(ISERROR($S2268),"",OFFSET('Smelter Reference List'!$D$4,$S2268-4,0)&amp;"")</f>
        <v/>
      </c>
      <c r="F2268" s="161" t="str">
        <f ca="1">IF(ISERROR($S2268),"",OFFSET('Smelter Reference List'!$E$4,$S2268-4,0))</f>
        <v/>
      </c>
      <c r="G2268" s="161" t="str">
        <f ca="1">IF(C2268=$U$4,"Enter smelter details", IF(ISERROR($S2268),"",OFFSET('Smelter Reference List'!$F$4,$S2268-4,0)))</f>
        <v/>
      </c>
      <c r="H2268" s="247" t="str">
        <f ca="1">IF(ISERROR($S2268),"",OFFSET('Smelter Reference List'!$G$4,$S2268-4,0))</f>
        <v/>
      </c>
      <c r="I2268" s="248" t="str">
        <f ca="1">IF(ISERROR($S2268),"",OFFSET('Smelter Reference List'!$H$4,$S2268-4,0))</f>
        <v/>
      </c>
      <c r="J2268" s="248" t="str">
        <f ca="1">IF(ISERROR($S2268),"",OFFSET('Smelter Reference List'!$I$4,$S2268-4,0))</f>
        <v/>
      </c>
      <c r="K2268" s="245"/>
      <c r="L2268" s="245"/>
      <c r="M2268" s="245"/>
      <c r="N2268" s="245"/>
      <c r="O2268" s="245"/>
      <c r="P2268" s="245"/>
      <c r="Q2268" s="246"/>
      <c r="R2268" s="233"/>
      <c r="S2268" s="234" t="e">
        <f>IF(C2268="",NA(),MATCH($B2268&amp;$C2268,'Smelter Reference List'!$J:$J,0))</f>
        <v>#N/A</v>
      </c>
      <c r="T2268" s="235"/>
      <c r="U2268" s="235">
        <f t="shared" ca="1" si="66"/>
        <v>0</v>
      </c>
      <c r="V2268" s="235"/>
      <c r="W2268" s="235"/>
      <c r="Y2268" s="228" t="str">
        <f t="shared" si="67"/>
        <v/>
      </c>
    </row>
    <row r="2269" spans="1:25" s="228" customFormat="1" ht="20.25">
      <c r="A2269" s="257"/>
      <c r="B2269" s="232" t="str">
        <f>IF(LEN(A2269)=0,"",INDEX('Smelter Reference List'!$A:$A,MATCH($A2269,'Smelter Reference List'!$E:$E,0)))</f>
        <v/>
      </c>
      <c r="C2269" s="297" t="str">
        <f>IF(LEN(A2269)=0,"",INDEX('Smelter Reference List'!$C:$C,MATCH($A2269,'Smelter Reference List'!$E:$E,0)))</f>
        <v/>
      </c>
      <c r="D2269" s="161" t="str">
        <f ca="1">IF(ISERROR($S2269),"",OFFSET('Smelter Reference List'!$C$4,$S2269-4,0)&amp;"")</f>
        <v/>
      </c>
      <c r="E2269" s="161" t="str">
        <f ca="1">IF(ISERROR($S2269),"",OFFSET('Smelter Reference List'!$D$4,$S2269-4,0)&amp;"")</f>
        <v/>
      </c>
      <c r="F2269" s="161" t="str">
        <f ca="1">IF(ISERROR($S2269),"",OFFSET('Smelter Reference List'!$E$4,$S2269-4,0))</f>
        <v/>
      </c>
      <c r="G2269" s="161" t="str">
        <f ca="1">IF(C2269=$U$4,"Enter smelter details", IF(ISERROR($S2269),"",OFFSET('Smelter Reference List'!$F$4,$S2269-4,0)))</f>
        <v/>
      </c>
      <c r="H2269" s="247" t="str">
        <f ca="1">IF(ISERROR($S2269),"",OFFSET('Smelter Reference List'!$G$4,$S2269-4,0))</f>
        <v/>
      </c>
      <c r="I2269" s="248" t="str">
        <f ca="1">IF(ISERROR($S2269),"",OFFSET('Smelter Reference List'!$H$4,$S2269-4,0))</f>
        <v/>
      </c>
      <c r="J2269" s="248" t="str">
        <f ca="1">IF(ISERROR($S2269),"",OFFSET('Smelter Reference List'!$I$4,$S2269-4,0))</f>
        <v/>
      </c>
      <c r="K2269" s="245"/>
      <c r="L2269" s="245"/>
      <c r="M2269" s="245"/>
      <c r="N2269" s="245"/>
      <c r="O2269" s="245"/>
      <c r="P2269" s="245"/>
      <c r="Q2269" s="246"/>
      <c r="R2269" s="233"/>
      <c r="S2269" s="234" t="e">
        <f>IF(C2269="",NA(),MATCH($B2269&amp;$C2269,'Smelter Reference List'!$J:$J,0))</f>
        <v>#N/A</v>
      </c>
      <c r="T2269" s="235"/>
      <c r="U2269" s="235">
        <f t="shared" ca="1" si="66"/>
        <v>0</v>
      </c>
      <c r="V2269" s="235"/>
      <c r="W2269" s="235"/>
      <c r="Y2269" s="228" t="str">
        <f t="shared" si="67"/>
        <v/>
      </c>
    </row>
    <row r="2270" spans="1:25" s="228" customFormat="1" ht="20.25">
      <c r="A2270" s="257"/>
      <c r="B2270" s="232" t="str">
        <f>IF(LEN(A2270)=0,"",INDEX('Smelter Reference List'!$A:$A,MATCH($A2270,'Smelter Reference List'!$E:$E,0)))</f>
        <v/>
      </c>
      <c r="C2270" s="297" t="str">
        <f>IF(LEN(A2270)=0,"",INDEX('Smelter Reference List'!$C:$C,MATCH($A2270,'Smelter Reference List'!$E:$E,0)))</f>
        <v/>
      </c>
      <c r="D2270" s="161" t="str">
        <f ca="1">IF(ISERROR($S2270),"",OFFSET('Smelter Reference List'!$C$4,$S2270-4,0)&amp;"")</f>
        <v/>
      </c>
      <c r="E2270" s="161" t="str">
        <f ca="1">IF(ISERROR($S2270),"",OFFSET('Smelter Reference List'!$D$4,$S2270-4,0)&amp;"")</f>
        <v/>
      </c>
      <c r="F2270" s="161" t="str">
        <f ca="1">IF(ISERROR($S2270),"",OFFSET('Smelter Reference List'!$E$4,$S2270-4,0))</f>
        <v/>
      </c>
      <c r="G2270" s="161" t="str">
        <f ca="1">IF(C2270=$U$4,"Enter smelter details", IF(ISERROR($S2270),"",OFFSET('Smelter Reference List'!$F$4,$S2270-4,0)))</f>
        <v/>
      </c>
      <c r="H2270" s="247" t="str">
        <f ca="1">IF(ISERROR($S2270),"",OFFSET('Smelter Reference List'!$G$4,$S2270-4,0))</f>
        <v/>
      </c>
      <c r="I2270" s="248" t="str">
        <f ca="1">IF(ISERROR($S2270),"",OFFSET('Smelter Reference List'!$H$4,$S2270-4,0))</f>
        <v/>
      </c>
      <c r="J2270" s="248" t="str">
        <f ca="1">IF(ISERROR($S2270),"",OFFSET('Smelter Reference List'!$I$4,$S2270-4,0))</f>
        <v/>
      </c>
      <c r="K2270" s="245"/>
      <c r="L2270" s="245"/>
      <c r="M2270" s="245"/>
      <c r="N2270" s="245"/>
      <c r="O2270" s="245"/>
      <c r="P2270" s="245"/>
      <c r="Q2270" s="246"/>
      <c r="R2270" s="233"/>
      <c r="S2270" s="234" t="e">
        <f>IF(C2270="",NA(),MATCH($B2270&amp;$C2270,'Smelter Reference List'!$J:$J,0))</f>
        <v>#N/A</v>
      </c>
      <c r="T2270" s="235"/>
      <c r="U2270" s="235">
        <f t="shared" ca="1" si="66"/>
        <v>0</v>
      </c>
      <c r="V2270" s="235"/>
      <c r="W2270" s="235"/>
      <c r="Y2270" s="228" t="str">
        <f t="shared" si="67"/>
        <v/>
      </c>
    </row>
    <row r="2271" spans="1:25" s="228" customFormat="1" ht="20.25">
      <c r="A2271" s="257"/>
      <c r="B2271" s="232" t="str">
        <f>IF(LEN(A2271)=0,"",INDEX('Smelter Reference List'!$A:$A,MATCH($A2271,'Smelter Reference List'!$E:$E,0)))</f>
        <v/>
      </c>
      <c r="C2271" s="297" t="str">
        <f>IF(LEN(A2271)=0,"",INDEX('Smelter Reference List'!$C:$C,MATCH($A2271,'Smelter Reference List'!$E:$E,0)))</f>
        <v/>
      </c>
      <c r="D2271" s="161" t="str">
        <f ca="1">IF(ISERROR($S2271),"",OFFSET('Smelter Reference List'!$C$4,$S2271-4,0)&amp;"")</f>
        <v/>
      </c>
      <c r="E2271" s="161" t="str">
        <f ca="1">IF(ISERROR($S2271),"",OFFSET('Smelter Reference List'!$D$4,$S2271-4,0)&amp;"")</f>
        <v/>
      </c>
      <c r="F2271" s="161" t="str">
        <f ca="1">IF(ISERROR($S2271),"",OFFSET('Smelter Reference List'!$E$4,$S2271-4,0))</f>
        <v/>
      </c>
      <c r="G2271" s="161" t="str">
        <f ca="1">IF(C2271=$U$4,"Enter smelter details", IF(ISERROR($S2271),"",OFFSET('Smelter Reference List'!$F$4,$S2271-4,0)))</f>
        <v/>
      </c>
      <c r="H2271" s="247" t="str">
        <f ca="1">IF(ISERROR($S2271),"",OFFSET('Smelter Reference List'!$G$4,$S2271-4,0))</f>
        <v/>
      </c>
      <c r="I2271" s="248" t="str">
        <f ca="1">IF(ISERROR($S2271),"",OFFSET('Smelter Reference List'!$H$4,$S2271-4,0))</f>
        <v/>
      </c>
      <c r="J2271" s="248" t="str">
        <f ca="1">IF(ISERROR($S2271),"",OFFSET('Smelter Reference List'!$I$4,$S2271-4,0))</f>
        <v/>
      </c>
      <c r="K2271" s="245"/>
      <c r="L2271" s="245"/>
      <c r="M2271" s="245"/>
      <c r="N2271" s="245"/>
      <c r="O2271" s="245"/>
      <c r="P2271" s="245"/>
      <c r="Q2271" s="246"/>
      <c r="R2271" s="233"/>
      <c r="S2271" s="234" t="e">
        <f>IF(C2271="",NA(),MATCH($B2271&amp;$C2271,'Smelter Reference List'!$J:$J,0))</f>
        <v>#N/A</v>
      </c>
      <c r="T2271" s="235"/>
      <c r="U2271" s="235">
        <f t="shared" ca="1" si="66"/>
        <v>0</v>
      </c>
      <c r="V2271" s="235"/>
      <c r="W2271" s="235"/>
      <c r="Y2271" s="228" t="str">
        <f t="shared" si="67"/>
        <v/>
      </c>
    </row>
    <row r="2272" spans="1:25" s="228" customFormat="1" ht="20.25">
      <c r="A2272" s="257"/>
      <c r="B2272" s="232" t="str">
        <f>IF(LEN(A2272)=0,"",INDEX('Smelter Reference List'!$A:$A,MATCH($A2272,'Smelter Reference List'!$E:$E,0)))</f>
        <v/>
      </c>
      <c r="C2272" s="297" t="str">
        <f>IF(LEN(A2272)=0,"",INDEX('Smelter Reference List'!$C:$C,MATCH($A2272,'Smelter Reference List'!$E:$E,0)))</f>
        <v/>
      </c>
      <c r="D2272" s="161" t="str">
        <f ca="1">IF(ISERROR($S2272),"",OFFSET('Smelter Reference List'!$C$4,$S2272-4,0)&amp;"")</f>
        <v/>
      </c>
      <c r="E2272" s="161" t="str">
        <f ca="1">IF(ISERROR($S2272),"",OFFSET('Smelter Reference List'!$D$4,$S2272-4,0)&amp;"")</f>
        <v/>
      </c>
      <c r="F2272" s="161" t="str">
        <f ca="1">IF(ISERROR($S2272),"",OFFSET('Smelter Reference List'!$E$4,$S2272-4,0))</f>
        <v/>
      </c>
      <c r="G2272" s="161" t="str">
        <f ca="1">IF(C2272=$U$4,"Enter smelter details", IF(ISERROR($S2272),"",OFFSET('Smelter Reference List'!$F$4,$S2272-4,0)))</f>
        <v/>
      </c>
      <c r="H2272" s="247" t="str">
        <f ca="1">IF(ISERROR($S2272),"",OFFSET('Smelter Reference List'!$G$4,$S2272-4,0))</f>
        <v/>
      </c>
      <c r="I2272" s="248" t="str">
        <f ca="1">IF(ISERROR($S2272),"",OFFSET('Smelter Reference List'!$H$4,$S2272-4,0))</f>
        <v/>
      </c>
      <c r="J2272" s="248" t="str">
        <f ca="1">IF(ISERROR($S2272),"",OFFSET('Smelter Reference List'!$I$4,$S2272-4,0))</f>
        <v/>
      </c>
      <c r="K2272" s="245"/>
      <c r="L2272" s="245"/>
      <c r="M2272" s="245"/>
      <c r="N2272" s="245"/>
      <c r="O2272" s="245"/>
      <c r="P2272" s="245"/>
      <c r="Q2272" s="246"/>
      <c r="R2272" s="233"/>
      <c r="S2272" s="234" t="e">
        <f>IF(C2272="",NA(),MATCH($B2272&amp;$C2272,'Smelter Reference List'!$J:$J,0))</f>
        <v>#N/A</v>
      </c>
      <c r="T2272" s="235"/>
      <c r="U2272" s="235">
        <f t="shared" ca="1" si="66"/>
        <v>0</v>
      </c>
      <c r="V2272" s="235"/>
      <c r="W2272" s="235"/>
      <c r="Y2272" s="228" t="str">
        <f t="shared" si="67"/>
        <v/>
      </c>
    </row>
    <row r="2273" spans="1:25" s="228" customFormat="1" ht="20.25">
      <c r="A2273" s="257"/>
      <c r="B2273" s="232" t="str">
        <f>IF(LEN(A2273)=0,"",INDEX('Smelter Reference List'!$A:$A,MATCH($A2273,'Smelter Reference List'!$E:$E,0)))</f>
        <v/>
      </c>
      <c r="C2273" s="297" t="str">
        <f>IF(LEN(A2273)=0,"",INDEX('Smelter Reference List'!$C:$C,MATCH($A2273,'Smelter Reference List'!$E:$E,0)))</f>
        <v/>
      </c>
      <c r="D2273" s="161" t="str">
        <f ca="1">IF(ISERROR($S2273),"",OFFSET('Smelter Reference List'!$C$4,$S2273-4,0)&amp;"")</f>
        <v/>
      </c>
      <c r="E2273" s="161" t="str">
        <f ca="1">IF(ISERROR($S2273),"",OFFSET('Smelter Reference List'!$D$4,$S2273-4,0)&amp;"")</f>
        <v/>
      </c>
      <c r="F2273" s="161" t="str">
        <f ca="1">IF(ISERROR($S2273),"",OFFSET('Smelter Reference List'!$E$4,$S2273-4,0))</f>
        <v/>
      </c>
      <c r="G2273" s="161" t="str">
        <f ca="1">IF(C2273=$U$4,"Enter smelter details", IF(ISERROR($S2273),"",OFFSET('Smelter Reference List'!$F$4,$S2273-4,0)))</f>
        <v/>
      </c>
      <c r="H2273" s="247" t="str">
        <f ca="1">IF(ISERROR($S2273),"",OFFSET('Smelter Reference List'!$G$4,$S2273-4,0))</f>
        <v/>
      </c>
      <c r="I2273" s="248" t="str">
        <f ca="1">IF(ISERROR($S2273),"",OFFSET('Smelter Reference List'!$H$4,$S2273-4,0))</f>
        <v/>
      </c>
      <c r="J2273" s="248" t="str">
        <f ca="1">IF(ISERROR($S2273),"",OFFSET('Smelter Reference List'!$I$4,$S2273-4,0))</f>
        <v/>
      </c>
      <c r="K2273" s="245"/>
      <c r="L2273" s="245"/>
      <c r="M2273" s="245"/>
      <c r="N2273" s="245"/>
      <c r="O2273" s="245"/>
      <c r="P2273" s="245"/>
      <c r="Q2273" s="246"/>
      <c r="R2273" s="233"/>
      <c r="S2273" s="234" t="e">
        <f>IF(C2273="",NA(),MATCH($B2273&amp;$C2273,'Smelter Reference List'!$J:$J,0))</f>
        <v>#N/A</v>
      </c>
      <c r="T2273" s="235"/>
      <c r="U2273" s="235">
        <f t="shared" ca="1" si="66"/>
        <v>0</v>
      </c>
      <c r="V2273" s="235"/>
      <c r="W2273" s="235"/>
      <c r="Y2273" s="228" t="str">
        <f t="shared" si="67"/>
        <v/>
      </c>
    </row>
    <row r="2274" spans="1:25" s="228" customFormat="1" ht="20.25">
      <c r="A2274" s="257"/>
      <c r="B2274" s="232" t="str">
        <f>IF(LEN(A2274)=0,"",INDEX('Smelter Reference List'!$A:$A,MATCH($A2274,'Smelter Reference List'!$E:$E,0)))</f>
        <v/>
      </c>
      <c r="C2274" s="297" t="str">
        <f>IF(LEN(A2274)=0,"",INDEX('Smelter Reference List'!$C:$C,MATCH($A2274,'Smelter Reference List'!$E:$E,0)))</f>
        <v/>
      </c>
      <c r="D2274" s="161" t="str">
        <f ca="1">IF(ISERROR($S2274),"",OFFSET('Smelter Reference List'!$C$4,$S2274-4,0)&amp;"")</f>
        <v/>
      </c>
      <c r="E2274" s="161" t="str">
        <f ca="1">IF(ISERROR($S2274),"",OFFSET('Smelter Reference List'!$D$4,$S2274-4,0)&amp;"")</f>
        <v/>
      </c>
      <c r="F2274" s="161" t="str">
        <f ca="1">IF(ISERROR($S2274),"",OFFSET('Smelter Reference List'!$E$4,$S2274-4,0))</f>
        <v/>
      </c>
      <c r="G2274" s="161" t="str">
        <f ca="1">IF(C2274=$U$4,"Enter smelter details", IF(ISERROR($S2274),"",OFFSET('Smelter Reference List'!$F$4,$S2274-4,0)))</f>
        <v/>
      </c>
      <c r="H2274" s="247" t="str">
        <f ca="1">IF(ISERROR($S2274),"",OFFSET('Smelter Reference List'!$G$4,$S2274-4,0))</f>
        <v/>
      </c>
      <c r="I2274" s="248" t="str">
        <f ca="1">IF(ISERROR($S2274),"",OFFSET('Smelter Reference List'!$H$4,$S2274-4,0))</f>
        <v/>
      </c>
      <c r="J2274" s="248" t="str">
        <f ca="1">IF(ISERROR($S2274),"",OFFSET('Smelter Reference List'!$I$4,$S2274-4,0))</f>
        <v/>
      </c>
      <c r="K2274" s="245"/>
      <c r="L2274" s="245"/>
      <c r="M2274" s="245"/>
      <c r="N2274" s="245"/>
      <c r="O2274" s="245"/>
      <c r="P2274" s="245"/>
      <c r="Q2274" s="246"/>
      <c r="R2274" s="233"/>
      <c r="S2274" s="234" t="e">
        <f>IF(C2274="",NA(),MATCH($B2274&amp;$C2274,'Smelter Reference List'!$J:$J,0))</f>
        <v>#N/A</v>
      </c>
      <c r="T2274" s="235"/>
      <c r="U2274" s="235">
        <f t="shared" ca="1" si="66"/>
        <v>0</v>
      </c>
      <c r="V2274" s="235"/>
      <c r="W2274" s="235"/>
      <c r="Y2274" s="228" t="str">
        <f t="shared" si="67"/>
        <v/>
      </c>
    </row>
    <row r="2275" spans="1:25" s="228" customFormat="1" ht="20.25">
      <c r="A2275" s="257"/>
      <c r="B2275" s="232" t="str">
        <f>IF(LEN(A2275)=0,"",INDEX('Smelter Reference List'!$A:$A,MATCH($A2275,'Smelter Reference List'!$E:$E,0)))</f>
        <v/>
      </c>
      <c r="C2275" s="297" t="str">
        <f>IF(LEN(A2275)=0,"",INDEX('Smelter Reference List'!$C:$C,MATCH($A2275,'Smelter Reference List'!$E:$E,0)))</f>
        <v/>
      </c>
      <c r="D2275" s="161" t="str">
        <f ca="1">IF(ISERROR($S2275),"",OFFSET('Smelter Reference List'!$C$4,$S2275-4,0)&amp;"")</f>
        <v/>
      </c>
      <c r="E2275" s="161" t="str">
        <f ca="1">IF(ISERROR($S2275),"",OFFSET('Smelter Reference List'!$D$4,$S2275-4,0)&amp;"")</f>
        <v/>
      </c>
      <c r="F2275" s="161" t="str">
        <f ca="1">IF(ISERROR($S2275),"",OFFSET('Smelter Reference List'!$E$4,$S2275-4,0))</f>
        <v/>
      </c>
      <c r="G2275" s="161" t="str">
        <f ca="1">IF(C2275=$U$4,"Enter smelter details", IF(ISERROR($S2275),"",OFFSET('Smelter Reference List'!$F$4,$S2275-4,0)))</f>
        <v/>
      </c>
      <c r="H2275" s="247" t="str">
        <f ca="1">IF(ISERROR($S2275),"",OFFSET('Smelter Reference List'!$G$4,$S2275-4,0))</f>
        <v/>
      </c>
      <c r="I2275" s="248" t="str">
        <f ca="1">IF(ISERROR($S2275),"",OFFSET('Smelter Reference List'!$H$4,$S2275-4,0))</f>
        <v/>
      </c>
      <c r="J2275" s="248" t="str">
        <f ca="1">IF(ISERROR($S2275),"",OFFSET('Smelter Reference List'!$I$4,$S2275-4,0))</f>
        <v/>
      </c>
      <c r="K2275" s="245"/>
      <c r="L2275" s="245"/>
      <c r="M2275" s="245"/>
      <c r="N2275" s="245"/>
      <c r="O2275" s="245"/>
      <c r="P2275" s="245"/>
      <c r="Q2275" s="246"/>
      <c r="R2275" s="233"/>
      <c r="S2275" s="234" t="e">
        <f>IF(C2275="",NA(),MATCH($B2275&amp;$C2275,'Smelter Reference List'!$J:$J,0))</f>
        <v>#N/A</v>
      </c>
      <c r="T2275" s="235"/>
      <c r="U2275" s="235">
        <f t="shared" ca="1" si="66"/>
        <v>0</v>
      </c>
      <c r="V2275" s="235"/>
      <c r="W2275" s="235"/>
      <c r="Y2275" s="228" t="str">
        <f t="shared" si="67"/>
        <v/>
      </c>
    </row>
    <row r="2276" spans="1:25" s="228" customFormat="1" ht="20.25">
      <c r="A2276" s="257"/>
      <c r="B2276" s="232" t="str">
        <f>IF(LEN(A2276)=0,"",INDEX('Smelter Reference List'!$A:$A,MATCH($A2276,'Smelter Reference List'!$E:$E,0)))</f>
        <v/>
      </c>
      <c r="C2276" s="297" t="str">
        <f>IF(LEN(A2276)=0,"",INDEX('Smelter Reference List'!$C:$C,MATCH($A2276,'Smelter Reference List'!$E:$E,0)))</f>
        <v/>
      </c>
      <c r="D2276" s="161" t="str">
        <f ca="1">IF(ISERROR($S2276),"",OFFSET('Smelter Reference List'!$C$4,$S2276-4,0)&amp;"")</f>
        <v/>
      </c>
      <c r="E2276" s="161" t="str">
        <f ca="1">IF(ISERROR($S2276),"",OFFSET('Smelter Reference List'!$D$4,$S2276-4,0)&amp;"")</f>
        <v/>
      </c>
      <c r="F2276" s="161" t="str">
        <f ca="1">IF(ISERROR($S2276),"",OFFSET('Smelter Reference List'!$E$4,$S2276-4,0))</f>
        <v/>
      </c>
      <c r="G2276" s="161" t="str">
        <f ca="1">IF(C2276=$U$4,"Enter smelter details", IF(ISERROR($S2276),"",OFFSET('Smelter Reference List'!$F$4,$S2276-4,0)))</f>
        <v/>
      </c>
      <c r="H2276" s="247" t="str">
        <f ca="1">IF(ISERROR($S2276),"",OFFSET('Smelter Reference List'!$G$4,$S2276-4,0))</f>
        <v/>
      </c>
      <c r="I2276" s="248" t="str">
        <f ca="1">IF(ISERROR($S2276),"",OFFSET('Smelter Reference List'!$H$4,$S2276-4,0))</f>
        <v/>
      </c>
      <c r="J2276" s="248" t="str">
        <f ca="1">IF(ISERROR($S2276),"",OFFSET('Smelter Reference List'!$I$4,$S2276-4,0))</f>
        <v/>
      </c>
      <c r="K2276" s="245"/>
      <c r="L2276" s="245"/>
      <c r="M2276" s="245"/>
      <c r="N2276" s="245"/>
      <c r="O2276" s="245"/>
      <c r="P2276" s="245"/>
      <c r="Q2276" s="246"/>
      <c r="R2276" s="233"/>
      <c r="S2276" s="234" t="e">
        <f>IF(C2276="",NA(),MATCH($B2276&amp;$C2276,'Smelter Reference List'!$J:$J,0))</f>
        <v>#N/A</v>
      </c>
      <c r="T2276" s="235"/>
      <c r="U2276" s="235">
        <f t="shared" ca="1" si="66"/>
        <v>0</v>
      </c>
      <c r="V2276" s="235"/>
      <c r="W2276" s="235"/>
      <c r="Y2276" s="228" t="str">
        <f t="shared" si="67"/>
        <v/>
      </c>
    </row>
    <row r="2277" spans="1:25" s="228" customFormat="1" ht="20.25">
      <c r="A2277" s="257"/>
      <c r="B2277" s="232" t="str">
        <f>IF(LEN(A2277)=0,"",INDEX('Smelter Reference List'!$A:$A,MATCH($A2277,'Smelter Reference List'!$E:$E,0)))</f>
        <v/>
      </c>
      <c r="C2277" s="297" t="str">
        <f>IF(LEN(A2277)=0,"",INDEX('Smelter Reference List'!$C:$C,MATCH($A2277,'Smelter Reference List'!$E:$E,0)))</f>
        <v/>
      </c>
      <c r="D2277" s="161" t="str">
        <f ca="1">IF(ISERROR($S2277),"",OFFSET('Smelter Reference List'!$C$4,$S2277-4,0)&amp;"")</f>
        <v/>
      </c>
      <c r="E2277" s="161" t="str">
        <f ca="1">IF(ISERROR($S2277),"",OFFSET('Smelter Reference List'!$D$4,$S2277-4,0)&amp;"")</f>
        <v/>
      </c>
      <c r="F2277" s="161" t="str">
        <f ca="1">IF(ISERROR($S2277),"",OFFSET('Smelter Reference List'!$E$4,$S2277-4,0))</f>
        <v/>
      </c>
      <c r="G2277" s="161" t="str">
        <f ca="1">IF(C2277=$U$4,"Enter smelter details", IF(ISERROR($S2277),"",OFFSET('Smelter Reference List'!$F$4,$S2277-4,0)))</f>
        <v/>
      </c>
      <c r="H2277" s="247" t="str">
        <f ca="1">IF(ISERROR($S2277),"",OFFSET('Smelter Reference List'!$G$4,$S2277-4,0))</f>
        <v/>
      </c>
      <c r="I2277" s="248" t="str">
        <f ca="1">IF(ISERROR($S2277),"",OFFSET('Smelter Reference List'!$H$4,$S2277-4,0))</f>
        <v/>
      </c>
      <c r="J2277" s="248" t="str">
        <f ca="1">IF(ISERROR($S2277),"",OFFSET('Smelter Reference List'!$I$4,$S2277-4,0))</f>
        <v/>
      </c>
      <c r="K2277" s="245"/>
      <c r="L2277" s="245"/>
      <c r="M2277" s="245"/>
      <c r="N2277" s="245"/>
      <c r="O2277" s="245"/>
      <c r="P2277" s="245"/>
      <c r="Q2277" s="246"/>
      <c r="R2277" s="233"/>
      <c r="S2277" s="234" t="e">
        <f>IF(C2277="",NA(),MATCH($B2277&amp;$C2277,'Smelter Reference List'!$J:$J,0))</f>
        <v>#N/A</v>
      </c>
      <c r="T2277" s="235"/>
      <c r="U2277" s="235">
        <f t="shared" ca="1" si="66"/>
        <v>0</v>
      </c>
      <c r="V2277" s="235"/>
      <c r="W2277" s="235"/>
      <c r="Y2277" s="228" t="str">
        <f t="shared" si="67"/>
        <v/>
      </c>
    </row>
    <row r="2278" spans="1:25" s="228" customFormat="1" ht="20.25">
      <c r="A2278" s="257"/>
      <c r="B2278" s="232" t="str">
        <f>IF(LEN(A2278)=0,"",INDEX('Smelter Reference List'!$A:$A,MATCH($A2278,'Smelter Reference List'!$E:$E,0)))</f>
        <v/>
      </c>
      <c r="C2278" s="297" t="str">
        <f>IF(LEN(A2278)=0,"",INDEX('Smelter Reference List'!$C:$C,MATCH($A2278,'Smelter Reference List'!$E:$E,0)))</f>
        <v/>
      </c>
      <c r="D2278" s="161" t="str">
        <f ca="1">IF(ISERROR($S2278),"",OFFSET('Smelter Reference List'!$C$4,$S2278-4,0)&amp;"")</f>
        <v/>
      </c>
      <c r="E2278" s="161" t="str">
        <f ca="1">IF(ISERROR($S2278),"",OFFSET('Smelter Reference List'!$D$4,$S2278-4,0)&amp;"")</f>
        <v/>
      </c>
      <c r="F2278" s="161" t="str">
        <f ca="1">IF(ISERROR($S2278),"",OFFSET('Smelter Reference List'!$E$4,$S2278-4,0))</f>
        <v/>
      </c>
      <c r="G2278" s="161" t="str">
        <f ca="1">IF(C2278=$U$4,"Enter smelter details", IF(ISERROR($S2278),"",OFFSET('Smelter Reference List'!$F$4,$S2278-4,0)))</f>
        <v/>
      </c>
      <c r="H2278" s="247" t="str">
        <f ca="1">IF(ISERROR($S2278),"",OFFSET('Smelter Reference List'!$G$4,$S2278-4,0))</f>
        <v/>
      </c>
      <c r="I2278" s="248" t="str">
        <f ca="1">IF(ISERROR($S2278),"",OFFSET('Smelter Reference List'!$H$4,$S2278-4,0))</f>
        <v/>
      </c>
      <c r="J2278" s="248" t="str">
        <f ca="1">IF(ISERROR($S2278),"",OFFSET('Smelter Reference List'!$I$4,$S2278-4,0))</f>
        <v/>
      </c>
      <c r="K2278" s="245"/>
      <c r="L2278" s="245"/>
      <c r="M2278" s="245"/>
      <c r="N2278" s="245"/>
      <c r="O2278" s="245"/>
      <c r="P2278" s="245"/>
      <c r="Q2278" s="246"/>
      <c r="R2278" s="233"/>
      <c r="S2278" s="234" t="e">
        <f>IF(C2278="",NA(),MATCH($B2278&amp;$C2278,'Smelter Reference List'!$J:$J,0))</f>
        <v>#N/A</v>
      </c>
      <c r="T2278" s="235"/>
      <c r="U2278" s="235">
        <f t="shared" ca="1" si="66"/>
        <v>0</v>
      </c>
      <c r="V2278" s="235"/>
      <c r="W2278" s="235"/>
      <c r="Y2278" s="228" t="str">
        <f t="shared" si="67"/>
        <v/>
      </c>
    </row>
    <row r="2279" spans="1:25" s="228" customFormat="1" ht="20.25">
      <c r="A2279" s="257"/>
      <c r="B2279" s="232" t="str">
        <f>IF(LEN(A2279)=0,"",INDEX('Smelter Reference List'!$A:$A,MATCH($A2279,'Smelter Reference List'!$E:$E,0)))</f>
        <v/>
      </c>
      <c r="C2279" s="297" t="str">
        <f>IF(LEN(A2279)=0,"",INDEX('Smelter Reference List'!$C:$C,MATCH($A2279,'Smelter Reference List'!$E:$E,0)))</f>
        <v/>
      </c>
      <c r="D2279" s="161" t="str">
        <f ca="1">IF(ISERROR($S2279),"",OFFSET('Smelter Reference List'!$C$4,$S2279-4,0)&amp;"")</f>
        <v/>
      </c>
      <c r="E2279" s="161" t="str">
        <f ca="1">IF(ISERROR($S2279),"",OFFSET('Smelter Reference List'!$D$4,$S2279-4,0)&amp;"")</f>
        <v/>
      </c>
      <c r="F2279" s="161" t="str">
        <f ca="1">IF(ISERROR($S2279),"",OFFSET('Smelter Reference List'!$E$4,$S2279-4,0))</f>
        <v/>
      </c>
      <c r="G2279" s="161" t="str">
        <f ca="1">IF(C2279=$U$4,"Enter smelter details", IF(ISERROR($S2279),"",OFFSET('Smelter Reference List'!$F$4,$S2279-4,0)))</f>
        <v/>
      </c>
      <c r="H2279" s="247" t="str">
        <f ca="1">IF(ISERROR($S2279),"",OFFSET('Smelter Reference List'!$G$4,$S2279-4,0))</f>
        <v/>
      </c>
      <c r="I2279" s="248" t="str">
        <f ca="1">IF(ISERROR($S2279),"",OFFSET('Smelter Reference List'!$H$4,$S2279-4,0))</f>
        <v/>
      </c>
      <c r="J2279" s="248" t="str">
        <f ca="1">IF(ISERROR($S2279),"",OFFSET('Smelter Reference List'!$I$4,$S2279-4,0))</f>
        <v/>
      </c>
      <c r="K2279" s="245"/>
      <c r="L2279" s="245"/>
      <c r="M2279" s="245"/>
      <c r="N2279" s="245"/>
      <c r="O2279" s="245"/>
      <c r="P2279" s="245"/>
      <c r="Q2279" s="246"/>
      <c r="R2279" s="233"/>
      <c r="S2279" s="234" t="e">
        <f>IF(C2279="",NA(),MATCH($B2279&amp;$C2279,'Smelter Reference List'!$J:$J,0))</f>
        <v>#N/A</v>
      </c>
      <c r="T2279" s="235"/>
      <c r="U2279" s="235">
        <f t="shared" ca="1" si="66"/>
        <v>0</v>
      </c>
      <c r="V2279" s="235"/>
      <c r="W2279" s="235"/>
      <c r="Y2279" s="228" t="str">
        <f t="shared" si="67"/>
        <v/>
      </c>
    </row>
    <row r="2280" spans="1:25" s="228" customFormat="1" ht="20.25">
      <c r="A2280" s="257"/>
      <c r="B2280" s="232" t="str">
        <f>IF(LEN(A2280)=0,"",INDEX('Smelter Reference List'!$A:$A,MATCH($A2280,'Smelter Reference List'!$E:$E,0)))</f>
        <v/>
      </c>
      <c r="C2280" s="297" t="str">
        <f>IF(LEN(A2280)=0,"",INDEX('Smelter Reference List'!$C:$C,MATCH($A2280,'Smelter Reference List'!$E:$E,0)))</f>
        <v/>
      </c>
      <c r="D2280" s="161" t="str">
        <f ca="1">IF(ISERROR($S2280),"",OFFSET('Smelter Reference List'!$C$4,$S2280-4,0)&amp;"")</f>
        <v/>
      </c>
      <c r="E2280" s="161" t="str">
        <f ca="1">IF(ISERROR($S2280),"",OFFSET('Smelter Reference List'!$D$4,$S2280-4,0)&amp;"")</f>
        <v/>
      </c>
      <c r="F2280" s="161" t="str">
        <f ca="1">IF(ISERROR($S2280),"",OFFSET('Smelter Reference List'!$E$4,$S2280-4,0))</f>
        <v/>
      </c>
      <c r="G2280" s="161" t="str">
        <f ca="1">IF(C2280=$U$4,"Enter smelter details", IF(ISERROR($S2280),"",OFFSET('Smelter Reference List'!$F$4,$S2280-4,0)))</f>
        <v/>
      </c>
      <c r="H2280" s="247" t="str">
        <f ca="1">IF(ISERROR($S2280),"",OFFSET('Smelter Reference List'!$G$4,$S2280-4,0))</f>
        <v/>
      </c>
      <c r="I2280" s="248" t="str">
        <f ca="1">IF(ISERROR($S2280),"",OFFSET('Smelter Reference List'!$H$4,$S2280-4,0))</f>
        <v/>
      </c>
      <c r="J2280" s="248" t="str">
        <f ca="1">IF(ISERROR($S2280),"",OFFSET('Smelter Reference List'!$I$4,$S2280-4,0))</f>
        <v/>
      </c>
      <c r="K2280" s="245"/>
      <c r="L2280" s="245"/>
      <c r="M2280" s="245"/>
      <c r="N2280" s="245"/>
      <c r="O2280" s="245"/>
      <c r="P2280" s="245"/>
      <c r="Q2280" s="246"/>
      <c r="R2280" s="233"/>
      <c r="S2280" s="234" t="e">
        <f>IF(C2280="",NA(),MATCH($B2280&amp;$C2280,'Smelter Reference List'!$J:$J,0))</f>
        <v>#N/A</v>
      </c>
      <c r="T2280" s="235"/>
      <c r="U2280" s="235">
        <f t="shared" ca="1" si="66"/>
        <v>0</v>
      </c>
      <c r="V2280" s="235"/>
      <c r="W2280" s="235"/>
      <c r="Y2280" s="228" t="str">
        <f t="shared" si="67"/>
        <v/>
      </c>
    </row>
    <row r="2281" spans="1:25" s="228" customFormat="1" ht="20.25">
      <c r="A2281" s="257"/>
      <c r="B2281" s="232" t="str">
        <f>IF(LEN(A2281)=0,"",INDEX('Smelter Reference List'!$A:$A,MATCH($A2281,'Smelter Reference List'!$E:$E,0)))</f>
        <v/>
      </c>
      <c r="C2281" s="297" t="str">
        <f>IF(LEN(A2281)=0,"",INDEX('Smelter Reference List'!$C:$C,MATCH($A2281,'Smelter Reference List'!$E:$E,0)))</f>
        <v/>
      </c>
      <c r="D2281" s="161" t="str">
        <f ca="1">IF(ISERROR($S2281),"",OFFSET('Smelter Reference List'!$C$4,$S2281-4,0)&amp;"")</f>
        <v/>
      </c>
      <c r="E2281" s="161" t="str">
        <f ca="1">IF(ISERROR($S2281),"",OFFSET('Smelter Reference List'!$D$4,$S2281-4,0)&amp;"")</f>
        <v/>
      </c>
      <c r="F2281" s="161" t="str">
        <f ca="1">IF(ISERROR($S2281),"",OFFSET('Smelter Reference List'!$E$4,$S2281-4,0))</f>
        <v/>
      </c>
      <c r="G2281" s="161" t="str">
        <f ca="1">IF(C2281=$U$4,"Enter smelter details", IF(ISERROR($S2281),"",OFFSET('Smelter Reference List'!$F$4,$S2281-4,0)))</f>
        <v/>
      </c>
      <c r="H2281" s="247" t="str">
        <f ca="1">IF(ISERROR($S2281),"",OFFSET('Smelter Reference List'!$G$4,$S2281-4,0))</f>
        <v/>
      </c>
      <c r="I2281" s="248" t="str">
        <f ca="1">IF(ISERROR($S2281),"",OFFSET('Smelter Reference List'!$H$4,$S2281-4,0))</f>
        <v/>
      </c>
      <c r="J2281" s="248" t="str">
        <f ca="1">IF(ISERROR($S2281),"",OFFSET('Smelter Reference List'!$I$4,$S2281-4,0))</f>
        <v/>
      </c>
      <c r="K2281" s="245"/>
      <c r="L2281" s="245"/>
      <c r="M2281" s="245"/>
      <c r="N2281" s="245"/>
      <c r="O2281" s="245"/>
      <c r="P2281" s="245"/>
      <c r="Q2281" s="246"/>
      <c r="R2281" s="233"/>
      <c r="S2281" s="234" t="e">
        <f>IF(C2281="",NA(),MATCH($B2281&amp;$C2281,'Smelter Reference List'!$J:$J,0))</f>
        <v>#N/A</v>
      </c>
      <c r="T2281" s="235"/>
      <c r="U2281" s="235">
        <f t="shared" ca="1" si="66"/>
        <v>0</v>
      </c>
      <c r="V2281" s="235"/>
      <c r="W2281" s="235"/>
      <c r="Y2281" s="228" t="str">
        <f t="shared" si="67"/>
        <v/>
      </c>
    </row>
    <row r="2282" spans="1:25" s="228" customFormat="1" ht="20.25">
      <c r="A2282" s="257"/>
      <c r="B2282" s="232" t="str">
        <f>IF(LEN(A2282)=0,"",INDEX('Smelter Reference List'!$A:$A,MATCH($A2282,'Smelter Reference List'!$E:$E,0)))</f>
        <v/>
      </c>
      <c r="C2282" s="297" t="str">
        <f>IF(LEN(A2282)=0,"",INDEX('Smelter Reference List'!$C:$C,MATCH($A2282,'Smelter Reference List'!$E:$E,0)))</f>
        <v/>
      </c>
      <c r="D2282" s="161" t="str">
        <f ca="1">IF(ISERROR($S2282),"",OFFSET('Smelter Reference List'!$C$4,$S2282-4,0)&amp;"")</f>
        <v/>
      </c>
      <c r="E2282" s="161" t="str">
        <f ca="1">IF(ISERROR($S2282),"",OFFSET('Smelter Reference List'!$D$4,$S2282-4,0)&amp;"")</f>
        <v/>
      </c>
      <c r="F2282" s="161" t="str">
        <f ca="1">IF(ISERROR($S2282),"",OFFSET('Smelter Reference List'!$E$4,$S2282-4,0))</f>
        <v/>
      </c>
      <c r="G2282" s="161" t="str">
        <f ca="1">IF(C2282=$U$4,"Enter smelter details", IF(ISERROR($S2282),"",OFFSET('Smelter Reference List'!$F$4,$S2282-4,0)))</f>
        <v/>
      </c>
      <c r="H2282" s="247" t="str">
        <f ca="1">IF(ISERROR($S2282),"",OFFSET('Smelter Reference List'!$G$4,$S2282-4,0))</f>
        <v/>
      </c>
      <c r="I2282" s="248" t="str">
        <f ca="1">IF(ISERROR($S2282),"",OFFSET('Smelter Reference List'!$H$4,$S2282-4,0))</f>
        <v/>
      </c>
      <c r="J2282" s="248" t="str">
        <f ca="1">IF(ISERROR($S2282),"",OFFSET('Smelter Reference List'!$I$4,$S2282-4,0))</f>
        <v/>
      </c>
      <c r="K2282" s="245"/>
      <c r="L2282" s="245"/>
      <c r="M2282" s="245"/>
      <c r="N2282" s="245"/>
      <c r="O2282" s="245"/>
      <c r="P2282" s="245"/>
      <c r="Q2282" s="246"/>
      <c r="R2282" s="233"/>
      <c r="S2282" s="234" t="e">
        <f>IF(C2282="",NA(),MATCH($B2282&amp;$C2282,'Smelter Reference List'!$J:$J,0))</f>
        <v>#N/A</v>
      </c>
      <c r="T2282" s="235"/>
      <c r="U2282" s="235">
        <f t="shared" ca="1" si="66"/>
        <v>0</v>
      </c>
      <c r="V2282" s="235"/>
      <c r="W2282" s="235"/>
      <c r="Y2282" s="228" t="str">
        <f t="shared" si="67"/>
        <v/>
      </c>
    </row>
    <row r="2283" spans="1:25" s="228" customFormat="1" ht="20.25">
      <c r="A2283" s="257"/>
      <c r="B2283" s="232" t="str">
        <f>IF(LEN(A2283)=0,"",INDEX('Smelter Reference List'!$A:$A,MATCH($A2283,'Smelter Reference List'!$E:$E,0)))</f>
        <v/>
      </c>
      <c r="C2283" s="297" t="str">
        <f>IF(LEN(A2283)=0,"",INDEX('Smelter Reference List'!$C:$C,MATCH($A2283,'Smelter Reference List'!$E:$E,0)))</f>
        <v/>
      </c>
      <c r="D2283" s="161" t="str">
        <f ca="1">IF(ISERROR($S2283),"",OFFSET('Smelter Reference List'!$C$4,$S2283-4,0)&amp;"")</f>
        <v/>
      </c>
      <c r="E2283" s="161" t="str">
        <f ca="1">IF(ISERROR($S2283),"",OFFSET('Smelter Reference List'!$D$4,$S2283-4,0)&amp;"")</f>
        <v/>
      </c>
      <c r="F2283" s="161" t="str">
        <f ca="1">IF(ISERROR($S2283),"",OFFSET('Smelter Reference List'!$E$4,$S2283-4,0))</f>
        <v/>
      </c>
      <c r="G2283" s="161" t="str">
        <f ca="1">IF(C2283=$U$4,"Enter smelter details", IF(ISERROR($S2283),"",OFFSET('Smelter Reference List'!$F$4,$S2283-4,0)))</f>
        <v/>
      </c>
      <c r="H2283" s="247" t="str">
        <f ca="1">IF(ISERROR($S2283),"",OFFSET('Smelter Reference List'!$G$4,$S2283-4,0))</f>
        <v/>
      </c>
      <c r="I2283" s="248" t="str">
        <f ca="1">IF(ISERROR($S2283),"",OFFSET('Smelter Reference List'!$H$4,$S2283-4,0))</f>
        <v/>
      </c>
      <c r="J2283" s="248" t="str">
        <f ca="1">IF(ISERROR($S2283),"",OFFSET('Smelter Reference List'!$I$4,$S2283-4,0))</f>
        <v/>
      </c>
      <c r="K2283" s="245"/>
      <c r="L2283" s="245"/>
      <c r="M2283" s="245"/>
      <c r="N2283" s="245"/>
      <c r="O2283" s="245"/>
      <c r="P2283" s="245"/>
      <c r="Q2283" s="246"/>
      <c r="R2283" s="233"/>
      <c r="S2283" s="234" t="e">
        <f>IF(C2283="",NA(),MATCH($B2283&amp;$C2283,'Smelter Reference List'!$J:$J,0))</f>
        <v>#N/A</v>
      </c>
      <c r="T2283" s="235"/>
      <c r="U2283" s="235">
        <f t="shared" ca="1" si="66"/>
        <v>0</v>
      </c>
      <c r="V2283" s="235"/>
      <c r="W2283" s="235"/>
      <c r="Y2283" s="228" t="str">
        <f t="shared" si="67"/>
        <v/>
      </c>
    </row>
    <row r="2284" spans="1:25" s="228" customFormat="1" ht="20.25">
      <c r="A2284" s="257"/>
      <c r="B2284" s="232" t="str">
        <f>IF(LEN(A2284)=0,"",INDEX('Smelter Reference List'!$A:$A,MATCH($A2284,'Smelter Reference List'!$E:$E,0)))</f>
        <v/>
      </c>
      <c r="C2284" s="297" t="str">
        <f>IF(LEN(A2284)=0,"",INDEX('Smelter Reference List'!$C:$C,MATCH($A2284,'Smelter Reference List'!$E:$E,0)))</f>
        <v/>
      </c>
      <c r="D2284" s="161" t="str">
        <f ca="1">IF(ISERROR($S2284),"",OFFSET('Smelter Reference List'!$C$4,$S2284-4,0)&amp;"")</f>
        <v/>
      </c>
      <c r="E2284" s="161" t="str">
        <f ca="1">IF(ISERROR($S2284),"",OFFSET('Smelter Reference List'!$D$4,$S2284-4,0)&amp;"")</f>
        <v/>
      </c>
      <c r="F2284" s="161" t="str">
        <f ca="1">IF(ISERROR($S2284),"",OFFSET('Smelter Reference List'!$E$4,$S2284-4,0))</f>
        <v/>
      </c>
      <c r="G2284" s="161" t="str">
        <f ca="1">IF(C2284=$U$4,"Enter smelter details", IF(ISERROR($S2284),"",OFFSET('Smelter Reference List'!$F$4,$S2284-4,0)))</f>
        <v/>
      </c>
      <c r="H2284" s="247" t="str">
        <f ca="1">IF(ISERROR($S2284),"",OFFSET('Smelter Reference List'!$G$4,$S2284-4,0))</f>
        <v/>
      </c>
      <c r="I2284" s="248" t="str">
        <f ca="1">IF(ISERROR($S2284),"",OFFSET('Smelter Reference List'!$H$4,$S2284-4,0))</f>
        <v/>
      </c>
      <c r="J2284" s="248" t="str">
        <f ca="1">IF(ISERROR($S2284),"",OFFSET('Smelter Reference List'!$I$4,$S2284-4,0))</f>
        <v/>
      </c>
      <c r="K2284" s="245"/>
      <c r="L2284" s="245"/>
      <c r="M2284" s="245"/>
      <c r="N2284" s="245"/>
      <c r="O2284" s="245"/>
      <c r="P2284" s="245"/>
      <c r="Q2284" s="246"/>
      <c r="R2284" s="233"/>
      <c r="S2284" s="234" t="e">
        <f>IF(C2284="",NA(),MATCH($B2284&amp;$C2284,'Smelter Reference List'!$J:$J,0))</f>
        <v>#N/A</v>
      </c>
      <c r="T2284" s="235"/>
      <c r="U2284" s="235">
        <f t="shared" ca="1" si="66"/>
        <v>0</v>
      </c>
      <c r="V2284" s="235"/>
      <c r="W2284" s="235"/>
      <c r="Y2284" s="228" t="str">
        <f t="shared" si="67"/>
        <v/>
      </c>
    </row>
    <row r="2285" spans="1:25" s="228" customFormat="1" ht="20.25">
      <c r="A2285" s="257"/>
      <c r="B2285" s="232" t="str">
        <f>IF(LEN(A2285)=0,"",INDEX('Smelter Reference List'!$A:$A,MATCH($A2285,'Smelter Reference List'!$E:$E,0)))</f>
        <v/>
      </c>
      <c r="C2285" s="297" t="str">
        <f>IF(LEN(A2285)=0,"",INDEX('Smelter Reference List'!$C:$C,MATCH($A2285,'Smelter Reference List'!$E:$E,0)))</f>
        <v/>
      </c>
      <c r="D2285" s="161" t="str">
        <f ca="1">IF(ISERROR($S2285),"",OFFSET('Smelter Reference List'!$C$4,$S2285-4,0)&amp;"")</f>
        <v/>
      </c>
      <c r="E2285" s="161" t="str">
        <f ca="1">IF(ISERROR($S2285),"",OFFSET('Smelter Reference List'!$D$4,$S2285-4,0)&amp;"")</f>
        <v/>
      </c>
      <c r="F2285" s="161" t="str">
        <f ca="1">IF(ISERROR($S2285),"",OFFSET('Smelter Reference List'!$E$4,$S2285-4,0))</f>
        <v/>
      </c>
      <c r="G2285" s="161" t="str">
        <f ca="1">IF(C2285=$U$4,"Enter smelter details", IF(ISERROR($S2285),"",OFFSET('Smelter Reference List'!$F$4,$S2285-4,0)))</f>
        <v/>
      </c>
      <c r="H2285" s="247" t="str">
        <f ca="1">IF(ISERROR($S2285),"",OFFSET('Smelter Reference List'!$G$4,$S2285-4,0))</f>
        <v/>
      </c>
      <c r="I2285" s="248" t="str">
        <f ca="1">IF(ISERROR($S2285),"",OFFSET('Smelter Reference List'!$H$4,$S2285-4,0))</f>
        <v/>
      </c>
      <c r="J2285" s="248" t="str">
        <f ca="1">IF(ISERROR($S2285),"",OFFSET('Smelter Reference List'!$I$4,$S2285-4,0))</f>
        <v/>
      </c>
      <c r="K2285" s="245"/>
      <c r="L2285" s="245"/>
      <c r="M2285" s="245"/>
      <c r="N2285" s="245"/>
      <c r="O2285" s="245"/>
      <c r="P2285" s="245"/>
      <c r="Q2285" s="246"/>
      <c r="R2285" s="233"/>
      <c r="S2285" s="234" t="e">
        <f>IF(C2285="",NA(),MATCH($B2285&amp;$C2285,'Smelter Reference List'!$J:$J,0))</f>
        <v>#N/A</v>
      </c>
      <c r="T2285" s="235"/>
      <c r="U2285" s="235">
        <f t="shared" ca="1" si="66"/>
        <v>0</v>
      </c>
      <c r="V2285" s="235"/>
      <c r="W2285" s="235"/>
      <c r="Y2285" s="228" t="str">
        <f t="shared" si="67"/>
        <v/>
      </c>
    </row>
    <row r="2286" spans="1:25" s="228" customFormat="1" ht="20.25">
      <c r="A2286" s="257"/>
      <c r="B2286" s="232" t="str">
        <f>IF(LEN(A2286)=0,"",INDEX('Smelter Reference List'!$A:$A,MATCH($A2286,'Smelter Reference List'!$E:$E,0)))</f>
        <v/>
      </c>
      <c r="C2286" s="297" t="str">
        <f>IF(LEN(A2286)=0,"",INDEX('Smelter Reference List'!$C:$C,MATCH($A2286,'Smelter Reference List'!$E:$E,0)))</f>
        <v/>
      </c>
      <c r="D2286" s="161" t="str">
        <f ca="1">IF(ISERROR($S2286),"",OFFSET('Smelter Reference List'!$C$4,$S2286-4,0)&amp;"")</f>
        <v/>
      </c>
      <c r="E2286" s="161" t="str">
        <f ca="1">IF(ISERROR($S2286),"",OFFSET('Smelter Reference List'!$D$4,$S2286-4,0)&amp;"")</f>
        <v/>
      </c>
      <c r="F2286" s="161" t="str">
        <f ca="1">IF(ISERROR($S2286),"",OFFSET('Smelter Reference List'!$E$4,$S2286-4,0))</f>
        <v/>
      </c>
      <c r="G2286" s="161" t="str">
        <f ca="1">IF(C2286=$U$4,"Enter smelter details", IF(ISERROR($S2286),"",OFFSET('Smelter Reference List'!$F$4,$S2286-4,0)))</f>
        <v/>
      </c>
      <c r="H2286" s="247" t="str">
        <f ca="1">IF(ISERROR($S2286),"",OFFSET('Smelter Reference List'!$G$4,$S2286-4,0))</f>
        <v/>
      </c>
      <c r="I2286" s="248" t="str">
        <f ca="1">IF(ISERROR($S2286),"",OFFSET('Smelter Reference List'!$H$4,$S2286-4,0))</f>
        <v/>
      </c>
      <c r="J2286" s="248" t="str">
        <f ca="1">IF(ISERROR($S2286),"",OFFSET('Smelter Reference List'!$I$4,$S2286-4,0))</f>
        <v/>
      </c>
      <c r="K2286" s="245"/>
      <c r="L2286" s="245"/>
      <c r="M2286" s="245"/>
      <c r="N2286" s="245"/>
      <c r="O2286" s="245"/>
      <c r="P2286" s="245"/>
      <c r="Q2286" s="246"/>
      <c r="R2286" s="233"/>
      <c r="S2286" s="234" t="e">
        <f>IF(C2286="",NA(),MATCH($B2286&amp;$C2286,'Smelter Reference List'!$J:$J,0))</f>
        <v>#N/A</v>
      </c>
      <c r="T2286" s="235"/>
      <c r="U2286" s="235">
        <f t="shared" ca="1" si="66"/>
        <v>0</v>
      </c>
      <c r="V2286" s="235"/>
      <c r="W2286" s="235"/>
      <c r="Y2286" s="228" t="str">
        <f t="shared" si="67"/>
        <v/>
      </c>
    </row>
    <row r="2287" spans="1:25" s="228" customFormat="1" ht="20.25">
      <c r="A2287" s="257"/>
      <c r="B2287" s="232" t="str">
        <f>IF(LEN(A2287)=0,"",INDEX('Smelter Reference List'!$A:$A,MATCH($A2287,'Smelter Reference List'!$E:$E,0)))</f>
        <v/>
      </c>
      <c r="C2287" s="297" t="str">
        <f>IF(LEN(A2287)=0,"",INDEX('Smelter Reference List'!$C:$C,MATCH($A2287,'Smelter Reference List'!$E:$E,0)))</f>
        <v/>
      </c>
      <c r="D2287" s="161" t="str">
        <f ca="1">IF(ISERROR($S2287),"",OFFSET('Smelter Reference List'!$C$4,$S2287-4,0)&amp;"")</f>
        <v/>
      </c>
      <c r="E2287" s="161" t="str">
        <f ca="1">IF(ISERROR($S2287),"",OFFSET('Smelter Reference List'!$D$4,$S2287-4,0)&amp;"")</f>
        <v/>
      </c>
      <c r="F2287" s="161" t="str">
        <f ca="1">IF(ISERROR($S2287),"",OFFSET('Smelter Reference List'!$E$4,$S2287-4,0))</f>
        <v/>
      </c>
      <c r="G2287" s="161" t="str">
        <f ca="1">IF(C2287=$U$4,"Enter smelter details", IF(ISERROR($S2287),"",OFFSET('Smelter Reference List'!$F$4,$S2287-4,0)))</f>
        <v/>
      </c>
      <c r="H2287" s="247" t="str">
        <f ca="1">IF(ISERROR($S2287),"",OFFSET('Smelter Reference List'!$G$4,$S2287-4,0))</f>
        <v/>
      </c>
      <c r="I2287" s="248" t="str">
        <f ca="1">IF(ISERROR($S2287),"",OFFSET('Smelter Reference List'!$H$4,$S2287-4,0))</f>
        <v/>
      </c>
      <c r="J2287" s="248" t="str">
        <f ca="1">IF(ISERROR($S2287),"",OFFSET('Smelter Reference List'!$I$4,$S2287-4,0))</f>
        <v/>
      </c>
      <c r="K2287" s="245"/>
      <c r="L2287" s="245"/>
      <c r="M2287" s="245"/>
      <c r="N2287" s="245"/>
      <c r="O2287" s="245"/>
      <c r="P2287" s="245"/>
      <c r="Q2287" s="246"/>
      <c r="R2287" s="233"/>
      <c r="S2287" s="234" t="e">
        <f>IF(C2287="",NA(),MATCH($B2287&amp;$C2287,'Smelter Reference List'!$J:$J,0))</f>
        <v>#N/A</v>
      </c>
      <c r="T2287" s="235"/>
      <c r="U2287" s="235">
        <f t="shared" ca="1" si="66"/>
        <v>0</v>
      </c>
      <c r="V2287" s="235"/>
      <c r="W2287" s="235"/>
      <c r="Y2287" s="228" t="str">
        <f t="shared" si="67"/>
        <v/>
      </c>
    </row>
    <row r="2288" spans="1:25" s="228" customFormat="1" ht="20.25">
      <c r="A2288" s="257"/>
      <c r="B2288" s="232" t="str">
        <f>IF(LEN(A2288)=0,"",INDEX('Smelter Reference List'!$A:$A,MATCH($A2288,'Smelter Reference List'!$E:$E,0)))</f>
        <v/>
      </c>
      <c r="C2288" s="297" t="str">
        <f>IF(LEN(A2288)=0,"",INDEX('Smelter Reference List'!$C:$C,MATCH($A2288,'Smelter Reference List'!$E:$E,0)))</f>
        <v/>
      </c>
      <c r="D2288" s="161" t="str">
        <f ca="1">IF(ISERROR($S2288),"",OFFSET('Smelter Reference List'!$C$4,$S2288-4,0)&amp;"")</f>
        <v/>
      </c>
      <c r="E2288" s="161" t="str">
        <f ca="1">IF(ISERROR($S2288),"",OFFSET('Smelter Reference List'!$D$4,$S2288-4,0)&amp;"")</f>
        <v/>
      </c>
      <c r="F2288" s="161" t="str">
        <f ca="1">IF(ISERROR($S2288),"",OFFSET('Smelter Reference List'!$E$4,$S2288-4,0))</f>
        <v/>
      </c>
      <c r="G2288" s="161" t="str">
        <f ca="1">IF(C2288=$U$4,"Enter smelter details", IF(ISERROR($S2288),"",OFFSET('Smelter Reference List'!$F$4,$S2288-4,0)))</f>
        <v/>
      </c>
      <c r="H2288" s="247" t="str">
        <f ca="1">IF(ISERROR($S2288),"",OFFSET('Smelter Reference List'!$G$4,$S2288-4,0))</f>
        <v/>
      </c>
      <c r="I2288" s="248" t="str">
        <f ca="1">IF(ISERROR($S2288),"",OFFSET('Smelter Reference List'!$H$4,$S2288-4,0))</f>
        <v/>
      </c>
      <c r="J2288" s="248" t="str">
        <f ca="1">IF(ISERROR($S2288),"",OFFSET('Smelter Reference List'!$I$4,$S2288-4,0))</f>
        <v/>
      </c>
      <c r="K2288" s="245"/>
      <c r="L2288" s="245"/>
      <c r="M2288" s="245"/>
      <c r="N2288" s="245"/>
      <c r="O2288" s="245"/>
      <c r="P2288" s="245"/>
      <c r="Q2288" s="246"/>
      <c r="R2288" s="233"/>
      <c r="S2288" s="234" t="e">
        <f>IF(C2288="",NA(),MATCH($B2288&amp;$C2288,'Smelter Reference List'!$J:$J,0))</f>
        <v>#N/A</v>
      </c>
      <c r="T2288" s="235"/>
      <c r="U2288" s="235">
        <f t="shared" ca="1" si="66"/>
        <v>0</v>
      </c>
      <c r="V2288" s="235"/>
      <c r="W2288" s="235"/>
      <c r="Y2288" s="228" t="str">
        <f t="shared" si="67"/>
        <v/>
      </c>
    </row>
    <row r="2289" spans="1:25" s="228" customFormat="1" ht="20.25">
      <c r="A2289" s="257"/>
      <c r="B2289" s="232" t="str">
        <f>IF(LEN(A2289)=0,"",INDEX('Smelter Reference List'!$A:$A,MATCH($A2289,'Smelter Reference List'!$E:$E,0)))</f>
        <v/>
      </c>
      <c r="C2289" s="297" t="str">
        <f>IF(LEN(A2289)=0,"",INDEX('Smelter Reference List'!$C:$C,MATCH($A2289,'Smelter Reference List'!$E:$E,0)))</f>
        <v/>
      </c>
      <c r="D2289" s="161" t="str">
        <f ca="1">IF(ISERROR($S2289),"",OFFSET('Smelter Reference List'!$C$4,$S2289-4,0)&amp;"")</f>
        <v/>
      </c>
      <c r="E2289" s="161" t="str">
        <f ca="1">IF(ISERROR($S2289),"",OFFSET('Smelter Reference List'!$D$4,$S2289-4,0)&amp;"")</f>
        <v/>
      </c>
      <c r="F2289" s="161" t="str">
        <f ca="1">IF(ISERROR($S2289),"",OFFSET('Smelter Reference List'!$E$4,$S2289-4,0))</f>
        <v/>
      </c>
      <c r="G2289" s="161" t="str">
        <f ca="1">IF(C2289=$U$4,"Enter smelter details", IF(ISERROR($S2289),"",OFFSET('Smelter Reference List'!$F$4,$S2289-4,0)))</f>
        <v/>
      </c>
      <c r="H2289" s="247" t="str">
        <f ca="1">IF(ISERROR($S2289),"",OFFSET('Smelter Reference List'!$G$4,$S2289-4,0))</f>
        <v/>
      </c>
      <c r="I2289" s="248" t="str">
        <f ca="1">IF(ISERROR($S2289),"",OFFSET('Smelter Reference List'!$H$4,$S2289-4,0))</f>
        <v/>
      </c>
      <c r="J2289" s="248" t="str">
        <f ca="1">IF(ISERROR($S2289),"",OFFSET('Smelter Reference List'!$I$4,$S2289-4,0))</f>
        <v/>
      </c>
      <c r="K2289" s="245"/>
      <c r="L2289" s="245"/>
      <c r="M2289" s="245"/>
      <c r="N2289" s="245"/>
      <c r="O2289" s="245"/>
      <c r="P2289" s="245"/>
      <c r="Q2289" s="246"/>
      <c r="R2289" s="233"/>
      <c r="S2289" s="234" t="e">
        <f>IF(C2289="",NA(),MATCH($B2289&amp;$C2289,'Smelter Reference List'!$J:$J,0))</f>
        <v>#N/A</v>
      </c>
      <c r="T2289" s="235"/>
      <c r="U2289" s="235">
        <f t="shared" ca="1" si="66"/>
        <v>0</v>
      </c>
      <c r="V2289" s="235"/>
      <c r="W2289" s="235"/>
      <c r="Y2289" s="228" t="str">
        <f t="shared" si="67"/>
        <v/>
      </c>
    </row>
    <row r="2290" spans="1:25" s="228" customFormat="1" ht="20.25">
      <c r="A2290" s="257"/>
      <c r="B2290" s="232" t="str">
        <f>IF(LEN(A2290)=0,"",INDEX('Smelter Reference List'!$A:$A,MATCH($A2290,'Smelter Reference List'!$E:$E,0)))</f>
        <v/>
      </c>
      <c r="C2290" s="297" t="str">
        <f>IF(LEN(A2290)=0,"",INDEX('Smelter Reference List'!$C:$C,MATCH($A2290,'Smelter Reference List'!$E:$E,0)))</f>
        <v/>
      </c>
      <c r="D2290" s="161" t="str">
        <f ca="1">IF(ISERROR($S2290),"",OFFSET('Smelter Reference List'!$C$4,$S2290-4,0)&amp;"")</f>
        <v/>
      </c>
      <c r="E2290" s="161" t="str">
        <f ca="1">IF(ISERROR($S2290),"",OFFSET('Smelter Reference List'!$D$4,$S2290-4,0)&amp;"")</f>
        <v/>
      </c>
      <c r="F2290" s="161" t="str">
        <f ca="1">IF(ISERROR($S2290),"",OFFSET('Smelter Reference List'!$E$4,$S2290-4,0))</f>
        <v/>
      </c>
      <c r="G2290" s="161" t="str">
        <f ca="1">IF(C2290=$U$4,"Enter smelter details", IF(ISERROR($S2290),"",OFFSET('Smelter Reference List'!$F$4,$S2290-4,0)))</f>
        <v/>
      </c>
      <c r="H2290" s="247" t="str">
        <f ca="1">IF(ISERROR($S2290),"",OFFSET('Smelter Reference List'!$G$4,$S2290-4,0))</f>
        <v/>
      </c>
      <c r="I2290" s="248" t="str">
        <f ca="1">IF(ISERROR($S2290),"",OFFSET('Smelter Reference List'!$H$4,$S2290-4,0))</f>
        <v/>
      </c>
      <c r="J2290" s="248" t="str">
        <f ca="1">IF(ISERROR($S2290),"",OFFSET('Smelter Reference List'!$I$4,$S2290-4,0))</f>
        <v/>
      </c>
      <c r="K2290" s="245"/>
      <c r="L2290" s="245"/>
      <c r="M2290" s="245"/>
      <c r="N2290" s="245"/>
      <c r="O2290" s="245"/>
      <c r="P2290" s="245"/>
      <c r="Q2290" s="246"/>
      <c r="R2290" s="233"/>
      <c r="S2290" s="234" t="e">
        <f>IF(C2290="",NA(),MATCH($B2290&amp;$C2290,'Smelter Reference List'!$J:$J,0))</f>
        <v>#N/A</v>
      </c>
      <c r="T2290" s="235"/>
      <c r="U2290" s="235">
        <f t="shared" ca="1" si="66"/>
        <v>0</v>
      </c>
      <c r="V2290" s="235"/>
      <c r="W2290" s="235"/>
      <c r="Y2290" s="228" t="str">
        <f t="shared" si="67"/>
        <v/>
      </c>
    </row>
    <row r="2291" spans="1:25" s="228" customFormat="1" ht="20.25">
      <c r="A2291" s="257"/>
      <c r="B2291" s="232" t="str">
        <f>IF(LEN(A2291)=0,"",INDEX('Smelter Reference List'!$A:$A,MATCH($A2291,'Smelter Reference List'!$E:$E,0)))</f>
        <v/>
      </c>
      <c r="C2291" s="297" t="str">
        <f>IF(LEN(A2291)=0,"",INDEX('Smelter Reference List'!$C:$C,MATCH($A2291,'Smelter Reference List'!$E:$E,0)))</f>
        <v/>
      </c>
      <c r="D2291" s="161" t="str">
        <f ca="1">IF(ISERROR($S2291),"",OFFSET('Smelter Reference List'!$C$4,$S2291-4,0)&amp;"")</f>
        <v/>
      </c>
      <c r="E2291" s="161" t="str">
        <f ca="1">IF(ISERROR($S2291),"",OFFSET('Smelter Reference List'!$D$4,$S2291-4,0)&amp;"")</f>
        <v/>
      </c>
      <c r="F2291" s="161" t="str">
        <f ca="1">IF(ISERROR($S2291),"",OFFSET('Smelter Reference List'!$E$4,$S2291-4,0))</f>
        <v/>
      </c>
      <c r="G2291" s="161" t="str">
        <f ca="1">IF(C2291=$U$4,"Enter smelter details", IF(ISERROR($S2291),"",OFFSET('Smelter Reference List'!$F$4,$S2291-4,0)))</f>
        <v/>
      </c>
      <c r="H2291" s="247" t="str">
        <f ca="1">IF(ISERROR($S2291),"",OFFSET('Smelter Reference List'!$G$4,$S2291-4,0))</f>
        <v/>
      </c>
      <c r="I2291" s="248" t="str">
        <f ca="1">IF(ISERROR($S2291),"",OFFSET('Smelter Reference List'!$H$4,$S2291-4,0))</f>
        <v/>
      </c>
      <c r="J2291" s="248" t="str">
        <f ca="1">IF(ISERROR($S2291),"",OFFSET('Smelter Reference List'!$I$4,$S2291-4,0))</f>
        <v/>
      </c>
      <c r="K2291" s="245"/>
      <c r="L2291" s="245"/>
      <c r="M2291" s="245"/>
      <c r="N2291" s="245"/>
      <c r="O2291" s="245"/>
      <c r="P2291" s="245"/>
      <c r="Q2291" s="246"/>
      <c r="R2291" s="233"/>
      <c r="S2291" s="234" t="e">
        <f>IF(C2291="",NA(),MATCH($B2291&amp;$C2291,'Smelter Reference List'!$J:$J,0))</f>
        <v>#N/A</v>
      </c>
      <c r="T2291" s="235"/>
      <c r="U2291" s="235">
        <f t="shared" ca="1" si="66"/>
        <v>0</v>
      </c>
      <c r="V2291" s="235"/>
      <c r="W2291" s="235"/>
      <c r="Y2291" s="228" t="str">
        <f t="shared" si="67"/>
        <v/>
      </c>
    </row>
    <row r="2292" spans="1:25" s="228" customFormat="1" ht="20.25">
      <c r="A2292" s="257"/>
      <c r="B2292" s="232" t="str">
        <f>IF(LEN(A2292)=0,"",INDEX('Smelter Reference List'!$A:$A,MATCH($A2292,'Smelter Reference List'!$E:$E,0)))</f>
        <v/>
      </c>
      <c r="C2292" s="297" t="str">
        <f>IF(LEN(A2292)=0,"",INDEX('Smelter Reference List'!$C:$C,MATCH($A2292,'Smelter Reference List'!$E:$E,0)))</f>
        <v/>
      </c>
      <c r="D2292" s="161" t="str">
        <f ca="1">IF(ISERROR($S2292),"",OFFSET('Smelter Reference List'!$C$4,$S2292-4,0)&amp;"")</f>
        <v/>
      </c>
      <c r="E2292" s="161" t="str">
        <f ca="1">IF(ISERROR($S2292),"",OFFSET('Smelter Reference List'!$D$4,$S2292-4,0)&amp;"")</f>
        <v/>
      </c>
      <c r="F2292" s="161" t="str">
        <f ca="1">IF(ISERROR($S2292),"",OFFSET('Smelter Reference List'!$E$4,$S2292-4,0))</f>
        <v/>
      </c>
      <c r="G2292" s="161" t="str">
        <f ca="1">IF(C2292=$U$4,"Enter smelter details", IF(ISERROR($S2292),"",OFFSET('Smelter Reference List'!$F$4,$S2292-4,0)))</f>
        <v/>
      </c>
      <c r="H2292" s="247" t="str">
        <f ca="1">IF(ISERROR($S2292),"",OFFSET('Smelter Reference List'!$G$4,$S2292-4,0))</f>
        <v/>
      </c>
      <c r="I2292" s="248" t="str">
        <f ca="1">IF(ISERROR($S2292),"",OFFSET('Smelter Reference List'!$H$4,$S2292-4,0))</f>
        <v/>
      </c>
      <c r="J2292" s="248" t="str">
        <f ca="1">IF(ISERROR($S2292),"",OFFSET('Smelter Reference List'!$I$4,$S2292-4,0))</f>
        <v/>
      </c>
      <c r="K2292" s="245"/>
      <c r="L2292" s="245"/>
      <c r="M2292" s="245"/>
      <c r="N2292" s="245"/>
      <c r="O2292" s="245"/>
      <c r="P2292" s="245"/>
      <c r="Q2292" s="246"/>
      <c r="R2292" s="233"/>
      <c r="S2292" s="234" t="e">
        <f>IF(C2292="",NA(),MATCH($B2292&amp;$C2292,'Smelter Reference List'!$J:$J,0))</f>
        <v>#N/A</v>
      </c>
      <c r="T2292" s="235"/>
      <c r="U2292" s="235">
        <f t="shared" ca="1" si="66"/>
        <v>0</v>
      </c>
      <c r="V2292" s="235"/>
      <c r="W2292" s="235"/>
      <c r="Y2292" s="228" t="str">
        <f t="shared" si="67"/>
        <v/>
      </c>
    </row>
    <row r="2293" spans="1:25" s="228" customFormat="1" ht="20.25">
      <c r="A2293" s="257"/>
      <c r="B2293" s="232" t="str">
        <f>IF(LEN(A2293)=0,"",INDEX('Smelter Reference List'!$A:$A,MATCH($A2293,'Smelter Reference List'!$E:$E,0)))</f>
        <v/>
      </c>
      <c r="C2293" s="297" t="str">
        <f>IF(LEN(A2293)=0,"",INDEX('Smelter Reference List'!$C:$C,MATCH($A2293,'Smelter Reference List'!$E:$E,0)))</f>
        <v/>
      </c>
      <c r="D2293" s="161" t="str">
        <f ca="1">IF(ISERROR($S2293),"",OFFSET('Smelter Reference List'!$C$4,$S2293-4,0)&amp;"")</f>
        <v/>
      </c>
      <c r="E2293" s="161" t="str">
        <f ca="1">IF(ISERROR($S2293),"",OFFSET('Smelter Reference List'!$D$4,$S2293-4,0)&amp;"")</f>
        <v/>
      </c>
      <c r="F2293" s="161" t="str">
        <f ca="1">IF(ISERROR($S2293),"",OFFSET('Smelter Reference List'!$E$4,$S2293-4,0))</f>
        <v/>
      </c>
      <c r="G2293" s="161" t="str">
        <f ca="1">IF(C2293=$U$4,"Enter smelter details", IF(ISERROR($S2293),"",OFFSET('Smelter Reference List'!$F$4,$S2293-4,0)))</f>
        <v/>
      </c>
      <c r="H2293" s="247" t="str">
        <f ca="1">IF(ISERROR($S2293),"",OFFSET('Smelter Reference List'!$G$4,$S2293-4,0))</f>
        <v/>
      </c>
      <c r="I2293" s="248" t="str">
        <f ca="1">IF(ISERROR($S2293),"",OFFSET('Smelter Reference List'!$H$4,$S2293-4,0))</f>
        <v/>
      </c>
      <c r="J2293" s="248" t="str">
        <f ca="1">IF(ISERROR($S2293),"",OFFSET('Smelter Reference List'!$I$4,$S2293-4,0))</f>
        <v/>
      </c>
      <c r="K2293" s="245"/>
      <c r="L2293" s="245"/>
      <c r="M2293" s="245"/>
      <c r="N2293" s="245"/>
      <c r="O2293" s="245"/>
      <c r="P2293" s="245"/>
      <c r="Q2293" s="246"/>
      <c r="R2293" s="233"/>
      <c r="S2293" s="234" t="e">
        <f>IF(C2293="",NA(),MATCH($B2293&amp;$C2293,'Smelter Reference List'!$J:$J,0))</f>
        <v>#N/A</v>
      </c>
      <c r="T2293" s="235"/>
      <c r="U2293" s="235">
        <f t="shared" ca="1" si="66"/>
        <v>0</v>
      </c>
      <c r="V2293" s="235"/>
      <c r="W2293" s="235"/>
      <c r="Y2293" s="228" t="str">
        <f t="shared" si="67"/>
        <v/>
      </c>
    </row>
    <row r="2294" spans="1:25" s="228" customFormat="1" ht="20.25">
      <c r="A2294" s="257"/>
      <c r="B2294" s="232" t="str">
        <f>IF(LEN(A2294)=0,"",INDEX('Smelter Reference List'!$A:$A,MATCH($A2294,'Smelter Reference List'!$E:$E,0)))</f>
        <v/>
      </c>
      <c r="C2294" s="297" t="str">
        <f>IF(LEN(A2294)=0,"",INDEX('Smelter Reference List'!$C:$C,MATCH($A2294,'Smelter Reference List'!$E:$E,0)))</f>
        <v/>
      </c>
      <c r="D2294" s="161" t="str">
        <f ca="1">IF(ISERROR($S2294),"",OFFSET('Smelter Reference List'!$C$4,$S2294-4,0)&amp;"")</f>
        <v/>
      </c>
      <c r="E2294" s="161" t="str">
        <f ca="1">IF(ISERROR($S2294),"",OFFSET('Smelter Reference List'!$D$4,$S2294-4,0)&amp;"")</f>
        <v/>
      </c>
      <c r="F2294" s="161" t="str">
        <f ca="1">IF(ISERROR($S2294),"",OFFSET('Smelter Reference List'!$E$4,$S2294-4,0))</f>
        <v/>
      </c>
      <c r="G2294" s="161" t="str">
        <f ca="1">IF(C2294=$U$4,"Enter smelter details", IF(ISERROR($S2294),"",OFFSET('Smelter Reference List'!$F$4,$S2294-4,0)))</f>
        <v/>
      </c>
      <c r="H2294" s="247" t="str">
        <f ca="1">IF(ISERROR($S2294),"",OFFSET('Smelter Reference List'!$G$4,$S2294-4,0))</f>
        <v/>
      </c>
      <c r="I2294" s="248" t="str">
        <f ca="1">IF(ISERROR($S2294),"",OFFSET('Smelter Reference List'!$H$4,$S2294-4,0))</f>
        <v/>
      </c>
      <c r="J2294" s="248" t="str">
        <f ca="1">IF(ISERROR($S2294),"",OFFSET('Smelter Reference List'!$I$4,$S2294-4,0))</f>
        <v/>
      </c>
      <c r="K2294" s="245"/>
      <c r="L2294" s="245"/>
      <c r="M2294" s="245"/>
      <c r="N2294" s="245"/>
      <c r="O2294" s="245"/>
      <c r="P2294" s="245"/>
      <c r="Q2294" s="246"/>
      <c r="R2294" s="233"/>
      <c r="S2294" s="234" t="e">
        <f>IF(C2294="",NA(),MATCH($B2294&amp;$C2294,'Smelter Reference List'!$J:$J,0))</f>
        <v>#N/A</v>
      </c>
      <c r="T2294" s="235"/>
      <c r="U2294" s="235">
        <f t="shared" ca="1" si="66"/>
        <v>0</v>
      </c>
      <c r="V2294" s="235"/>
      <c r="W2294" s="235"/>
      <c r="Y2294" s="228" t="str">
        <f t="shared" si="67"/>
        <v/>
      </c>
    </row>
    <row r="2295" spans="1:25" s="228" customFormat="1" ht="20.25">
      <c r="A2295" s="257"/>
      <c r="B2295" s="232" t="str">
        <f>IF(LEN(A2295)=0,"",INDEX('Smelter Reference List'!$A:$A,MATCH($A2295,'Smelter Reference List'!$E:$E,0)))</f>
        <v/>
      </c>
      <c r="C2295" s="297" t="str">
        <f>IF(LEN(A2295)=0,"",INDEX('Smelter Reference List'!$C:$C,MATCH($A2295,'Smelter Reference List'!$E:$E,0)))</f>
        <v/>
      </c>
      <c r="D2295" s="161" t="str">
        <f ca="1">IF(ISERROR($S2295),"",OFFSET('Smelter Reference List'!$C$4,$S2295-4,0)&amp;"")</f>
        <v/>
      </c>
      <c r="E2295" s="161" t="str">
        <f ca="1">IF(ISERROR($S2295),"",OFFSET('Smelter Reference List'!$D$4,$S2295-4,0)&amp;"")</f>
        <v/>
      </c>
      <c r="F2295" s="161" t="str">
        <f ca="1">IF(ISERROR($S2295),"",OFFSET('Smelter Reference List'!$E$4,$S2295-4,0))</f>
        <v/>
      </c>
      <c r="G2295" s="161" t="str">
        <f ca="1">IF(C2295=$U$4,"Enter smelter details", IF(ISERROR($S2295),"",OFFSET('Smelter Reference List'!$F$4,$S2295-4,0)))</f>
        <v/>
      </c>
      <c r="H2295" s="247" t="str">
        <f ca="1">IF(ISERROR($S2295),"",OFFSET('Smelter Reference List'!$G$4,$S2295-4,0))</f>
        <v/>
      </c>
      <c r="I2295" s="248" t="str">
        <f ca="1">IF(ISERROR($S2295),"",OFFSET('Smelter Reference List'!$H$4,$S2295-4,0))</f>
        <v/>
      </c>
      <c r="J2295" s="248" t="str">
        <f ca="1">IF(ISERROR($S2295),"",OFFSET('Smelter Reference List'!$I$4,$S2295-4,0))</f>
        <v/>
      </c>
      <c r="K2295" s="245"/>
      <c r="L2295" s="245"/>
      <c r="M2295" s="245"/>
      <c r="N2295" s="245"/>
      <c r="O2295" s="245"/>
      <c r="P2295" s="245"/>
      <c r="Q2295" s="246"/>
      <c r="R2295" s="233"/>
      <c r="S2295" s="234" t="e">
        <f>IF(C2295="",NA(),MATCH($B2295&amp;$C2295,'Smelter Reference List'!$J:$J,0))</f>
        <v>#N/A</v>
      </c>
      <c r="T2295" s="235"/>
      <c r="U2295" s="235">
        <f t="shared" ca="1" si="66"/>
        <v>0</v>
      </c>
      <c r="V2295" s="235"/>
      <c r="W2295" s="235"/>
      <c r="Y2295" s="228" t="str">
        <f t="shared" si="67"/>
        <v/>
      </c>
    </row>
    <row r="2296" spans="1:25" s="228" customFormat="1" ht="20.25">
      <c r="A2296" s="257"/>
      <c r="B2296" s="232" t="str">
        <f>IF(LEN(A2296)=0,"",INDEX('Smelter Reference List'!$A:$A,MATCH($A2296,'Smelter Reference List'!$E:$E,0)))</f>
        <v/>
      </c>
      <c r="C2296" s="297" t="str">
        <f>IF(LEN(A2296)=0,"",INDEX('Smelter Reference List'!$C:$C,MATCH($A2296,'Smelter Reference List'!$E:$E,0)))</f>
        <v/>
      </c>
      <c r="D2296" s="161" t="str">
        <f ca="1">IF(ISERROR($S2296),"",OFFSET('Smelter Reference List'!$C$4,$S2296-4,0)&amp;"")</f>
        <v/>
      </c>
      <c r="E2296" s="161" t="str">
        <f ca="1">IF(ISERROR($S2296),"",OFFSET('Smelter Reference List'!$D$4,$S2296-4,0)&amp;"")</f>
        <v/>
      </c>
      <c r="F2296" s="161" t="str">
        <f ca="1">IF(ISERROR($S2296),"",OFFSET('Smelter Reference List'!$E$4,$S2296-4,0))</f>
        <v/>
      </c>
      <c r="G2296" s="161" t="str">
        <f ca="1">IF(C2296=$U$4,"Enter smelter details", IF(ISERROR($S2296),"",OFFSET('Smelter Reference List'!$F$4,$S2296-4,0)))</f>
        <v/>
      </c>
      <c r="H2296" s="247" t="str">
        <f ca="1">IF(ISERROR($S2296),"",OFFSET('Smelter Reference List'!$G$4,$S2296-4,0))</f>
        <v/>
      </c>
      <c r="I2296" s="248" t="str">
        <f ca="1">IF(ISERROR($S2296),"",OFFSET('Smelter Reference List'!$H$4,$S2296-4,0))</f>
        <v/>
      </c>
      <c r="J2296" s="248" t="str">
        <f ca="1">IF(ISERROR($S2296),"",OFFSET('Smelter Reference List'!$I$4,$S2296-4,0))</f>
        <v/>
      </c>
      <c r="K2296" s="245"/>
      <c r="L2296" s="245"/>
      <c r="M2296" s="245"/>
      <c r="N2296" s="245"/>
      <c r="O2296" s="245"/>
      <c r="P2296" s="245"/>
      <c r="Q2296" s="246"/>
      <c r="R2296" s="233"/>
      <c r="S2296" s="234" t="e">
        <f>IF(C2296="",NA(),MATCH($B2296&amp;$C2296,'Smelter Reference List'!$J:$J,0))</f>
        <v>#N/A</v>
      </c>
      <c r="T2296" s="235"/>
      <c r="U2296" s="235">
        <f t="shared" ca="1" si="66"/>
        <v>0</v>
      </c>
      <c r="V2296" s="235"/>
      <c r="W2296" s="235"/>
      <c r="Y2296" s="228" t="str">
        <f t="shared" si="67"/>
        <v/>
      </c>
    </row>
    <row r="2297" spans="1:25" s="228" customFormat="1" ht="20.25">
      <c r="A2297" s="257"/>
      <c r="B2297" s="232" t="str">
        <f>IF(LEN(A2297)=0,"",INDEX('Smelter Reference List'!$A:$A,MATCH($A2297,'Smelter Reference List'!$E:$E,0)))</f>
        <v/>
      </c>
      <c r="C2297" s="297" t="str">
        <f>IF(LEN(A2297)=0,"",INDEX('Smelter Reference List'!$C:$C,MATCH($A2297,'Smelter Reference List'!$E:$E,0)))</f>
        <v/>
      </c>
      <c r="D2297" s="161" t="str">
        <f ca="1">IF(ISERROR($S2297),"",OFFSET('Smelter Reference List'!$C$4,$S2297-4,0)&amp;"")</f>
        <v/>
      </c>
      <c r="E2297" s="161" t="str">
        <f ca="1">IF(ISERROR($S2297),"",OFFSET('Smelter Reference List'!$D$4,$S2297-4,0)&amp;"")</f>
        <v/>
      </c>
      <c r="F2297" s="161" t="str">
        <f ca="1">IF(ISERROR($S2297),"",OFFSET('Smelter Reference List'!$E$4,$S2297-4,0))</f>
        <v/>
      </c>
      <c r="G2297" s="161" t="str">
        <f ca="1">IF(C2297=$U$4,"Enter smelter details", IF(ISERROR($S2297),"",OFFSET('Smelter Reference List'!$F$4,$S2297-4,0)))</f>
        <v/>
      </c>
      <c r="H2297" s="247" t="str">
        <f ca="1">IF(ISERROR($S2297),"",OFFSET('Smelter Reference List'!$G$4,$S2297-4,0))</f>
        <v/>
      </c>
      <c r="I2297" s="248" t="str">
        <f ca="1">IF(ISERROR($S2297),"",OFFSET('Smelter Reference List'!$H$4,$S2297-4,0))</f>
        <v/>
      </c>
      <c r="J2297" s="248" t="str">
        <f ca="1">IF(ISERROR($S2297),"",OFFSET('Smelter Reference List'!$I$4,$S2297-4,0))</f>
        <v/>
      </c>
      <c r="K2297" s="245"/>
      <c r="L2297" s="245"/>
      <c r="M2297" s="245"/>
      <c r="N2297" s="245"/>
      <c r="O2297" s="245"/>
      <c r="P2297" s="245"/>
      <c r="Q2297" s="246"/>
      <c r="R2297" s="233"/>
      <c r="S2297" s="234" t="e">
        <f>IF(C2297="",NA(),MATCH($B2297&amp;$C2297,'Smelter Reference List'!$J:$J,0))</f>
        <v>#N/A</v>
      </c>
      <c r="T2297" s="235"/>
      <c r="U2297" s="235">
        <f t="shared" ca="1" si="66"/>
        <v>0</v>
      </c>
      <c r="V2297" s="235"/>
      <c r="W2297" s="235"/>
      <c r="Y2297" s="228" t="str">
        <f t="shared" si="67"/>
        <v/>
      </c>
    </row>
    <row r="2298" spans="1:25" s="228" customFormat="1" ht="20.25">
      <c r="A2298" s="257"/>
      <c r="B2298" s="232" t="str">
        <f>IF(LEN(A2298)=0,"",INDEX('Smelter Reference List'!$A:$A,MATCH($A2298,'Smelter Reference List'!$E:$E,0)))</f>
        <v/>
      </c>
      <c r="C2298" s="297" t="str">
        <f>IF(LEN(A2298)=0,"",INDEX('Smelter Reference List'!$C:$C,MATCH($A2298,'Smelter Reference List'!$E:$E,0)))</f>
        <v/>
      </c>
      <c r="D2298" s="161" t="str">
        <f ca="1">IF(ISERROR($S2298),"",OFFSET('Smelter Reference List'!$C$4,$S2298-4,0)&amp;"")</f>
        <v/>
      </c>
      <c r="E2298" s="161" t="str">
        <f ca="1">IF(ISERROR($S2298),"",OFFSET('Smelter Reference List'!$D$4,$S2298-4,0)&amp;"")</f>
        <v/>
      </c>
      <c r="F2298" s="161" t="str">
        <f ca="1">IF(ISERROR($S2298),"",OFFSET('Smelter Reference List'!$E$4,$S2298-4,0))</f>
        <v/>
      </c>
      <c r="G2298" s="161" t="str">
        <f ca="1">IF(C2298=$U$4,"Enter smelter details", IF(ISERROR($S2298),"",OFFSET('Smelter Reference List'!$F$4,$S2298-4,0)))</f>
        <v/>
      </c>
      <c r="H2298" s="247" t="str">
        <f ca="1">IF(ISERROR($S2298),"",OFFSET('Smelter Reference List'!$G$4,$S2298-4,0))</f>
        <v/>
      </c>
      <c r="I2298" s="248" t="str">
        <f ca="1">IF(ISERROR($S2298),"",OFFSET('Smelter Reference List'!$H$4,$S2298-4,0))</f>
        <v/>
      </c>
      <c r="J2298" s="248" t="str">
        <f ca="1">IF(ISERROR($S2298),"",OFFSET('Smelter Reference List'!$I$4,$S2298-4,0))</f>
        <v/>
      </c>
      <c r="K2298" s="245"/>
      <c r="L2298" s="245"/>
      <c r="M2298" s="245"/>
      <c r="N2298" s="245"/>
      <c r="O2298" s="245"/>
      <c r="P2298" s="245"/>
      <c r="Q2298" s="246"/>
      <c r="R2298" s="233"/>
      <c r="S2298" s="234" t="e">
        <f>IF(C2298="",NA(),MATCH($B2298&amp;$C2298,'Smelter Reference List'!$J:$J,0))</f>
        <v>#N/A</v>
      </c>
      <c r="T2298" s="235"/>
      <c r="U2298" s="235">
        <f t="shared" ca="1" si="66"/>
        <v>0</v>
      </c>
      <c r="V2298" s="235"/>
      <c r="W2298" s="235"/>
      <c r="Y2298" s="228" t="str">
        <f t="shared" si="67"/>
        <v/>
      </c>
    </row>
    <row r="2299" spans="1:25" s="228" customFormat="1" ht="20.25">
      <c r="A2299" s="257"/>
      <c r="B2299" s="232" t="str">
        <f>IF(LEN(A2299)=0,"",INDEX('Smelter Reference List'!$A:$A,MATCH($A2299,'Smelter Reference List'!$E:$E,0)))</f>
        <v/>
      </c>
      <c r="C2299" s="297" t="str">
        <f>IF(LEN(A2299)=0,"",INDEX('Smelter Reference List'!$C:$C,MATCH($A2299,'Smelter Reference List'!$E:$E,0)))</f>
        <v/>
      </c>
      <c r="D2299" s="161" t="str">
        <f ca="1">IF(ISERROR($S2299),"",OFFSET('Smelter Reference List'!$C$4,$S2299-4,0)&amp;"")</f>
        <v/>
      </c>
      <c r="E2299" s="161" t="str">
        <f ca="1">IF(ISERROR($S2299),"",OFFSET('Smelter Reference List'!$D$4,$S2299-4,0)&amp;"")</f>
        <v/>
      </c>
      <c r="F2299" s="161" t="str">
        <f ca="1">IF(ISERROR($S2299),"",OFFSET('Smelter Reference List'!$E$4,$S2299-4,0))</f>
        <v/>
      </c>
      <c r="G2299" s="161" t="str">
        <f ca="1">IF(C2299=$U$4,"Enter smelter details", IF(ISERROR($S2299),"",OFFSET('Smelter Reference List'!$F$4,$S2299-4,0)))</f>
        <v/>
      </c>
      <c r="H2299" s="247" t="str">
        <f ca="1">IF(ISERROR($S2299),"",OFFSET('Smelter Reference List'!$G$4,$S2299-4,0))</f>
        <v/>
      </c>
      <c r="I2299" s="248" t="str">
        <f ca="1">IF(ISERROR($S2299),"",OFFSET('Smelter Reference List'!$H$4,$S2299-4,0))</f>
        <v/>
      </c>
      <c r="J2299" s="248" t="str">
        <f ca="1">IF(ISERROR($S2299),"",OFFSET('Smelter Reference List'!$I$4,$S2299-4,0))</f>
        <v/>
      </c>
      <c r="K2299" s="245"/>
      <c r="L2299" s="245"/>
      <c r="M2299" s="245"/>
      <c r="N2299" s="245"/>
      <c r="O2299" s="245"/>
      <c r="P2299" s="245"/>
      <c r="Q2299" s="246"/>
      <c r="R2299" s="233"/>
      <c r="S2299" s="234" t="e">
        <f>IF(C2299="",NA(),MATCH($B2299&amp;$C2299,'Smelter Reference List'!$J:$J,0))</f>
        <v>#N/A</v>
      </c>
      <c r="T2299" s="235"/>
      <c r="U2299" s="235">
        <f t="shared" ca="1" si="66"/>
        <v>0</v>
      </c>
      <c r="V2299" s="235"/>
      <c r="W2299" s="235"/>
      <c r="Y2299" s="228" t="str">
        <f t="shared" si="67"/>
        <v/>
      </c>
    </row>
    <row r="2300" spans="1:25" s="228" customFormat="1" ht="20.25">
      <c r="A2300" s="257"/>
      <c r="B2300" s="232" t="str">
        <f>IF(LEN(A2300)=0,"",INDEX('Smelter Reference List'!$A:$A,MATCH($A2300,'Smelter Reference List'!$E:$E,0)))</f>
        <v/>
      </c>
      <c r="C2300" s="297" t="str">
        <f>IF(LEN(A2300)=0,"",INDEX('Smelter Reference List'!$C:$C,MATCH($A2300,'Smelter Reference List'!$E:$E,0)))</f>
        <v/>
      </c>
      <c r="D2300" s="161" t="str">
        <f ca="1">IF(ISERROR($S2300),"",OFFSET('Smelter Reference List'!$C$4,$S2300-4,0)&amp;"")</f>
        <v/>
      </c>
      <c r="E2300" s="161" t="str">
        <f ca="1">IF(ISERROR($S2300),"",OFFSET('Smelter Reference List'!$D$4,$S2300-4,0)&amp;"")</f>
        <v/>
      </c>
      <c r="F2300" s="161" t="str">
        <f ca="1">IF(ISERROR($S2300),"",OFFSET('Smelter Reference List'!$E$4,$S2300-4,0))</f>
        <v/>
      </c>
      <c r="G2300" s="161" t="str">
        <f ca="1">IF(C2300=$U$4,"Enter smelter details", IF(ISERROR($S2300),"",OFFSET('Smelter Reference List'!$F$4,$S2300-4,0)))</f>
        <v/>
      </c>
      <c r="H2300" s="247" t="str">
        <f ca="1">IF(ISERROR($S2300),"",OFFSET('Smelter Reference List'!$G$4,$S2300-4,0))</f>
        <v/>
      </c>
      <c r="I2300" s="248" t="str">
        <f ca="1">IF(ISERROR($S2300),"",OFFSET('Smelter Reference List'!$H$4,$S2300-4,0))</f>
        <v/>
      </c>
      <c r="J2300" s="248" t="str">
        <f ca="1">IF(ISERROR($S2300),"",OFFSET('Smelter Reference List'!$I$4,$S2300-4,0))</f>
        <v/>
      </c>
      <c r="K2300" s="245"/>
      <c r="L2300" s="245"/>
      <c r="M2300" s="245"/>
      <c r="N2300" s="245"/>
      <c r="O2300" s="245"/>
      <c r="P2300" s="245"/>
      <c r="Q2300" s="246"/>
      <c r="R2300" s="233"/>
      <c r="S2300" s="234" t="e">
        <f>IF(C2300="",NA(),MATCH($B2300&amp;$C2300,'Smelter Reference List'!$J:$J,0))</f>
        <v>#N/A</v>
      </c>
      <c r="T2300" s="235"/>
      <c r="U2300" s="235">
        <f t="shared" ca="1" si="66"/>
        <v>0</v>
      </c>
      <c r="V2300" s="235"/>
      <c r="W2300" s="235"/>
      <c r="Y2300" s="228" t="str">
        <f t="shared" si="67"/>
        <v/>
      </c>
    </row>
    <row r="2301" spans="1:25" s="228" customFormat="1" ht="20.25">
      <c r="A2301" s="257"/>
      <c r="B2301" s="232" t="str">
        <f>IF(LEN(A2301)=0,"",INDEX('Smelter Reference List'!$A:$A,MATCH($A2301,'Smelter Reference List'!$E:$E,0)))</f>
        <v/>
      </c>
      <c r="C2301" s="297" t="str">
        <f>IF(LEN(A2301)=0,"",INDEX('Smelter Reference List'!$C:$C,MATCH($A2301,'Smelter Reference List'!$E:$E,0)))</f>
        <v/>
      </c>
      <c r="D2301" s="161" t="str">
        <f ca="1">IF(ISERROR($S2301),"",OFFSET('Smelter Reference List'!$C$4,$S2301-4,0)&amp;"")</f>
        <v/>
      </c>
      <c r="E2301" s="161" t="str">
        <f ca="1">IF(ISERROR($S2301),"",OFFSET('Smelter Reference List'!$D$4,$S2301-4,0)&amp;"")</f>
        <v/>
      </c>
      <c r="F2301" s="161" t="str">
        <f ca="1">IF(ISERROR($S2301),"",OFFSET('Smelter Reference List'!$E$4,$S2301-4,0))</f>
        <v/>
      </c>
      <c r="G2301" s="161" t="str">
        <f ca="1">IF(C2301=$U$4,"Enter smelter details", IF(ISERROR($S2301),"",OFFSET('Smelter Reference List'!$F$4,$S2301-4,0)))</f>
        <v/>
      </c>
      <c r="H2301" s="247" t="str">
        <f ca="1">IF(ISERROR($S2301),"",OFFSET('Smelter Reference List'!$G$4,$S2301-4,0))</f>
        <v/>
      </c>
      <c r="I2301" s="248" t="str">
        <f ca="1">IF(ISERROR($S2301),"",OFFSET('Smelter Reference List'!$H$4,$S2301-4,0))</f>
        <v/>
      </c>
      <c r="J2301" s="248" t="str">
        <f ca="1">IF(ISERROR($S2301),"",OFFSET('Smelter Reference List'!$I$4,$S2301-4,0))</f>
        <v/>
      </c>
      <c r="K2301" s="245"/>
      <c r="L2301" s="245"/>
      <c r="M2301" s="245"/>
      <c r="N2301" s="245"/>
      <c r="O2301" s="245"/>
      <c r="P2301" s="245"/>
      <c r="Q2301" s="246"/>
      <c r="R2301" s="233"/>
      <c r="S2301" s="234" t="e">
        <f>IF(C2301="",NA(),MATCH($B2301&amp;$C2301,'Smelter Reference List'!$J:$J,0))</f>
        <v>#N/A</v>
      </c>
      <c r="T2301" s="235"/>
      <c r="U2301" s="235">
        <f t="shared" ca="1" si="66"/>
        <v>0</v>
      </c>
      <c r="V2301" s="235"/>
      <c r="W2301" s="235"/>
      <c r="Y2301" s="228" t="str">
        <f t="shared" si="67"/>
        <v/>
      </c>
    </row>
    <row r="2302" spans="1:25" s="228" customFormat="1" ht="20.25">
      <c r="A2302" s="257"/>
      <c r="B2302" s="232" t="str">
        <f>IF(LEN(A2302)=0,"",INDEX('Smelter Reference List'!$A:$A,MATCH($A2302,'Smelter Reference List'!$E:$E,0)))</f>
        <v/>
      </c>
      <c r="C2302" s="297" t="str">
        <f>IF(LEN(A2302)=0,"",INDEX('Smelter Reference List'!$C:$C,MATCH($A2302,'Smelter Reference List'!$E:$E,0)))</f>
        <v/>
      </c>
      <c r="D2302" s="161" t="str">
        <f ca="1">IF(ISERROR($S2302),"",OFFSET('Smelter Reference List'!$C$4,$S2302-4,0)&amp;"")</f>
        <v/>
      </c>
      <c r="E2302" s="161" t="str">
        <f ca="1">IF(ISERROR($S2302),"",OFFSET('Smelter Reference List'!$D$4,$S2302-4,0)&amp;"")</f>
        <v/>
      </c>
      <c r="F2302" s="161" t="str">
        <f ca="1">IF(ISERROR($S2302),"",OFFSET('Smelter Reference List'!$E$4,$S2302-4,0))</f>
        <v/>
      </c>
      <c r="G2302" s="161" t="str">
        <f ca="1">IF(C2302=$U$4,"Enter smelter details", IF(ISERROR($S2302),"",OFFSET('Smelter Reference List'!$F$4,$S2302-4,0)))</f>
        <v/>
      </c>
      <c r="H2302" s="247" t="str">
        <f ca="1">IF(ISERROR($S2302),"",OFFSET('Smelter Reference List'!$G$4,$S2302-4,0))</f>
        <v/>
      </c>
      <c r="I2302" s="248" t="str">
        <f ca="1">IF(ISERROR($S2302),"",OFFSET('Smelter Reference List'!$H$4,$S2302-4,0))</f>
        <v/>
      </c>
      <c r="J2302" s="248" t="str">
        <f ca="1">IF(ISERROR($S2302),"",OFFSET('Smelter Reference List'!$I$4,$S2302-4,0))</f>
        <v/>
      </c>
      <c r="K2302" s="245"/>
      <c r="L2302" s="245"/>
      <c r="M2302" s="245"/>
      <c r="N2302" s="245"/>
      <c r="O2302" s="245"/>
      <c r="P2302" s="245"/>
      <c r="Q2302" s="246"/>
      <c r="R2302" s="233"/>
      <c r="S2302" s="234" t="e">
        <f>IF(C2302="",NA(),MATCH($B2302&amp;$C2302,'Smelter Reference List'!$J:$J,0))</f>
        <v>#N/A</v>
      </c>
      <c r="T2302" s="235"/>
      <c r="U2302" s="235">
        <f t="shared" ca="1" si="66"/>
        <v>0</v>
      </c>
      <c r="V2302" s="235"/>
      <c r="W2302" s="235"/>
      <c r="Y2302" s="228" t="str">
        <f t="shared" si="67"/>
        <v/>
      </c>
    </row>
    <row r="2303" spans="1:25" s="228" customFormat="1" ht="20.25">
      <c r="A2303" s="257"/>
      <c r="B2303" s="232" t="str">
        <f>IF(LEN(A2303)=0,"",INDEX('Smelter Reference List'!$A:$A,MATCH($A2303,'Smelter Reference List'!$E:$E,0)))</f>
        <v/>
      </c>
      <c r="C2303" s="297" t="str">
        <f>IF(LEN(A2303)=0,"",INDEX('Smelter Reference List'!$C:$C,MATCH($A2303,'Smelter Reference List'!$E:$E,0)))</f>
        <v/>
      </c>
      <c r="D2303" s="161" t="str">
        <f ca="1">IF(ISERROR($S2303),"",OFFSET('Smelter Reference List'!$C$4,$S2303-4,0)&amp;"")</f>
        <v/>
      </c>
      <c r="E2303" s="161" t="str">
        <f ca="1">IF(ISERROR($S2303),"",OFFSET('Smelter Reference List'!$D$4,$S2303-4,0)&amp;"")</f>
        <v/>
      </c>
      <c r="F2303" s="161" t="str">
        <f ca="1">IF(ISERROR($S2303),"",OFFSET('Smelter Reference List'!$E$4,$S2303-4,0))</f>
        <v/>
      </c>
      <c r="G2303" s="161" t="str">
        <f ca="1">IF(C2303=$U$4,"Enter smelter details", IF(ISERROR($S2303),"",OFFSET('Smelter Reference List'!$F$4,$S2303-4,0)))</f>
        <v/>
      </c>
      <c r="H2303" s="247" t="str">
        <f ca="1">IF(ISERROR($S2303),"",OFFSET('Smelter Reference List'!$G$4,$S2303-4,0))</f>
        <v/>
      </c>
      <c r="I2303" s="248" t="str">
        <f ca="1">IF(ISERROR($S2303),"",OFFSET('Smelter Reference List'!$H$4,$S2303-4,0))</f>
        <v/>
      </c>
      <c r="J2303" s="248" t="str">
        <f ca="1">IF(ISERROR($S2303),"",OFFSET('Smelter Reference List'!$I$4,$S2303-4,0))</f>
        <v/>
      </c>
      <c r="K2303" s="245"/>
      <c r="L2303" s="245"/>
      <c r="M2303" s="245"/>
      <c r="N2303" s="245"/>
      <c r="O2303" s="245"/>
      <c r="P2303" s="245"/>
      <c r="Q2303" s="246"/>
      <c r="R2303" s="233"/>
      <c r="S2303" s="234" t="e">
        <f>IF(C2303="",NA(),MATCH($B2303&amp;$C2303,'Smelter Reference List'!$J:$J,0))</f>
        <v>#N/A</v>
      </c>
      <c r="T2303" s="235"/>
      <c r="U2303" s="235">
        <f t="shared" ca="1" si="66"/>
        <v>0</v>
      </c>
      <c r="V2303" s="235"/>
      <c r="W2303" s="235"/>
      <c r="Y2303" s="228" t="str">
        <f t="shared" si="67"/>
        <v/>
      </c>
    </row>
    <row r="2304" spans="1:25" s="228" customFormat="1" ht="20.25">
      <c r="A2304" s="257"/>
      <c r="B2304" s="232" t="str">
        <f>IF(LEN(A2304)=0,"",INDEX('Smelter Reference List'!$A:$A,MATCH($A2304,'Smelter Reference List'!$E:$E,0)))</f>
        <v/>
      </c>
      <c r="C2304" s="297" t="str">
        <f>IF(LEN(A2304)=0,"",INDEX('Smelter Reference List'!$C:$C,MATCH($A2304,'Smelter Reference List'!$E:$E,0)))</f>
        <v/>
      </c>
      <c r="D2304" s="161" t="str">
        <f ca="1">IF(ISERROR($S2304),"",OFFSET('Smelter Reference List'!$C$4,$S2304-4,0)&amp;"")</f>
        <v/>
      </c>
      <c r="E2304" s="161" t="str">
        <f ca="1">IF(ISERROR($S2304),"",OFFSET('Smelter Reference List'!$D$4,$S2304-4,0)&amp;"")</f>
        <v/>
      </c>
      <c r="F2304" s="161" t="str">
        <f ca="1">IF(ISERROR($S2304),"",OFFSET('Smelter Reference List'!$E$4,$S2304-4,0))</f>
        <v/>
      </c>
      <c r="G2304" s="161" t="str">
        <f ca="1">IF(C2304=$U$4,"Enter smelter details", IF(ISERROR($S2304),"",OFFSET('Smelter Reference List'!$F$4,$S2304-4,0)))</f>
        <v/>
      </c>
      <c r="H2304" s="247" t="str">
        <f ca="1">IF(ISERROR($S2304),"",OFFSET('Smelter Reference List'!$G$4,$S2304-4,0))</f>
        <v/>
      </c>
      <c r="I2304" s="248" t="str">
        <f ca="1">IF(ISERROR($S2304),"",OFFSET('Smelter Reference List'!$H$4,$S2304-4,0))</f>
        <v/>
      </c>
      <c r="J2304" s="248" t="str">
        <f ca="1">IF(ISERROR($S2304),"",OFFSET('Smelter Reference List'!$I$4,$S2304-4,0))</f>
        <v/>
      </c>
      <c r="K2304" s="245"/>
      <c r="L2304" s="245"/>
      <c r="M2304" s="245"/>
      <c r="N2304" s="245"/>
      <c r="O2304" s="245"/>
      <c r="P2304" s="245"/>
      <c r="Q2304" s="246"/>
      <c r="R2304" s="233"/>
      <c r="S2304" s="234" t="e">
        <f>IF(C2304="",NA(),MATCH($B2304&amp;$C2304,'Smelter Reference List'!$J:$J,0))</f>
        <v>#N/A</v>
      </c>
      <c r="T2304" s="235"/>
      <c r="U2304" s="235">
        <f t="shared" ca="1" si="66"/>
        <v>0</v>
      </c>
      <c r="V2304" s="235"/>
      <c r="W2304" s="235"/>
      <c r="Y2304" s="228" t="str">
        <f t="shared" si="67"/>
        <v/>
      </c>
    </row>
    <row r="2305" spans="1:25" s="228" customFormat="1" ht="20.25">
      <c r="A2305" s="257"/>
      <c r="B2305" s="232" t="str">
        <f>IF(LEN(A2305)=0,"",INDEX('Smelter Reference List'!$A:$A,MATCH($A2305,'Smelter Reference List'!$E:$E,0)))</f>
        <v/>
      </c>
      <c r="C2305" s="297" t="str">
        <f>IF(LEN(A2305)=0,"",INDEX('Smelter Reference List'!$C:$C,MATCH($A2305,'Smelter Reference List'!$E:$E,0)))</f>
        <v/>
      </c>
      <c r="D2305" s="161" t="str">
        <f ca="1">IF(ISERROR($S2305),"",OFFSET('Smelter Reference List'!$C$4,$S2305-4,0)&amp;"")</f>
        <v/>
      </c>
      <c r="E2305" s="161" t="str">
        <f ca="1">IF(ISERROR($S2305),"",OFFSET('Smelter Reference List'!$D$4,$S2305-4,0)&amp;"")</f>
        <v/>
      </c>
      <c r="F2305" s="161" t="str">
        <f ca="1">IF(ISERROR($S2305),"",OFFSET('Smelter Reference List'!$E$4,$S2305-4,0))</f>
        <v/>
      </c>
      <c r="G2305" s="161" t="str">
        <f ca="1">IF(C2305=$U$4,"Enter smelter details", IF(ISERROR($S2305),"",OFFSET('Smelter Reference List'!$F$4,$S2305-4,0)))</f>
        <v/>
      </c>
      <c r="H2305" s="247" t="str">
        <f ca="1">IF(ISERROR($S2305),"",OFFSET('Smelter Reference List'!$G$4,$S2305-4,0))</f>
        <v/>
      </c>
      <c r="I2305" s="248" t="str">
        <f ca="1">IF(ISERROR($S2305),"",OFFSET('Smelter Reference List'!$H$4,$S2305-4,0))</f>
        <v/>
      </c>
      <c r="J2305" s="248" t="str">
        <f ca="1">IF(ISERROR($S2305),"",OFFSET('Smelter Reference List'!$I$4,$S2305-4,0))</f>
        <v/>
      </c>
      <c r="K2305" s="245"/>
      <c r="L2305" s="245"/>
      <c r="M2305" s="245"/>
      <c r="N2305" s="245"/>
      <c r="O2305" s="245"/>
      <c r="P2305" s="245"/>
      <c r="Q2305" s="246"/>
      <c r="R2305" s="233"/>
      <c r="S2305" s="234" t="e">
        <f>IF(C2305="",NA(),MATCH($B2305&amp;$C2305,'Smelter Reference List'!$J:$J,0))</f>
        <v>#N/A</v>
      </c>
      <c r="T2305" s="235"/>
      <c r="U2305" s="235">
        <f t="shared" ca="1" si="66"/>
        <v>0</v>
      </c>
      <c r="V2305" s="235"/>
      <c r="W2305" s="235"/>
      <c r="Y2305" s="228" t="str">
        <f t="shared" si="67"/>
        <v/>
      </c>
    </row>
    <row r="2306" spans="1:25" s="228" customFormat="1" ht="20.25">
      <c r="A2306" s="257"/>
      <c r="B2306" s="232" t="str">
        <f>IF(LEN(A2306)=0,"",INDEX('Smelter Reference List'!$A:$A,MATCH($A2306,'Smelter Reference List'!$E:$E,0)))</f>
        <v/>
      </c>
      <c r="C2306" s="297" t="str">
        <f>IF(LEN(A2306)=0,"",INDEX('Smelter Reference List'!$C:$C,MATCH($A2306,'Smelter Reference List'!$E:$E,0)))</f>
        <v/>
      </c>
      <c r="D2306" s="161" t="str">
        <f ca="1">IF(ISERROR($S2306),"",OFFSET('Smelter Reference List'!$C$4,$S2306-4,0)&amp;"")</f>
        <v/>
      </c>
      <c r="E2306" s="161" t="str">
        <f ca="1">IF(ISERROR($S2306),"",OFFSET('Smelter Reference List'!$D$4,$S2306-4,0)&amp;"")</f>
        <v/>
      </c>
      <c r="F2306" s="161" t="str">
        <f ca="1">IF(ISERROR($S2306),"",OFFSET('Smelter Reference List'!$E$4,$S2306-4,0))</f>
        <v/>
      </c>
      <c r="G2306" s="161" t="str">
        <f ca="1">IF(C2306=$U$4,"Enter smelter details", IF(ISERROR($S2306),"",OFFSET('Smelter Reference List'!$F$4,$S2306-4,0)))</f>
        <v/>
      </c>
      <c r="H2306" s="247" t="str">
        <f ca="1">IF(ISERROR($S2306),"",OFFSET('Smelter Reference List'!$G$4,$S2306-4,0))</f>
        <v/>
      </c>
      <c r="I2306" s="248" t="str">
        <f ca="1">IF(ISERROR($S2306),"",OFFSET('Smelter Reference List'!$H$4,$S2306-4,0))</f>
        <v/>
      </c>
      <c r="J2306" s="248" t="str">
        <f ca="1">IF(ISERROR($S2306),"",OFFSET('Smelter Reference List'!$I$4,$S2306-4,0))</f>
        <v/>
      </c>
      <c r="K2306" s="245"/>
      <c r="L2306" s="245"/>
      <c r="M2306" s="245"/>
      <c r="N2306" s="245"/>
      <c r="O2306" s="245"/>
      <c r="P2306" s="245"/>
      <c r="Q2306" s="246"/>
      <c r="R2306" s="233"/>
      <c r="S2306" s="234" t="e">
        <f>IF(C2306="",NA(),MATCH($B2306&amp;$C2306,'Smelter Reference List'!$J:$J,0))</f>
        <v>#N/A</v>
      </c>
      <c r="T2306" s="235"/>
      <c r="U2306" s="235">
        <f t="shared" ca="1" si="66"/>
        <v>0</v>
      </c>
      <c r="V2306" s="235"/>
      <c r="W2306" s="235"/>
      <c r="Y2306" s="228" t="str">
        <f t="shared" si="67"/>
        <v/>
      </c>
    </row>
    <row r="2307" spans="1:25" s="228" customFormat="1" ht="20.25">
      <c r="A2307" s="257"/>
      <c r="B2307" s="232" t="str">
        <f>IF(LEN(A2307)=0,"",INDEX('Smelter Reference List'!$A:$A,MATCH($A2307,'Smelter Reference List'!$E:$E,0)))</f>
        <v/>
      </c>
      <c r="C2307" s="297" t="str">
        <f>IF(LEN(A2307)=0,"",INDEX('Smelter Reference List'!$C:$C,MATCH($A2307,'Smelter Reference List'!$E:$E,0)))</f>
        <v/>
      </c>
      <c r="D2307" s="161" t="str">
        <f ca="1">IF(ISERROR($S2307),"",OFFSET('Smelter Reference List'!$C$4,$S2307-4,0)&amp;"")</f>
        <v/>
      </c>
      <c r="E2307" s="161" t="str">
        <f ca="1">IF(ISERROR($S2307),"",OFFSET('Smelter Reference List'!$D$4,$S2307-4,0)&amp;"")</f>
        <v/>
      </c>
      <c r="F2307" s="161" t="str">
        <f ca="1">IF(ISERROR($S2307),"",OFFSET('Smelter Reference List'!$E$4,$S2307-4,0))</f>
        <v/>
      </c>
      <c r="G2307" s="161" t="str">
        <f ca="1">IF(C2307=$U$4,"Enter smelter details", IF(ISERROR($S2307),"",OFFSET('Smelter Reference List'!$F$4,$S2307-4,0)))</f>
        <v/>
      </c>
      <c r="H2307" s="247" t="str">
        <f ca="1">IF(ISERROR($S2307),"",OFFSET('Smelter Reference List'!$G$4,$S2307-4,0))</f>
        <v/>
      </c>
      <c r="I2307" s="248" t="str">
        <f ca="1">IF(ISERROR($S2307),"",OFFSET('Smelter Reference List'!$H$4,$S2307-4,0))</f>
        <v/>
      </c>
      <c r="J2307" s="248" t="str">
        <f ca="1">IF(ISERROR($S2307),"",OFFSET('Smelter Reference List'!$I$4,$S2307-4,0))</f>
        <v/>
      </c>
      <c r="K2307" s="245"/>
      <c r="L2307" s="245"/>
      <c r="M2307" s="245"/>
      <c r="N2307" s="245"/>
      <c r="O2307" s="245"/>
      <c r="P2307" s="245"/>
      <c r="Q2307" s="246"/>
      <c r="R2307" s="233"/>
      <c r="S2307" s="234" t="e">
        <f>IF(C2307="",NA(),MATCH($B2307&amp;$C2307,'Smelter Reference List'!$J:$J,0))</f>
        <v>#N/A</v>
      </c>
      <c r="T2307" s="235"/>
      <c r="U2307" s="235">
        <f t="shared" ca="1" si="66"/>
        <v>0</v>
      </c>
      <c r="V2307" s="235"/>
      <c r="W2307" s="235"/>
      <c r="Y2307" s="228" t="str">
        <f t="shared" si="67"/>
        <v/>
      </c>
    </row>
    <row r="2308" spans="1:25" s="228" customFormat="1" ht="20.25">
      <c r="A2308" s="257"/>
      <c r="B2308" s="232" t="str">
        <f>IF(LEN(A2308)=0,"",INDEX('Smelter Reference List'!$A:$A,MATCH($A2308,'Smelter Reference List'!$E:$E,0)))</f>
        <v/>
      </c>
      <c r="C2308" s="297" t="str">
        <f>IF(LEN(A2308)=0,"",INDEX('Smelter Reference List'!$C:$C,MATCH($A2308,'Smelter Reference List'!$E:$E,0)))</f>
        <v/>
      </c>
      <c r="D2308" s="161" t="str">
        <f ca="1">IF(ISERROR($S2308),"",OFFSET('Smelter Reference List'!$C$4,$S2308-4,0)&amp;"")</f>
        <v/>
      </c>
      <c r="E2308" s="161" t="str">
        <f ca="1">IF(ISERROR($S2308),"",OFFSET('Smelter Reference List'!$D$4,$S2308-4,0)&amp;"")</f>
        <v/>
      </c>
      <c r="F2308" s="161" t="str">
        <f ca="1">IF(ISERROR($S2308),"",OFFSET('Smelter Reference List'!$E$4,$S2308-4,0))</f>
        <v/>
      </c>
      <c r="G2308" s="161" t="str">
        <f ca="1">IF(C2308=$U$4,"Enter smelter details", IF(ISERROR($S2308),"",OFFSET('Smelter Reference List'!$F$4,$S2308-4,0)))</f>
        <v/>
      </c>
      <c r="H2308" s="247" t="str">
        <f ca="1">IF(ISERROR($S2308),"",OFFSET('Smelter Reference List'!$G$4,$S2308-4,0))</f>
        <v/>
      </c>
      <c r="I2308" s="248" t="str">
        <f ca="1">IF(ISERROR($S2308),"",OFFSET('Smelter Reference List'!$H$4,$S2308-4,0))</f>
        <v/>
      </c>
      <c r="J2308" s="248" t="str">
        <f ca="1">IF(ISERROR($S2308),"",OFFSET('Smelter Reference List'!$I$4,$S2308-4,0))</f>
        <v/>
      </c>
      <c r="K2308" s="245"/>
      <c r="L2308" s="245"/>
      <c r="M2308" s="245"/>
      <c r="N2308" s="245"/>
      <c r="O2308" s="245"/>
      <c r="P2308" s="245"/>
      <c r="Q2308" s="246"/>
      <c r="R2308" s="233"/>
      <c r="S2308" s="234" t="e">
        <f>IF(C2308="",NA(),MATCH($B2308&amp;$C2308,'Smelter Reference List'!$J:$J,0))</f>
        <v>#N/A</v>
      </c>
      <c r="T2308" s="235"/>
      <c r="U2308" s="235">
        <f t="shared" ca="1" si="66"/>
        <v>0</v>
      </c>
      <c r="V2308" s="235"/>
      <c r="W2308" s="235"/>
      <c r="Y2308" s="228" t="str">
        <f t="shared" si="67"/>
        <v/>
      </c>
    </row>
    <row r="2309" spans="1:25" s="228" customFormat="1" ht="20.25">
      <c r="A2309" s="257"/>
      <c r="B2309" s="232" t="str">
        <f>IF(LEN(A2309)=0,"",INDEX('Smelter Reference List'!$A:$A,MATCH($A2309,'Smelter Reference List'!$E:$E,0)))</f>
        <v/>
      </c>
      <c r="C2309" s="297" t="str">
        <f>IF(LEN(A2309)=0,"",INDEX('Smelter Reference List'!$C:$C,MATCH($A2309,'Smelter Reference List'!$E:$E,0)))</f>
        <v/>
      </c>
      <c r="D2309" s="161" t="str">
        <f ca="1">IF(ISERROR($S2309),"",OFFSET('Smelter Reference List'!$C$4,$S2309-4,0)&amp;"")</f>
        <v/>
      </c>
      <c r="E2309" s="161" t="str">
        <f ca="1">IF(ISERROR($S2309),"",OFFSET('Smelter Reference List'!$D$4,$S2309-4,0)&amp;"")</f>
        <v/>
      </c>
      <c r="F2309" s="161" t="str">
        <f ca="1">IF(ISERROR($S2309),"",OFFSET('Smelter Reference List'!$E$4,$S2309-4,0))</f>
        <v/>
      </c>
      <c r="G2309" s="161" t="str">
        <f ca="1">IF(C2309=$U$4,"Enter smelter details", IF(ISERROR($S2309),"",OFFSET('Smelter Reference List'!$F$4,$S2309-4,0)))</f>
        <v/>
      </c>
      <c r="H2309" s="247" t="str">
        <f ca="1">IF(ISERROR($S2309),"",OFFSET('Smelter Reference List'!$G$4,$S2309-4,0))</f>
        <v/>
      </c>
      <c r="I2309" s="248" t="str">
        <f ca="1">IF(ISERROR($S2309),"",OFFSET('Smelter Reference List'!$H$4,$S2309-4,0))</f>
        <v/>
      </c>
      <c r="J2309" s="248" t="str">
        <f ca="1">IF(ISERROR($S2309),"",OFFSET('Smelter Reference List'!$I$4,$S2309-4,0))</f>
        <v/>
      </c>
      <c r="K2309" s="245"/>
      <c r="L2309" s="245"/>
      <c r="M2309" s="245"/>
      <c r="N2309" s="245"/>
      <c r="O2309" s="245"/>
      <c r="P2309" s="245"/>
      <c r="Q2309" s="246"/>
      <c r="R2309" s="233"/>
      <c r="S2309" s="234" t="e">
        <f>IF(C2309="",NA(),MATCH($B2309&amp;$C2309,'Smelter Reference List'!$J:$J,0))</f>
        <v>#N/A</v>
      </c>
      <c r="T2309" s="235"/>
      <c r="U2309" s="235">
        <f t="shared" ca="1" si="66"/>
        <v>0</v>
      </c>
      <c r="V2309" s="235"/>
      <c r="W2309" s="235"/>
      <c r="Y2309" s="228" t="str">
        <f t="shared" si="67"/>
        <v/>
      </c>
    </row>
    <row r="2310" spans="1:25" s="228" customFormat="1" ht="20.25">
      <c r="A2310" s="257"/>
      <c r="B2310" s="232" t="str">
        <f>IF(LEN(A2310)=0,"",INDEX('Smelter Reference List'!$A:$A,MATCH($A2310,'Smelter Reference List'!$E:$E,0)))</f>
        <v/>
      </c>
      <c r="C2310" s="297" t="str">
        <f>IF(LEN(A2310)=0,"",INDEX('Smelter Reference List'!$C:$C,MATCH($A2310,'Smelter Reference List'!$E:$E,0)))</f>
        <v/>
      </c>
      <c r="D2310" s="161" t="str">
        <f ca="1">IF(ISERROR($S2310),"",OFFSET('Smelter Reference List'!$C$4,$S2310-4,0)&amp;"")</f>
        <v/>
      </c>
      <c r="E2310" s="161" t="str">
        <f ca="1">IF(ISERROR($S2310),"",OFFSET('Smelter Reference List'!$D$4,$S2310-4,0)&amp;"")</f>
        <v/>
      </c>
      <c r="F2310" s="161" t="str">
        <f ca="1">IF(ISERROR($S2310),"",OFFSET('Smelter Reference List'!$E$4,$S2310-4,0))</f>
        <v/>
      </c>
      <c r="G2310" s="161" t="str">
        <f ca="1">IF(C2310=$U$4,"Enter smelter details", IF(ISERROR($S2310),"",OFFSET('Smelter Reference List'!$F$4,$S2310-4,0)))</f>
        <v/>
      </c>
      <c r="H2310" s="247" t="str">
        <f ca="1">IF(ISERROR($S2310),"",OFFSET('Smelter Reference List'!$G$4,$S2310-4,0))</f>
        <v/>
      </c>
      <c r="I2310" s="248" t="str">
        <f ca="1">IF(ISERROR($S2310),"",OFFSET('Smelter Reference List'!$H$4,$S2310-4,0))</f>
        <v/>
      </c>
      <c r="J2310" s="248" t="str">
        <f ca="1">IF(ISERROR($S2310),"",OFFSET('Smelter Reference List'!$I$4,$S2310-4,0))</f>
        <v/>
      </c>
      <c r="K2310" s="245"/>
      <c r="L2310" s="245"/>
      <c r="M2310" s="245"/>
      <c r="N2310" s="245"/>
      <c r="O2310" s="245"/>
      <c r="P2310" s="245"/>
      <c r="Q2310" s="246"/>
      <c r="R2310" s="233"/>
      <c r="S2310" s="234" t="e">
        <f>IF(C2310="",NA(),MATCH($B2310&amp;$C2310,'Smelter Reference List'!$J:$J,0))</f>
        <v>#N/A</v>
      </c>
      <c r="T2310" s="235"/>
      <c r="U2310" s="235">
        <f t="shared" ref="U2310:U2373" ca="1" si="68">IF(AND(C2310="Smelter not listed",OR(LEN(D2310)=0,LEN(E2310)=0)),1,0)</f>
        <v>0</v>
      </c>
      <c r="V2310" s="235"/>
      <c r="W2310" s="235"/>
      <c r="Y2310" s="228" t="str">
        <f t="shared" ref="Y2310:Y2373" si="69">B2310&amp;C2310</f>
        <v/>
      </c>
    </row>
    <row r="2311" spans="1:25" s="228" customFormat="1" ht="20.25">
      <c r="A2311" s="257"/>
      <c r="B2311" s="232" t="str">
        <f>IF(LEN(A2311)=0,"",INDEX('Smelter Reference List'!$A:$A,MATCH($A2311,'Smelter Reference List'!$E:$E,0)))</f>
        <v/>
      </c>
      <c r="C2311" s="297" t="str">
        <f>IF(LEN(A2311)=0,"",INDEX('Smelter Reference List'!$C:$C,MATCH($A2311,'Smelter Reference List'!$E:$E,0)))</f>
        <v/>
      </c>
      <c r="D2311" s="161" t="str">
        <f ca="1">IF(ISERROR($S2311),"",OFFSET('Smelter Reference List'!$C$4,$S2311-4,0)&amp;"")</f>
        <v/>
      </c>
      <c r="E2311" s="161" t="str">
        <f ca="1">IF(ISERROR($S2311),"",OFFSET('Smelter Reference List'!$D$4,$S2311-4,0)&amp;"")</f>
        <v/>
      </c>
      <c r="F2311" s="161" t="str">
        <f ca="1">IF(ISERROR($S2311),"",OFFSET('Smelter Reference List'!$E$4,$S2311-4,0))</f>
        <v/>
      </c>
      <c r="G2311" s="161" t="str">
        <f ca="1">IF(C2311=$U$4,"Enter smelter details", IF(ISERROR($S2311),"",OFFSET('Smelter Reference List'!$F$4,$S2311-4,0)))</f>
        <v/>
      </c>
      <c r="H2311" s="247" t="str">
        <f ca="1">IF(ISERROR($S2311),"",OFFSET('Smelter Reference List'!$G$4,$S2311-4,0))</f>
        <v/>
      </c>
      <c r="I2311" s="248" t="str">
        <f ca="1">IF(ISERROR($S2311),"",OFFSET('Smelter Reference List'!$H$4,$S2311-4,0))</f>
        <v/>
      </c>
      <c r="J2311" s="248" t="str">
        <f ca="1">IF(ISERROR($S2311),"",OFFSET('Smelter Reference List'!$I$4,$S2311-4,0))</f>
        <v/>
      </c>
      <c r="K2311" s="245"/>
      <c r="L2311" s="245"/>
      <c r="M2311" s="245"/>
      <c r="N2311" s="245"/>
      <c r="O2311" s="245"/>
      <c r="P2311" s="245"/>
      <c r="Q2311" s="246"/>
      <c r="R2311" s="233"/>
      <c r="S2311" s="234" t="e">
        <f>IF(C2311="",NA(),MATCH($B2311&amp;$C2311,'Smelter Reference List'!$J:$J,0))</f>
        <v>#N/A</v>
      </c>
      <c r="T2311" s="235"/>
      <c r="U2311" s="235">
        <f t="shared" ca="1" si="68"/>
        <v>0</v>
      </c>
      <c r="V2311" s="235"/>
      <c r="W2311" s="235"/>
      <c r="Y2311" s="228" t="str">
        <f t="shared" si="69"/>
        <v/>
      </c>
    </row>
    <row r="2312" spans="1:25" s="228" customFormat="1" ht="20.25">
      <c r="A2312" s="257"/>
      <c r="B2312" s="232" t="str">
        <f>IF(LEN(A2312)=0,"",INDEX('Smelter Reference List'!$A:$A,MATCH($A2312,'Smelter Reference List'!$E:$E,0)))</f>
        <v/>
      </c>
      <c r="C2312" s="297" t="str">
        <f>IF(LEN(A2312)=0,"",INDEX('Smelter Reference List'!$C:$C,MATCH($A2312,'Smelter Reference List'!$E:$E,0)))</f>
        <v/>
      </c>
      <c r="D2312" s="161" t="str">
        <f ca="1">IF(ISERROR($S2312),"",OFFSET('Smelter Reference List'!$C$4,$S2312-4,0)&amp;"")</f>
        <v/>
      </c>
      <c r="E2312" s="161" t="str">
        <f ca="1">IF(ISERROR($S2312),"",OFFSET('Smelter Reference List'!$D$4,$S2312-4,0)&amp;"")</f>
        <v/>
      </c>
      <c r="F2312" s="161" t="str">
        <f ca="1">IF(ISERROR($S2312),"",OFFSET('Smelter Reference List'!$E$4,$S2312-4,0))</f>
        <v/>
      </c>
      <c r="G2312" s="161" t="str">
        <f ca="1">IF(C2312=$U$4,"Enter smelter details", IF(ISERROR($S2312),"",OFFSET('Smelter Reference List'!$F$4,$S2312-4,0)))</f>
        <v/>
      </c>
      <c r="H2312" s="247" t="str">
        <f ca="1">IF(ISERROR($S2312),"",OFFSET('Smelter Reference List'!$G$4,$S2312-4,0))</f>
        <v/>
      </c>
      <c r="I2312" s="248" t="str">
        <f ca="1">IF(ISERROR($S2312),"",OFFSET('Smelter Reference List'!$H$4,$S2312-4,0))</f>
        <v/>
      </c>
      <c r="J2312" s="248" t="str">
        <f ca="1">IF(ISERROR($S2312),"",OFFSET('Smelter Reference List'!$I$4,$S2312-4,0))</f>
        <v/>
      </c>
      <c r="K2312" s="245"/>
      <c r="L2312" s="245"/>
      <c r="M2312" s="245"/>
      <c r="N2312" s="245"/>
      <c r="O2312" s="245"/>
      <c r="P2312" s="245"/>
      <c r="Q2312" s="246"/>
      <c r="R2312" s="233"/>
      <c r="S2312" s="234" t="e">
        <f>IF(C2312="",NA(),MATCH($B2312&amp;$C2312,'Smelter Reference List'!$J:$J,0))</f>
        <v>#N/A</v>
      </c>
      <c r="T2312" s="235"/>
      <c r="U2312" s="235">
        <f t="shared" ca="1" si="68"/>
        <v>0</v>
      </c>
      <c r="V2312" s="235"/>
      <c r="W2312" s="235"/>
      <c r="Y2312" s="228" t="str">
        <f t="shared" si="69"/>
        <v/>
      </c>
    </row>
    <row r="2313" spans="1:25" s="228" customFormat="1" ht="20.25">
      <c r="A2313" s="257"/>
      <c r="B2313" s="232" t="str">
        <f>IF(LEN(A2313)=0,"",INDEX('Smelter Reference List'!$A:$A,MATCH($A2313,'Smelter Reference List'!$E:$E,0)))</f>
        <v/>
      </c>
      <c r="C2313" s="297" t="str">
        <f>IF(LEN(A2313)=0,"",INDEX('Smelter Reference List'!$C:$C,MATCH($A2313,'Smelter Reference List'!$E:$E,0)))</f>
        <v/>
      </c>
      <c r="D2313" s="161" t="str">
        <f ca="1">IF(ISERROR($S2313),"",OFFSET('Smelter Reference List'!$C$4,$S2313-4,0)&amp;"")</f>
        <v/>
      </c>
      <c r="E2313" s="161" t="str">
        <f ca="1">IF(ISERROR($S2313),"",OFFSET('Smelter Reference List'!$D$4,$S2313-4,0)&amp;"")</f>
        <v/>
      </c>
      <c r="F2313" s="161" t="str">
        <f ca="1">IF(ISERROR($S2313),"",OFFSET('Smelter Reference List'!$E$4,$S2313-4,0))</f>
        <v/>
      </c>
      <c r="G2313" s="161" t="str">
        <f ca="1">IF(C2313=$U$4,"Enter smelter details", IF(ISERROR($S2313),"",OFFSET('Smelter Reference List'!$F$4,$S2313-4,0)))</f>
        <v/>
      </c>
      <c r="H2313" s="247" t="str">
        <f ca="1">IF(ISERROR($S2313),"",OFFSET('Smelter Reference List'!$G$4,$S2313-4,0))</f>
        <v/>
      </c>
      <c r="I2313" s="248" t="str">
        <f ca="1">IF(ISERROR($S2313),"",OFFSET('Smelter Reference List'!$H$4,$S2313-4,0))</f>
        <v/>
      </c>
      <c r="J2313" s="248" t="str">
        <f ca="1">IF(ISERROR($S2313),"",OFFSET('Smelter Reference List'!$I$4,$S2313-4,0))</f>
        <v/>
      </c>
      <c r="K2313" s="245"/>
      <c r="L2313" s="245"/>
      <c r="M2313" s="245"/>
      <c r="N2313" s="245"/>
      <c r="O2313" s="245"/>
      <c r="P2313" s="245"/>
      <c r="Q2313" s="246"/>
      <c r="R2313" s="233"/>
      <c r="S2313" s="234" t="e">
        <f>IF(C2313="",NA(),MATCH($B2313&amp;$C2313,'Smelter Reference List'!$J:$J,0))</f>
        <v>#N/A</v>
      </c>
      <c r="T2313" s="235"/>
      <c r="U2313" s="235">
        <f t="shared" ca="1" si="68"/>
        <v>0</v>
      </c>
      <c r="V2313" s="235"/>
      <c r="W2313" s="235"/>
      <c r="Y2313" s="228" t="str">
        <f t="shared" si="69"/>
        <v/>
      </c>
    </row>
    <row r="2314" spans="1:25" s="228" customFormat="1" ht="20.25">
      <c r="A2314" s="257"/>
      <c r="B2314" s="232" t="str">
        <f>IF(LEN(A2314)=0,"",INDEX('Smelter Reference List'!$A:$A,MATCH($A2314,'Smelter Reference List'!$E:$E,0)))</f>
        <v/>
      </c>
      <c r="C2314" s="297" t="str">
        <f>IF(LEN(A2314)=0,"",INDEX('Smelter Reference List'!$C:$C,MATCH($A2314,'Smelter Reference List'!$E:$E,0)))</f>
        <v/>
      </c>
      <c r="D2314" s="161" t="str">
        <f ca="1">IF(ISERROR($S2314),"",OFFSET('Smelter Reference List'!$C$4,$S2314-4,0)&amp;"")</f>
        <v/>
      </c>
      <c r="E2314" s="161" t="str">
        <f ca="1">IF(ISERROR($S2314),"",OFFSET('Smelter Reference List'!$D$4,$S2314-4,0)&amp;"")</f>
        <v/>
      </c>
      <c r="F2314" s="161" t="str">
        <f ca="1">IF(ISERROR($S2314),"",OFFSET('Smelter Reference List'!$E$4,$S2314-4,0))</f>
        <v/>
      </c>
      <c r="G2314" s="161" t="str">
        <f ca="1">IF(C2314=$U$4,"Enter smelter details", IF(ISERROR($S2314),"",OFFSET('Smelter Reference List'!$F$4,$S2314-4,0)))</f>
        <v/>
      </c>
      <c r="H2314" s="247" t="str">
        <f ca="1">IF(ISERROR($S2314),"",OFFSET('Smelter Reference List'!$G$4,$S2314-4,0))</f>
        <v/>
      </c>
      <c r="I2314" s="248" t="str">
        <f ca="1">IF(ISERROR($S2314),"",OFFSET('Smelter Reference List'!$H$4,$S2314-4,0))</f>
        <v/>
      </c>
      <c r="J2314" s="248" t="str">
        <f ca="1">IF(ISERROR($S2314),"",OFFSET('Smelter Reference List'!$I$4,$S2314-4,0))</f>
        <v/>
      </c>
      <c r="K2314" s="245"/>
      <c r="L2314" s="245"/>
      <c r="M2314" s="245"/>
      <c r="N2314" s="245"/>
      <c r="O2314" s="245"/>
      <c r="P2314" s="245"/>
      <c r="Q2314" s="246"/>
      <c r="R2314" s="233"/>
      <c r="S2314" s="234" t="e">
        <f>IF(C2314="",NA(),MATCH($B2314&amp;$C2314,'Smelter Reference List'!$J:$J,0))</f>
        <v>#N/A</v>
      </c>
      <c r="T2314" s="235"/>
      <c r="U2314" s="235">
        <f t="shared" ca="1" si="68"/>
        <v>0</v>
      </c>
      <c r="V2314" s="235"/>
      <c r="W2314" s="235"/>
      <c r="Y2314" s="228" t="str">
        <f t="shared" si="69"/>
        <v/>
      </c>
    </row>
    <row r="2315" spans="1:25" s="228" customFormat="1" ht="20.25">
      <c r="A2315" s="257"/>
      <c r="B2315" s="232" t="str">
        <f>IF(LEN(A2315)=0,"",INDEX('Smelter Reference List'!$A:$A,MATCH($A2315,'Smelter Reference List'!$E:$E,0)))</f>
        <v/>
      </c>
      <c r="C2315" s="297" t="str">
        <f>IF(LEN(A2315)=0,"",INDEX('Smelter Reference List'!$C:$C,MATCH($A2315,'Smelter Reference List'!$E:$E,0)))</f>
        <v/>
      </c>
      <c r="D2315" s="161" t="str">
        <f ca="1">IF(ISERROR($S2315),"",OFFSET('Smelter Reference List'!$C$4,$S2315-4,0)&amp;"")</f>
        <v/>
      </c>
      <c r="E2315" s="161" t="str">
        <f ca="1">IF(ISERROR($S2315),"",OFFSET('Smelter Reference List'!$D$4,$S2315-4,0)&amp;"")</f>
        <v/>
      </c>
      <c r="F2315" s="161" t="str">
        <f ca="1">IF(ISERROR($S2315),"",OFFSET('Smelter Reference List'!$E$4,$S2315-4,0))</f>
        <v/>
      </c>
      <c r="G2315" s="161" t="str">
        <f ca="1">IF(C2315=$U$4,"Enter smelter details", IF(ISERROR($S2315),"",OFFSET('Smelter Reference List'!$F$4,$S2315-4,0)))</f>
        <v/>
      </c>
      <c r="H2315" s="247" t="str">
        <f ca="1">IF(ISERROR($S2315),"",OFFSET('Smelter Reference List'!$G$4,$S2315-4,0))</f>
        <v/>
      </c>
      <c r="I2315" s="248" t="str">
        <f ca="1">IF(ISERROR($S2315),"",OFFSET('Smelter Reference List'!$H$4,$S2315-4,0))</f>
        <v/>
      </c>
      <c r="J2315" s="248" t="str">
        <f ca="1">IF(ISERROR($S2315),"",OFFSET('Smelter Reference List'!$I$4,$S2315-4,0))</f>
        <v/>
      </c>
      <c r="K2315" s="245"/>
      <c r="L2315" s="245"/>
      <c r="M2315" s="245"/>
      <c r="N2315" s="245"/>
      <c r="O2315" s="245"/>
      <c r="P2315" s="245"/>
      <c r="Q2315" s="246"/>
      <c r="R2315" s="233"/>
      <c r="S2315" s="234" t="e">
        <f>IF(C2315="",NA(),MATCH($B2315&amp;$C2315,'Smelter Reference List'!$J:$J,0))</f>
        <v>#N/A</v>
      </c>
      <c r="T2315" s="235"/>
      <c r="U2315" s="235">
        <f t="shared" ca="1" si="68"/>
        <v>0</v>
      </c>
      <c r="V2315" s="235"/>
      <c r="W2315" s="235"/>
      <c r="Y2315" s="228" t="str">
        <f t="shared" si="69"/>
        <v/>
      </c>
    </row>
    <row r="2316" spans="1:25" s="228" customFormat="1" ht="20.25">
      <c r="A2316" s="257"/>
      <c r="B2316" s="232" t="str">
        <f>IF(LEN(A2316)=0,"",INDEX('Smelter Reference List'!$A:$A,MATCH($A2316,'Smelter Reference List'!$E:$E,0)))</f>
        <v/>
      </c>
      <c r="C2316" s="297" t="str">
        <f>IF(LEN(A2316)=0,"",INDEX('Smelter Reference List'!$C:$C,MATCH($A2316,'Smelter Reference List'!$E:$E,0)))</f>
        <v/>
      </c>
      <c r="D2316" s="161" t="str">
        <f ca="1">IF(ISERROR($S2316),"",OFFSET('Smelter Reference List'!$C$4,$S2316-4,0)&amp;"")</f>
        <v/>
      </c>
      <c r="E2316" s="161" t="str">
        <f ca="1">IF(ISERROR($S2316),"",OFFSET('Smelter Reference List'!$D$4,$S2316-4,0)&amp;"")</f>
        <v/>
      </c>
      <c r="F2316" s="161" t="str">
        <f ca="1">IF(ISERROR($S2316),"",OFFSET('Smelter Reference List'!$E$4,$S2316-4,0))</f>
        <v/>
      </c>
      <c r="G2316" s="161" t="str">
        <f ca="1">IF(C2316=$U$4,"Enter smelter details", IF(ISERROR($S2316),"",OFFSET('Smelter Reference List'!$F$4,$S2316-4,0)))</f>
        <v/>
      </c>
      <c r="H2316" s="247" t="str">
        <f ca="1">IF(ISERROR($S2316),"",OFFSET('Smelter Reference List'!$G$4,$S2316-4,0))</f>
        <v/>
      </c>
      <c r="I2316" s="248" t="str">
        <f ca="1">IF(ISERROR($S2316),"",OFFSET('Smelter Reference List'!$H$4,$S2316-4,0))</f>
        <v/>
      </c>
      <c r="J2316" s="248" t="str">
        <f ca="1">IF(ISERROR($S2316),"",OFFSET('Smelter Reference List'!$I$4,$S2316-4,0))</f>
        <v/>
      </c>
      <c r="K2316" s="245"/>
      <c r="L2316" s="245"/>
      <c r="M2316" s="245"/>
      <c r="N2316" s="245"/>
      <c r="O2316" s="245"/>
      <c r="P2316" s="245"/>
      <c r="Q2316" s="246"/>
      <c r="R2316" s="233"/>
      <c r="S2316" s="234" t="e">
        <f>IF(C2316="",NA(),MATCH($B2316&amp;$C2316,'Smelter Reference List'!$J:$J,0))</f>
        <v>#N/A</v>
      </c>
      <c r="T2316" s="235"/>
      <c r="U2316" s="235">
        <f t="shared" ca="1" si="68"/>
        <v>0</v>
      </c>
      <c r="V2316" s="235"/>
      <c r="W2316" s="235"/>
      <c r="Y2316" s="228" t="str">
        <f t="shared" si="69"/>
        <v/>
      </c>
    </row>
    <row r="2317" spans="1:25" s="228" customFormat="1" ht="20.25">
      <c r="A2317" s="257"/>
      <c r="B2317" s="232" t="str">
        <f>IF(LEN(A2317)=0,"",INDEX('Smelter Reference List'!$A:$A,MATCH($A2317,'Smelter Reference List'!$E:$E,0)))</f>
        <v/>
      </c>
      <c r="C2317" s="297" t="str">
        <f>IF(LEN(A2317)=0,"",INDEX('Smelter Reference List'!$C:$C,MATCH($A2317,'Smelter Reference List'!$E:$E,0)))</f>
        <v/>
      </c>
      <c r="D2317" s="161" t="str">
        <f ca="1">IF(ISERROR($S2317),"",OFFSET('Smelter Reference List'!$C$4,$S2317-4,0)&amp;"")</f>
        <v/>
      </c>
      <c r="E2317" s="161" t="str">
        <f ca="1">IF(ISERROR($S2317),"",OFFSET('Smelter Reference List'!$D$4,$S2317-4,0)&amp;"")</f>
        <v/>
      </c>
      <c r="F2317" s="161" t="str">
        <f ca="1">IF(ISERROR($S2317),"",OFFSET('Smelter Reference List'!$E$4,$S2317-4,0))</f>
        <v/>
      </c>
      <c r="G2317" s="161" t="str">
        <f ca="1">IF(C2317=$U$4,"Enter smelter details", IF(ISERROR($S2317),"",OFFSET('Smelter Reference List'!$F$4,$S2317-4,0)))</f>
        <v/>
      </c>
      <c r="H2317" s="247" t="str">
        <f ca="1">IF(ISERROR($S2317),"",OFFSET('Smelter Reference List'!$G$4,$S2317-4,0))</f>
        <v/>
      </c>
      <c r="I2317" s="248" t="str">
        <f ca="1">IF(ISERROR($S2317),"",OFFSET('Smelter Reference List'!$H$4,$S2317-4,0))</f>
        <v/>
      </c>
      <c r="J2317" s="248" t="str">
        <f ca="1">IF(ISERROR($S2317),"",OFFSET('Smelter Reference List'!$I$4,$S2317-4,0))</f>
        <v/>
      </c>
      <c r="K2317" s="245"/>
      <c r="L2317" s="245"/>
      <c r="M2317" s="245"/>
      <c r="N2317" s="245"/>
      <c r="O2317" s="245"/>
      <c r="P2317" s="245"/>
      <c r="Q2317" s="246"/>
      <c r="R2317" s="233"/>
      <c r="S2317" s="234" t="e">
        <f>IF(C2317="",NA(),MATCH($B2317&amp;$C2317,'Smelter Reference List'!$J:$J,0))</f>
        <v>#N/A</v>
      </c>
      <c r="T2317" s="235"/>
      <c r="U2317" s="235">
        <f t="shared" ca="1" si="68"/>
        <v>0</v>
      </c>
      <c r="V2317" s="235"/>
      <c r="W2317" s="235"/>
      <c r="Y2317" s="228" t="str">
        <f t="shared" si="69"/>
        <v/>
      </c>
    </row>
    <row r="2318" spans="1:25" s="228" customFormat="1" ht="20.25">
      <c r="A2318" s="257"/>
      <c r="B2318" s="232" t="str">
        <f>IF(LEN(A2318)=0,"",INDEX('Smelter Reference List'!$A:$A,MATCH($A2318,'Smelter Reference List'!$E:$E,0)))</f>
        <v/>
      </c>
      <c r="C2318" s="297" t="str">
        <f>IF(LEN(A2318)=0,"",INDEX('Smelter Reference List'!$C:$C,MATCH($A2318,'Smelter Reference List'!$E:$E,0)))</f>
        <v/>
      </c>
      <c r="D2318" s="161" t="str">
        <f ca="1">IF(ISERROR($S2318),"",OFFSET('Smelter Reference List'!$C$4,$S2318-4,0)&amp;"")</f>
        <v/>
      </c>
      <c r="E2318" s="161" t="str">
        <f ca="1">IF(ISERROR($S2318),"",OFFSET('Smelter Reference List'!$D$4,$S2318-4,0)&amp;"")</f>
        <v/>
      </c>
      <c r="F2318" s="161" t="str">
        <f ca="1">IF(ISERROR($S2318),"",OFFSET('Smelter Reference List'!$E$4,$S2318-4,0))</f>
        <v/>
      </c>
      <c r="G2318" s="161" t="str">
        <f ca="1">IF(C2318=$U$4,"Enter smelter details", IF(ISERROR($S2318),"",OFFSET('Smelter Reference List'!$F$4,$S2318-4,0)))</f>
        <v/>
      </c>
      <c r="H2318" s="247" t="str">
        <f ca="1">IF(ISERROR($S2318),"",OFFSET('Smelter Reference List'!$G$4,$S2318-4,0))</f>
        <v/>
      </c>
      <c r="I2318" s="248" t="str">
        <f ca="1">IF(ISERROR($S2318),"",OFFSET('Smelter Reference List'!$H$4,$S2318-4,0))</f>
        <v/>
      </c>
      <c r="J2318" s="248" t="str">
        <f ca="1">IF(ISERROR($S2318),"",OFFSET('Smelter Reference List'!$I$4,$S2318-4,0))</f>
        <v/>
      </c>
      <c r="K2318" s="245"/>
      <c r="L2318" s="245"/>
      <c r="M2318" s="245"/>
      <c r="N2318" s="245"/>
      <c r="O2318" s="245"/>
      <c r="P2318" s="245"/>
      <c r="Q2318" s="246"/>
      <c r="R2318" s="233"/>
      <c r="S2318" s="234" t="e">
        <f>IF(C2318="",NA(),MATCH($B2318&amp;$C2318,'Smelter Reference List'!$J:$J,0))</f>
        <v>#N/A</v>
      </c>
      <c r="T2318" s="235"/>
      <c r="U2318" s="235">
        <f t="shared" ca="1" si="68"/>
        <v>0</v>
      </c>
      <c r="V2318" s="235"/>
      <c r="W2318" s="235"/>
      <c r="Y2318" s="228" t="str">
        <f t="shared" si="69"/>
        <v/>
      </c>
    </row>
    <row r="2319" spans="1:25" s="228" customFormat="1" ht="20.25">
      <c r="A2319" s="257"/>
      <c r="B2319" s="232" t="str">
        <f>IF(LEN(A2319)=0,"",INDEX('Smelter Reference List'!$A:$A,MATCH($A2319,'Smelter Reference List'!$E:$E,0)))</f>
        <v/>
      </c>
      <c r="C2319" s="297" t="str">
        <f>IF(LEN(A2319)=0,"",INDEX('Smelter Reference List'!$C:$C,MATCH($A2319,'Smelter Reference List'!$E:$E,0)))</f>
        <v/>
      </c>
      <c r="D2319" s="161" t="str">
        <f ca="1">IF(ISERROR($S2319),"",OFFSET('Smelter Reference List'!$C$4,$S2319-4,0)&amp;"")</f>
        <v/>
      </c>
      <c r="E2319" s="161" t="str">
        <f ca="1">IF(ISERROR($S2319),"",OFFSET('Smelter Reference List'!$D$4,$S2319-4,0)&amp;"")</f>
        <v/>
      </c>
      <c r="F2319" s="161" t="str">
        <f ca="1">IF(ISERROR($S2319),"",OFFSET('Smelter Reference List'!$E$4,$S2319-4,0))</f>
        <v/>
      </c>
      <c r="G2319" s="161" t="str">
        <f ca="1">IF(C2319=$U$4,"Enter smelter details", IF(ISERROR($S2319),"",OFFSET('Smelter Reference List'!$F$4,$S2319-4,0)))</f>
        <v/>
      </c>
      <c r="H2319" s="247" t="str">
        <f ca="1">IF(ISERROR($S2319),"",OFFSET('Smelter Reference List'!$G$4,$S2319-4,0))</f>
        <v/>
      </c>
      <c r="I2319" s="248" t="str">
        <f ca="1">IF(ISERROR($S2319),"",OFFSET('Smelter Reference List'!$H$4,$S2319-4,0))</f>
        <v/>
      </c>
      <c r="J2319" s="248" t="str">
        <f ca="1">IF(ISERROR($S2319),"",OFFSET('Smelter Reference List'!$I$4,$S2319-4,0))</f>
        <v/>
      </c>
      <c r="K2319" s="245"/>
      <c r="L2319" s="245"/>
      <c r="M2319" s="245"/>
      <c r="N2319" s="245"/>
      <c r="O2319" s="245"/>
      <c r="P2319" s="245"/>
      <c r="Q2319" s="246"/>
      <c r="R2319" s="233"/>
      <c r="S2319" s="234" t="e">
        <f>IF(C2319="",NA(),MATCH($B2319&amp;$C2319,'Smelter Reference List'!$J:$J,0))</f>
        <v>#N/A</v>
      </c>
      <c r="T2319" s="235"/>
      <c r="U2319" s="235">
        <f t="shared" ca="1" si="68"/>
        <v>0</v>
      </c>
      <c r="V2319" s="235"/>
      <c r="W2319" s="235"/>
      <c r="Y2319" s="228" t="str">
        <f t="shared" si="69"/>
        <v/>
      </c>
    </row>
    <row r="2320" spans="1:25" s="228" customFormat="1" ht="20.25">
      <c r="A2320" s="257"/>
      <c r="B2320" s="232" t="str">
        <f>IF(LEN(A2320)=0,"",INDEX('Smelter Reference List'!$A:$A,MATCH($A2320,'Smelter Reference List'!$E:$E,0)))</f>
        <v/>
      </c>
      <c r="C2320" s="297" t="str">
        <f>IF(LEN(A2320)=0,"",INDEX('Smelter Reference List'!$C:$C,MATCH($A2320,'Smelter Reference List'!$E:$E,0)))</f>
        <v/>
      </c>
      <c r="D2320" s="161" t="str">
        <f ca="1">IF(ISERROR($S2320),"",OFFSET('Smelter Reference List'!$C$4,$S2320-4,0)&amp;"")</f>
        <v/>
      </c>
      <c r="E2320" s="161" t="str">
        <f ca="1">IF(ISERROR($S2320),"",OFFSET('Smelter Reference List'!$D$4,$S2320-4,0)&amp;"")</f>
        <v/>
      </c>
      <c r="F2320" s="161" t="str">
        <f ca="1">IF(ISERROR($S2320),"",OFFSET('Smelter Reference List'!$E$4,$S2320-4,0))</f>
        <v/>
      </c>
      <c r="G2320" s="161" t="str">
        <f ca="1">IF(C2320=$U$4,"Enter smelter details", IF(ISERROR($S2320),"",OFFSET('Smelter Reference List'!$F$4,$S2320-4,0)))</f>
        <v/>
      </c>
      <c r="H2320" s="247" t="str">
        <f ca="1">IF(ISERROR($S2320),"",OFFSET('Smelter Reference List'!$G$4,$S2320-4,0))</f>
        <v/>
      </c>
      <c r="I2320" s="248" t="str">
        <f ca="1">IF(ISERROR($S2320),"",OFFSET('Smelter Reference List'!$H$4,$S2320-4,0))</f>
        <v/>
      </c>
      <c r="J2320" s="248" t="str">
        <f ca="1">IF(ISERROR($S2320),"",OFFSET('Smelter Reference List'!$I$4,$S2320-4,0))</f>
        <v/>
      </c>
      <c r="K2320" s="245"/>
      <c r="L2320" s="245"/>
      <c r="M2320" s="245"/>
      <c r="N2320" s="245"/>
      <c r="O2320" s="245"/>
      <c r="P2320" s="245"/>
      <c r="Q2320" s="246"/>
      <c r="R2320" s="233"/>
      <c r="S2320" s="234" t="e">
        <f>IF(C2320="",NA(),MATCH($B2320&amp;$C2320,'Smelter Reference List'!$J:$J,0))</f>
        <v>#N/A</v>
      </c>
      <c r="T2320" s="235"/>
      <c r="U2320" s="235">
        <f t="shared" ca="1" si="68"/>
        <v>0</v>
      </c>
      <c r="V2320" s="235"/>
      <c r="W2320" s="235"/>
      <c r="Y2320" s="228" t="str">
        <f t="shared" si="69"/>
        <v/>
      </c>
    </row>
    <row r="2321" spans="1:25" s="228" customFormat="1" ht="20.25">
      <c r="A2321" s="257"/>
      <c r="B2321" s="232" t="str">
        <f>IF(LEN(A2321)=0,"",INDEX('Smelter Reference List'!$A:$A,MATCH($A2321,'Smelter Reference List'!$E:$E,0)))</f>
        <v/>
      </c>
      <c r="C2321" s="297" t="str">
        <f>IF(LEN(A2321)=0,"",INDEX('Smelter Reference List'!$C:$C,MATCH($A2321,'Smelter Reference List'!$E:$E,0)))</f>
        <v/>
      </c>
      <c r="D2321" s="161" t="str">
        <f ca="1">IF(ISERROR($S2321),"",OFFSET('Smelter Reference List'!$C$4,$S2321-4,0)&amp;"")</f>
        <v/>
      </c>
      <c r="E2321" s="161" t="str">
        <f ca="1">IF(ISERROR($S2321),"",OFFSET('Smelter Reference List'!$D$4,$S2321-4,0)&amp;"")</f>
        <v/>
      </c>
      <c r="F2321" s="161" t="str">
        <f ca="1">IF(ISERROR($S2321),"",OFFSET('Smelter Reference List'!$E$4,$S2321-4,0))</f>
        <v/>
      </c>
      <c r="G2321" s="161" t="str">
        <f ca="1">IF(C2321=$U$4,"Enter smelter details", IF(ISERROR($S2321),"",OFFSET('Smelter Reference List'!$F$4,$S2321-4,0)))</f>
        <v/>
      </c>
      <c r="H2321" s="247" t="str">
        <f ca="1">IF(ISERROR($S2321),"",OFFSET('Smelter Reference List'!$G$4,$S2321-4,0))</f>
        <v/>
      </c>
      <c r="I2321" s="248" t="str">
        <f ca="1">IF(ISERROR($S2321),"",OFFSET('Smelter Reference List'!$H$4,$S2321-4,0))</f>
        <v/>
      </c>
      <c r="J2321" s="248" t="str">
        <f ca="1">IF(ISERROR($S2321),"",OFFSET('Smelter Reference List'!$I$4,$S2321-4,0))</f>
        <v/>
      </c>
      <c r="K2321" s="245"/>
      <c r="L2321" s="245"/>
      <c r="M2321" s="245"/>
      <c r="N2321" s="245"/>
      <c r="O2321" s="245"/>
      <c r="P2321" s="245"/>
      <c r="Q2321" s="246"/>
      <c r="R2321" s="233"/>
      <c r="S2321" s="234" t="e">
        <f>IF(C2321="",NA(),MATCH($B2321&amp;$C2321,'Smelter Reference List'!$J:$J,0))</f>
        <v>#N/A</v>
      </c>
      <c r="T2321" s="235"/>
      <c r="U2321" s="235">
        <f t="shared" ca="1" si="68"/>
        <v>0</v>
      </c>
      <c r="V2321" s="235"/>
      <c r="W2321" s="235"/>
      <c r="Y2321" s="228" t="str">
        <f t="shared" si="69"/>
        <v/>
      </c>
    </row>
    <row r="2322" spans="1:25" s="228" customFormat="1" ht="20.25">
      <c r="A2322" s="257"/>
      <c r="B2322" s="232" t="str">
        <f>IF(LEN(A2322)=0,"",INDEX('Smelter Reference List'!$A:$A,MATCH($A2322,'Smelter Reference List'!$E:$E,0)))</f>
        <v/>
      </c>
      <c r="C2322" s="297" t="str">
        <f>IF(LEN(A2322)=0,"",INDEX('Smelter Reference List'!$C:$C,MATCH($A2322,'Smelter Reference List'!$E:$E,0)))</f>
        <v/>
      </c>
      <c r="D2322" s="161" t="str">
        <f ca="1">IF(ISERROR($S2322),"",OFFSET('Smelter Reference List'!$C$4,$S2322-4,0)&amp;"")</f>
        <v/>
      </c>
      <c r="E2322" s="161" t="str">
        <f ca="1">IF(ISERROR($S2322),"",OFFSET('Smelter Reference List'!$D$4,$S2322-4,0)&amp;"")</f>
        <v/>
      </c>
      <c r="F2322" s="161" t="str">
        <f ca="1">IF(ISERROR($S2322),"",OFFSET('Smelter Reference List'!$E$4,$S2322-4,0))</f>
        <v/>
      </c>
      <c r="G2322" s="161" t="str">
        <f ca="1">IF(C2322=$U$4,"Enter smelter details", IF(ISERROR($S2322),"",OFFSET('Smelter Reference List'!$F$4,$S2322-4,0)))</f>
        <v/>
      </c>
      <c r="H2322" s="247" t="str">
        <f ca="1">IF(ISERROR($S2322),"",OFFSET('Smelter Reference List'!$G$4,$S2322-4,0))</f>
        <v/>
      </c>
      <c r="I2322" s="248" t="str">
        <f ca="1">IF(ISERROR($S2322),"",OFFSET('Smelter Reference List'!$H$4,$S2322-4,0))</f>
        <v/>
      </c>
      <c r="J2322" s="248" t="str">
        <f ca="1">IF(ISERROR($S2322),"",OFFSET('Smelter Reference List'!$I$4,$S2322-4,0))</f>
        <v/>
      </c>
      <c r="K2322" s="245"/>
      <c r="L2322" s="245"/>
      <c r="M2322" s="245"/>
      <c r="N2322" s="245"/>
      <c r="O2322" s="245"/>
      <c r="P2322" s="245"/>
      <c r="Q2322" s="246"/>
      <c r="R2322" s="233"/>
      <c r="S2322" s="234" t="e">
        <f>IF(C2322="",NA(),MATCH($B2322&amp;$C2322,'Smelter Reference List'!$J:$J,0))</f>
        <v>#N/A</v>
      </c>
      <c r="T2322" s="235"/>
      <c r="U2322" s="235">
        <f t="shared" ca="1" si="68"/>
        <v>0</v>
      </c>
      <c r="V2322" s="235"/>
      <c r="W2322" s="235"/>
      <c r="Y2322" s="228" t="str">
        <f t="shared" si="69"/>
        <v/>
      </c>
    </row>
    <row r="2323" spans="1:25" s="228" customFormat="1" ht="20.25">
      <c r="A2323" s="257"/>
      <c r="B2323" s="232" t="str">
        <f>IF(LEN(A2323)=0,"",INDEX('Smelter Reference List'!$A:$A,MATCH($A2323,'Smelter Reference List'!$E:$E,0)))</f>
        <v/>
      </c>
      <c r="C2323" s="297" t="str">
        <f>IF(LEN(A2323)=0,"",INDEX('Smelter Reference List'!$C:$C,MATCH($A2323,'Smelter Reference List'!$E:$E,0)))</f>
        <v/>
      </c>
      <c r="D2323" s="161" t="str">
        <f ca="1">IF(ISERROR($S2323),"",OFFSET('Smelter Reference List'!$C$4,$S2323-4,0)&amp;"")</f>
        <v/>
      </c>
      <c r="E2323" s="161" t="str">
        <f ca="1">IF(ISERROR($S2323),"",OFFSET('Smelter Reference List'!$D$4,$S2323-4,0)&amp;"")</f>
        <v/>
      </c>
      <c r="F2323" s="161" t="str">
        <f ca="1">IF(ISERROR($S2323),"",OFFSET('Smelter Reference List'!$E$4,$S2323-4,0))</f>
        <v/>
      </c>
      <c r="G2323" s="161" t="str">
        <f ca="1">IF(C2323=$U$4,"Enter smelter details", IF(ISERROR($S2323),"",OFFSET('Smelter Reference List'!$F$4,$S2323-4,0)))</f>
        <v/>
      </c>
      <c r="H2323" s="247" t="str">
        <f ca="1">IF(ISERROR($S2323),"",OFFSET('Smelter Reference List'!$G$4,$S2323-4,0))</f>
        <v/>
      </c>
      <c r="I2323" s="248" t="str">
        <f ca="1">IF(ISERROR($S2323),"",OFFSET('Smelter Reference List'!$H$4,$S2323-4,0))</f>
        <v/>
      </c>
      <c r="J2323" s="248" t="str">
        <f ca="1">IF(ISERROR($S2323),"",OFFSET('Smelter Reference List'!$I$4,$S2323-4,0))</f>
        <v/>
      </c>
      <c r="K2323" s="245"/>
      <c r="L2323" s="245"/>
      <c r="M2323" s="245"/>
      <c r="N2323" s="245"/>
      <c r="O2323" s="245"/>
      <c r="P2323" s="245"/>
      <c r="Q2323" s="246"/>
      <c r="R2323" s="233"/>
      <c r="S2323" s="234" t="e">
        <f>IF(C2323="",NA(),MATCH($B2323&amp;$C2323,'Smelter Reference List'!$J:$J,0))</f>
        <v>#N/A</v>
      </c>
      <c r="T2323" s="235"/>
      <c r="U2323" s="235">
        <f t="shared" ca="1" si="68"/>
        <v>0</v>
      </c>
      <c r="V2323" s="235"/>
      <c r="W2323" s="235"/>
      <c r="Y2323" s="228" t="str">
        <f t="shared" si="69"/>
        <v/>
      </c>
    </row>
    <row r="2324" spans="1:25" s="228" customFormat="1" ht="20.25">
      <c r="A2324" s="257"/>
      <c r="B2324" s="232" t="str">
        <f>IF(LEN(A2324)=0,"",INDEX('Smelter Reference List'!$A:$A,MATCH($A2324,'Smelter Reference List'!$E:$E,0)))</f>
        <v/>
      </c>
      <c r="C2324" s="297" t="str">
        <f>IF(LEN(A2324)=0,"",INDEX('Smelter Reference List'!$C:$C,MATCH($A2324,'Smelter Reference List'!$E:$E,0)))</f>
        <v/>
      </c>
      <c r="D2324" s="161" t="str">
        <f ca="1">IF(ISERROR($S2324),"",OFFSET('Smelter Reference List'!$C$4,$S2324-4,0)&amp;"")</f>
        <v/>
      </c>
      <c r="E2324" s="161" t="str">
        <f ca="1">IF(ISERROR($S2324),"",OFFSET('Smelter Reference List'!$D$4,$S2324-4,0)&amp;"")</f>
        <v/>
      </c>
      <c r="F2324" s="161" t="str">
        <f ca="1">IF(ISERROR($S2324),"",OFFSET('Smelter Reference List'!$E$4,$S2324-4,0))</f>
        <v/>
      </c>
      <c r="G2324" s="161" t="str">
        <f ca="1">IF(C2324=$U$4,"Enter smelter details", IF(ISERROR($S2324),"",OFFSET('Smelter Reference List'!$F$4,$S2324-4,0)))</f>
        <v/>
      </c>
      <c r="H2324" s="247" t="str">
        <f ca="1">IF(ISERROR($S2324),"",OFFSET('Smelter Reference List'!$G$4,$S2324-4,0))</f>
        <v/>
      </c>
      <c r="I2324" s="248" t="str">
        <f ca="1">IF(ISERROR($S2324),"",OFFSET('Smelter Reference List'!$H$4,$S2324-4,0))</f>
        <v/>
      </c>
      <c r="J2324" s="248" t="str">
        <f ca="1">IF(ISERROR($S2324),"",OFFSET('Smelter Reference List'!$I$4,$S2324-4,0))</f>
        <v/>
      </c>
      <c r="K2324" s="245"/>
      <c r="L2324" s="245"/>
      <c r="M2324" s="245"/>
      <c r="N2324" s="245"/>
      <c r="O2324" s="245"/>
      <c r="P2324" s="245"/>
      <c r="Q2324" s="246"/>
      <c r="R2324" s="233"/>
      <c r="S2324" s="234" t="e">
        <f>IF(C2324="",NA(),MATCH($B2324&amp;$C2324,'Smelter Reference List'!$J:$J,0))</f>
        <v>#N/A</v>
      </c>
      <c r="T2324" s="235"/>
      <c r="U2324" s="235">
        <f t="shared" ca="1" si="68"/>
        <v>0</v>
      </c>
      <c r="V2324" s="235"/>
      <c r="W2324" s="235"/>
      <c r="Y2324" s="228" t="str">
        <f t="shared" si="69"/>
        <v/>
      </c>
    </row>
    <row r="2325" spans="1:25" s="228" customFormat="1" ht="20.25">
      <c r="A2325" s="257"/>
      <c r="B2325" s="232" t="str">
        <f>IF(LEN(A2325)=0,"",INDEX('Smelter Reference List'!$A:$A,MATCH($A2325,'Smelter Reference List'!$E:$E,0)))</f>
        <v/>
      </c>
      <c r="C2325" s="297" t="str">
        <f>IF(LEN(A2325)=0,"",INDEX('Smelter Reference List'!$C:$C,MATCH($A2325,'Smelter Reference List'!$E:$E,0)))</f>
        <v/>
      </c>
      <c r="D2325" s="161" t="str">
        <f ca="1">IF(ISERROR($S2325),"",OFFSET('Smelter Reference List'!$C$4,$S2325-4,0)&amp;"")</f>
        <v/>
      </c>
      <c r="E2325" s="161" t="str">
        <f ca="1">IF(ISERROR($S2325),"",OFFSET('Smelter Reference List'!$D$4,$S2325-4,0)&amp;"")</f>
        <v/>
      </c>
      <c r="F2325" s="161" t="str">
        <f ca="1">IF(ISERROR($S2325),"",OFFSET('Smelter Reference List'!$E$4,$S2325-4,0))</f>
        <v/>
      </c>
      <c r="G2325" s="161" t="str">
        <f ca="1">IF(C2325=$U$4,"Enter smelter details", IF(ISERROR($S2325),"",OFFSET('Smelter Reference List'!$F$4,$S2325-4,0)))</f>
        <v/>
      </c>
      <c r="H2325" s="247" t="str">
        <f ca="1">IF(ISERROR($S2325),"",OFFSET('Smelter Reference List'!$G$4,$S2325-4,0))</f>
        <v/>
      </c>
      <c r="I2325" s="248" t="str">
        <f ca="1">IF(ISERROR($S2325),"",OFFSET('Smelter Reference List'!$H$4,$S2325-4,0))</f>
        <v/>
      </c>
      <c r="J2325" s="248" t="str">
        <f ca="1">IF(ISERROR($S2325),"",OFFSET('Smelter Reference List'!$I$4,$S2325-4,0))</f>
        <v/>
      </c>
      <c r="K2325" s="245"/>
      <c r="L2325" s="245"/>
      <c r="M2325" s="245"/>
      <c r="N2325" s="245"/>
      <c r="O2325" s="245"/>
      <c r="P2325" s="245"/>
      <c r="Q2325" s="246"/>
      <c r="R2325" s="233"/>
      <c r="S2325" s="234" t="e">
        <f>IF(C2325="",NA(),MATCH($B2325&amp;$C2325,'Smelter Reference List'!$J:$J,0))</f>
        <v>#N/A</v>
      </c>
      <c r="T2325" s="235"/>
      <c r="U2325" s="235">
        <f t="shared" ca="1" si="68"/>
        <v>0</v>
      </c>
      <c r="V2325" s="235"/>
      <c r="W2325" s="235"/>
      <c r="Y2325" s="228" t="str">
        <f t="shared" si="69"/>
        <v/>
      </c>
    </row>
    <row r="2326" spans="1:25" s="228" customFormat="1" ht="20.25">
      <c r="A2326" s="257"/>
      <c r="B2326" s="232" t="str">
        <f>IF(LEN(A2326)=0,"",INDEX('Smelter Reference List'!$A:$A,MATCH($A2326,'Smelter Reference List'!$E:$E,0)))</f>
        <v/>
      </c>
      <c r="C2326" s="297" t="str">
        <f>IF(LEN(A2326)=0,"",INDEX('Smelter Reference List'!$C:$C,MATCH($A2326,'Smelter Reference List'!$E:$E,0)))</f>
        <v/>
      </c>
      <c r="D2326" s="161" t="str">
        <f ca="1">IF(ISERROR($S2326),"",OFFSET('Smelter Reference List'!$C$4,$S2326-4,0)&amp;"")</f>
        <v/>
      </c>
      <c r="E2326" s="161" t="str">
        <f ca="1">IF(ISERROR($S2326),"",OFFSET('Smelter Reference List'!$D$4,$S2326-4,0)&amp;"")</f>
        <v/>
      </c>
      <c r="F2326" s="161" t="str">
        <f ca="1">IF(ISERROR($S2326),"",OFFSET('Smelter Reference List'!$E$4,$S2326-4,0))</f>
        <v/>
      </c>
      <c r="G2326" s="161" t="str">
        <f ca="1">IF(C2326=$U$4,"Enter smelter details", IF(ISERROR($S2326),"",OFFSET('Smelter Reference List'!$F$4,$S2326-4,0)))</f>
        <v/>
      </c>
      <c r="H2326" s="247" t="str">
        <f ca="1">IF(ISERROR($S2326),"",OFFSET('Smelter Reference List'!$G$4,$S2326-4,0))</f>
        <v/>
      </c>
      <c r="I2326" s="248" t="str">
        <f ca="1">IF(ISERROR($S2326),"",OFFSET('Smelter Reference List'!$H$4,$S2326-4,0))</f>
        <v/>
      </c>
      <c r="J2326" s="248" t="str">
        <f ca="1">IF(ISERROR($S2326),"",OFFSET('Smelter Reference List'!$I$4,$S2326-4,0))</f>
        <v/>
      </c>
      <c r="K2326" s="245"/>
      <c r="L2326" s="245"/>
      <c r="M2326" s="245"/>
      <c r="N2326" s="245"/>
      <c r="O2326" s="245"/>
      <c r="P2326" s="245"/>
      <c r="Q2326" s="246"/>
      <c r="R2326" s="233"/>
      <c r="S2326" s="234" t="e">
        <f>IF(C2326="",NA(),MATCH($B2326&amp;$C2326,'Smelter Reference List'!$J:$J,0))</f>
        <v>#N/A</v>
      </c>
      <c r="T2326" s="235"/>
      <c r="U2326" s="235">
        <f t="shared" ca="1" si="68"/>
        <v>0</v>
      </c>
      <c r="V2326" s="235"/>
      <c r="W2326" s="235"/>
      <c r="Y2326" s="228" t="str">
        <f t="shared" si="69"/>
        <v/>
      </c>
    </row>
    <row r="2327" spans="1:25" s="228" customFormat="1" ht="20.25">
      <c r="A2327" s="257"/>
      <c r="B2327" s="232" t="str">
        <f>IF(LEN(A2327)=0,"",INDEX('Smelter Reference List'!$A:$A,MATCH($A2327,'Smelter Reference List'!$E:$E,0)))</f>
        <v/>
      </c>
      <c r="C2327" s="297" t="str">
        <f>IF(LEN(A2327)=0,"",INDEX('Smelter Reference List'!$C:$C,MATCH($A2327,'Smelter Reference List'!$E:$E,0)))</f>
        <v/>
      </c>
      <c r="D2327" s="161" t="str">
        <f ca="1">IF(ISERROR($S2327),"",OFFSET('Smelter Reference List'!$C$4,$S2327-4,0)&amp;"")</f>
        <v/>
      </c>
      <c r="E2327" s="161" t="str">
        <f ca="1">IF(ISERROR($S2327),"",OFFSET('Smelter Reference List'!$D$4,$S2327-4,0)&amp;"")</f>
        <v/>
      </c>
      <c r="F2327" s="161" t="str">
        <f ca="1">IF(ISERROR($S2327),"",OFFSET('Smelter Reference List'!$E$4,$S2327-4,0))</f>
        <v/>
      </c>
      <c r="G2327" s="161" t="str">
        <f ca="1">IF(C2327=$U$4,"Enter smelter details", IF(ISERROR($S2327),"",OFFSET('Smelter Reference List'!$F$4,$S2327-4,0)))</f>
        <v/>
      </c>
      <c r="H2327" s="247" t="str">
        <f ca="1">IF(ISERROR($S2327),"",OFFSET('Smelter Reference List'!$G$4,$S2327-4,0))</f>
        <v/>
      </c>
      <c r="I2327" s="248" t="str">
        <f ca="1">IF(ISERROR($S2327),"",OFFSET('Smelter Reference List'!$H$4,$S2327-4,0))</f>
        <v/>
      </c>
      <c r="J2327" s="248" t="str">
        <f ca="1">IF(ISERROR($S2327),"",OFFSET('Smelter Reference List'!$I$4,$S2327-4,0))</f>
        <v/>
      </c>
      <c r="K2327" s="245"/>
      <c r="L2327" s="245"/>
      <c r="M2327" s="245"/>
      <c r="N2327" s="245"/>
      <c r="O2327" s="245"/>
      <c r="P2327" s="245"/>
      <c r="Q2327" s="246"/>
      <c r="R2327" s="233"/>
      <c r="S2327" s="234" t="e">
        <f>IF(C2327="",NA(),MATCH($B2327&amp;$C2327,'Smelter Reference List'!$J:$J,0))</f>
        <v>#N/A</v>
      </c>
      <c r="T2327" s="235"/>
      <c r="U2327" s="235">
        <f t="shared" ca="1" si="68"/>
        <v>0</v>
      </c>
      <c r="V2327" s="235"/>
      <c r="W2327" s="235"/>
      <c r="Y2327" s="228" t="str">
        <f t="shared" si="69"/>
        <v/>
      </c>
    </row>
    <row r="2328" spans="1:25" s="228" customFormat="1" ht="20.25">
      <c r="A2328" s="257"/>
      <c r="B2328" s="232" t="str">
        <f>IF(LEN(A2328)=0,"",INDEX('Smelter Reference List'!$A:$A,MATCH($A2328,'Smelter Reference List'!$E:$E,0)))</f>
        <v/>
      </c>
      <c r="C2328" s="297" t="str">
        <f>IF(LEN(A2328)=0,"",INDEX('Smelter Reference List'!$C:$C,MATCH($A2328,'Smelter Reference List'!$E:$E,0)))</f>
        <v/>
      </c>
      <c r="D2328" s="161" t="str">
        <f ca="1">IF(ISERROR($S2328),"",OFFSET('Smelter Reference List'!$C$4,$S2328-4,0)&amp;"")</f>
        <v/>
      </c>
      <c r="E2328" s="161" t="str">
        <f ca="1">IF(ISERROR($S2328),"",OFFSET('Smelter Reference List'!$D$4,$S2328-4,0)&amp;"")</f>
        <v/>
      </c>
      <c r="F2328" s="161" t="str">
        <f ca="1">IF(ISERROR($S2328),"",OFFSET('Smelter Reference List'!$E$4,$S2328-4,0))</f>
        <v/>
      </c>
      <c r="G2328" s="161" t="str">
        <f ca="1">IF(C2328=$U$4,"Enter smelter details", IF(ISERROR($S2328),"",OFFSET('Smelter Reference List'!$F$4,$S2328-4,0)))</f>
        <v/>
      </c>
      <c r="H2328" s="247" t="str">
        <f ca="1">IF(ISERROR($S2328),"",OFFSET('Smelter Reference List'!$G$4,$S2328-4,0))</f>
        <v/>
      </c>
      <c r="I2328" s="248" t="str">
        <f ca="1">IF(ISERROR($S2328),"",OFFSET('Smelter Reference List'!$H$4,$S2328-4,0))</f>
        <v/>
      </c>
      <c r="J2328" s="248" t="str">
        <f ca="1">IF(ISERROR($S2328),"",OFFSET('Smelter Reference List'!$I$4,$S2328-4,0))</f>
        <v/>
      </c>
      <c r="K2328" s="245"/>
      <c r="L2328" s="245"/>
      <c r="M2328" s="245"/>
      <c r="N2328" s="245"/>
      <c r="O2328" s="245"/>
      <c r="P2328" s="245"/>
      <c r="Q2328" s="246"/>
      <c r="R2328" s="233"/>
      <c r="S2328" s="234" t="e">
        <f>IF(C2328="",NA(),MATCH($B2328&amp;$C2328,'Smelter Reference List'!$J:$J,0))</f>
        <v>#N/A</v>
      </c>
      <c r="T2328" s="235"/>
      <c r="U2328" s="235">
        <f t="shared" ca="1" si="68"/>
        <v>0</v>
      </c>
      <c r="V2328" s="235"/>
      <c r="W2328" s="235"/>
      <c r="Y2328" s="228" t="str">
        <f t="shared" si="69"/>
        <v/>
      </c>
    </row>
    <row r="2329" spans="1:25" s="228" customFormat="1" ht="20.25">
      <c r="A2329" s="257"/>
      <c r="B2329" s="232" t="str">
        <f>IF(LEN(A2329)=0,"",INDEX('Smelter Reference List'!$A:$A,MATCH($A2329,'Smelter Reference List'!$E:$E,0)))</f>
        <v/>
      </c>
      <c r="C2329" s="297" t="str">
        <f>IF(LEN(A2329)=0,"",INDEX('Smelter Reference List'!$C:$C,MATCH($A2329,'Smelter Reference List'!$E:$E,0)))</f>
        <v/>
      </c>
      <c r="D2329" s="161" t="str">
        <f ca="1">IF(ISERROR($S2329),"",OFFSET('Smelter Reference List'!$C$4,$S2329-4,0)&amp;"")</f>
        <v/>
      </c>
      <c r="E2329" s="161" t="str">
        <f ca="1">IF(ISERROR($S2329),"",OFFSET('Smelter Reference List'!$D$4,$S2329-4,0)&amp;"")</f>
        <v/>
      </c>
      <c r="F2329" s="161" t="str">
        <f ca="1">IF(ISERROR($S2329),"",OFFSET('Smelter Reference List'!$E$4,$S2329-4,0))</f>
        <v/>
      </c>
      <c r="G2329" s="161" t="str">
        <f ca="1">IF(C2329=$U$4,"Enter smelter details", IF(ISERROR($S2329),"",OFFSET('Smelter Reference List'!$F$4,$S2329-4,0)))</f>
        <v/>
      </c>
      <c r="H2329" s="247" t="str">
        <f ca="1">IF(ISERROR($S2329),"",OFFSET('Smelter Reference List'!$G$4,$S2329-4,0))</f>
        <v/>
      </c>
      <c r="I2329" s="248" t="str">
        <f ca="1">IF(ISERROR($S2329),"",OFFSET('Smelter Reference List'!$H$4,$S2329-4,0))</f>
        <v/>
      </c>
      <c r="J2329" s="248" t="str">
        <f ca="1">IF(ISERROR($S2329),"",OFFSET('Smelter Reference List'!$I$4,$S2329-4,0))</f>
        <v/>
      </c>
      <c r="K2329" s="245"/>
      <c r="L2329" s="245"/>
      <c r="M2329" s="245"/>
      <c r="N2329" s="245"/>
      <c r="O2329" s="245"/>
      <c r="P2329" s="245"/>
      <c r="Q2329" s="246"/>
      <c r="R2329" s="233"/>
      <c r="S2329" s="234" t="e">
        <f>IF(C2329="",NA(),MATCH($B2329&amp;$C2329,'Smelter Reference List'!$J:$J,0))</f>
        <v>#N/A</v>
      </c>
      <c r="T2329" s="235"/>
      <c r="U2329" s="235">
        <f t="shared" ca="1" si="68"/>
        <v>0</v>
      </c>
      <c r="V2329" s="235"/>
      <c r="W2329" s="235"/>
      <c r="Y2329" s="228" t="str">
        <f t="shared" si="69"/>
        <v/>
      </c>
    </row>
    <row r="2330" spans="1:25" s="228" customFormat="1" ht="20.25">
      <c r="A2330" s="257"/>
      <c r="B2330" s="232" t="str">
        <f>IF(LEN(A2330)=0,"",INDEX('Smelter Reference List'!$A:$A,MATCH($A2330,'Smelter Reference List'!$E:$E,0)))</f>
        <v/>
      </c>
      <c r="C2330" s="297" t="str">
        <f>IF(LEN(A2330)=0,"",INDEX('Smelter Reference List'!$C:$C,MATCH($A2330,'Smelter Reference List'!$E:$E,0)))</f>
        <v/>
      </c>
      <c r="D2330" s="161" t="str">
        <f ca="1">IF(ISERROR($S2330),"",OFFSET('Smelter Reference List'!$C$4,$S2330-4,0)&amp;"")</f>
        <v/>
      </c>
      <c r="E2330" s="161" t="str">
        <f ca="1">IF(ISERROR($S2330),"",OFFSET('Smelter Reference List'!$D$4,$S2330-4,0)&amp;"")</f>
        <v/>
      </c>
      <c r="F2330" s="161" t="str">
        <f ca="1">IF(ISERROR($S2330),"",OFFSET('Smelter Reference List'!$E$4,$S2330-4,0))</f>
        <v/>
      </c>
      <c r="G2330" s="161" t="str">
        <f ca="1">IF(C2330=$U$4,"Enter smelter details", IF(ISERROR($S2330),"",OFFSET('Smelter Reference List'!$F$4,$S2330-4,0)))</f>
        <v/>
      </c>
      <c r="H2330" s="247" t="str">
        <f ca="1">IF(ISERROR($S2330),"",OFFSET('Smelter Reference List'!$G$4,$S2330-4,0))</f>
        <v/>
      </c>
      <c r="I2330" s="248" t="str">
        <f ca="1">IF(ISERROR($S2330),"",OFFSET('Smelter Reference List'!$H$4,$S2330-4,0))</f>
        <v/>
      </c>
      <c r="J2330" s="248" t="str">
        <f ca="1">IF(ISERROR($S2330),"",OFFSET('Smelter Reference List'!$I$4,$S2330-4,0))</f>
        <v/>
      </c>
      <c r="K2330" s="245"/>
      <c r="L2330" s="245"/>
      <c r="M2330" s="245"/>
      <c r="N2330" s="245"/>
      <c r="O2330" s="245"/>
      <c r="P2330" s="245"/>
      <c r="Q2330" s="246"/>
      <c r="R2330" s="233"/>
      <c r="S2330" s="234" t="e">
        <f>IF(C2330="",NA(),MATCH($B2330&amp;$C2330,'Smelter Reference List'!$J:$J,0))</f>
        <v>#N/A</v>
      </c>
      <c r="T2330" s="235"/>
      <c r="U2330" s="235">
        <f t="shared" ca="1" si="68"/>
        <v>0</v>
      </c>
      <c r="V2330" s="235"/>
      <c r="W2330" s="235"/>
      <c r="Y2330" s="228" t="str">
        <f t="shared" si="69"/>
        <v/>
      </c>
    </row>
    <row r="2331" spans="1:25" s="228" customFormat="1" ht="20.25">
      <c r="A2331" s="257"/>
      <c r="B2331" s="232" t="str">
        <f>IF(LEN(A2331)=0,"",INDEX('Smelter Reference List'!$A:$A,MATCH($A2331,'Smelter Reference List'!$E:$E,0)))</f>
        <v/>
      </c>
      <c r="C2331" s="297" t="str">
        <f>IF(LEN(A2331)=0,"",INDEX('Smelter Reference List'!$C:$C,MATCH($A2331,'Smelter Reference List'!$E:$E,0)))</f>
        <v/>
      </c>
      <c r="D2331" s="161" t="str">
        <f ca="1">IF(ISERROR($S2331),"",OFFSET('Smelter Reference List'!$C$4,$S2331-4,0)&amp;"")</f>
        <v/>
      </c>
      <c r="E2331" s="161" t="str">
        <f ca="1">IF(ISERROR($S2331),"",OFFSET('Smelter Reference List'!$D$4,$S2331-4,0)&amp;"")</f>
        <v/>
      </c>
      <c r="F2331" s="161" t="str">
        <f ca="1">IF(ISERROR($S2331),"",OFFSET('Smelter Reference List'!$E$4,$S2331-4,0))</f>
        <v/>
      </c>
      <c r="G2331" s="161" t="str">
        <f ca="1">IF(C2331=$U$4,"Enter smelter details", IF(ISERROR($S2331),"",OFFSET('Smelter Reference List'!$F$4,$S2331-4,0)))</f>
        <v/>
      </c>
      <c r="H2331" s="247" t="str">
        <f ca="1">IF(ISERROR($S2331),"",OFFSET('Smelter Reference List'!$G$4,$S2331-4,0))</f>
        <v/>
      </c>
      <c r="I2331" s="248" t="str">
        <f ca="1">IF(ISERROR($S2331),"",OFFSET('Smelter Reference List'!$H$4,$S2331-4,0))</f>
        <v/>
      </c>
      <c r="J2331" s="248" t="str">
        <f ca="1">IF(ISERROR($S2331),"",OFFSET('Smelter Reference List'!$I$4,$S2331-4,0))</f>
        <v/>
      </c>
      <c r="K2331" s="245"/>
      <c r="L2331" s="245"/>
      <c r="M2331" s="245"/>
      <c r="N2331" s="245"/>
      <c r="O2331" s="245"/>
      <c r="P2331" s="245"/>
      <c r="Q2331" s="246"/>
      <c r="R2331" s="233"/>
      <c r="S2331" s="234" t="e">
        <f>IF(C2331="",NA(),MATCH($B2331&amp;$C2331,'Smelter Reference List'!$J:$J,0))</f>
        <v>#N/A</v>
      </c>
      <c r="T2331" s="235"/>
      <c r="U2331" s="235">
        <f t="shared" ca="1" si="68"/>
        <v>0</v>
      </c>
      <c r="V2331" s="235"/>
      <c r="W2331" s="235"/>
      <c r="Y2331" s="228" t="str">
        <f t="shared" si="69"/>
        <v/>
      </c>
    </row>
    <row r="2332" spans="1:25" s="228" customFormat="1" ht="20.25">
      <c r="A2332" s="257"/>
      <c r="B2332" s="232" t="str">
        <f>IF(LEN(A2332)=0,"",INDEX('Smelter Reference List'!$A:$A,MATCH($A2332,'Smelter Reference List'!$E:$E,0)))</f>
        <v/>
      </c>
      <c r="C2332" s="297" t="str">
        <f>IF(LEN(A2332)=0,"",INDEX('Smelter Reference List'!$C:$C,MATCH($A2332,'Smelter Reference List'!$E:$E,0)))</f>
        <v/>
      </c>
      <c r="D2332" s="161" t="str">
        <f ca="1">IF(ISERROR($S2332),"",OFFSET('Smelter Reference List'!$C$4,$S2332-4,0)&amp;"")</f>
        <v/>
      </c>
      <c r="E2332" s="161" t="str">
        <f ca="1">IF(ISERROR($S2332),"",OFFSET('Smelter Reference List'!$D$4,$S2332-4,0)&amp;"")</f>
        <v/>
      </c>
      <c r="F2332" s="161" t="str">
        <f ca="1">IF(ISERROR($S2332),"",OFFSET('Smelter Reference List'!$E$4,$S2332-4,0))</f>
        <v/>
      </c>
      <c r="G2332" s="161" t="str">
        <f ca="1">IF(C2332=$U$4,"Enter smelter details", IF(ISERROR($S2332),"",OFFSET('Smelter Reference List'!$F$4,$S2332-4,0)))</f>
        <v/>
      </c>
      <c r="H2332" s="247" t="str">
        <f ca="1">IF(ISERROR($S2332),"",OFFSET('Smelter Reference List'!$G$4,$S2332-4,0))</f>
        <v/>
      </c>
      <c r="I2332" s="248" t="str">
        <f ca="1">IF(ISERROR($S2332),"",OFFSET('Smelter Reference List'!$H$4,$S2332-4,0))</f>
        <v/>
      </c>
      <c r="J2332" s="248" t="str">
        <f ca="1">IF(ISERROR($S2332),"",OFFSET('Smelter Reference List'!$I$4,$S2332-4,0))</f>
        <v/>
      </c>
      <c r="K2332" s="245"/>
      <c r="L2332" s="245"/>
      <c r="M2332" s="245"/>
      <c r="N2332" s="245"/>
      <c r="O2332" s="245"/>
      <c r="P2332" s="245"/>
      <c r="Q2332" s="246"/>
      <c r="R2332" s="233"/>
      <c r="S2332" s="234" t="e">
        <f>IF(C2332="",NA(),MATCH($B2332&amp;$C2332,'Smelter Reference List'!$J:$J,0))</f>
        <v>#N/A</v>
      </c>
      <c r="T2332" s="235"/>
      <c r="U2332" s="235">
        <f t="shared" ca="1" si="68"/>
        <v>0</v>
      </c>
      <c r="V2332" s="235"/>
      <c r="W2332" s="235"/>
      <c r="Y2332" s="228" t="str">
        <f t="shared" si="69"/>
        <v/>
      </c>
    </row>
    <row r="2333" spans="1:25" s="228" customFormat="1" ht="20.25">
      <c r="A2333" s="257"/>
      <c r="B2333" s="232" t="str">
        <f>IF(LEN(A2333)=0,"",INDEX('Smelter Reference List'!$A:$A,MATCH($A2333,'Smelter Reference List'!$E:$E,0)))</f>
        <v/>
      </c>
      <c r="C2333" s="297" t="str">
        <f>IF(LEN(A2333)=0,"",INDEX('Smelter Reference List'!$C:$C,MATCH($A2333,'Smelter Reference List'!$E:$E,0)))</f>
        <v/>
      </c>
      <c r="D2333" s="161" t="str">
        <f ca="1">IF(ISERROR($S2333),"",OFFSET('Smelter Reference List'!$C$4,$S2333-4,0)&amp;"")</f>
        <v/>
      </c>
      <c r="E2333" s="161" t="str">
        <f ca="1">IF(ISERROR($S2333),"",OFFSET('Smelter Reference List'!$D$4,$S2333-4,0)&amp;"")</f>
        <v/>
      </c>
      <c r="F2333" s="161" t="str">
        <f ca="1">IF(ISERROR($S2333),"",OFFSET('Smelter Reference List'!$E$4,$S2333-4,0))</f>
        <v/>
      </c>
      <c r="G2333" s="161" t="str">
        <f ca="1">IF(C2333=$U$4,"Enter smelter details", IF(ISERROR($S2333),"",OFFSET('Smelter Reference List'!$F$4,$S2333-4,0)))</f>
        <v/>
      </c>
      <c r="H2333" s="247" t="str">
        <f ca="1">IF(ISERROR($S2333),"",OFFSET('Smelter Reference List'!$G$4,$S2333-4,0))</f>
        <v/>
      </c>
      <c r="I2333" s="248" t="str">
        <f ca="1">IF(ISERROR($S2333),"",OFFSET('Smelter Reference List'!$H$4,$S2333-4,0))</f>
        <v/>
      </c>
      <c r="J2333" s="248" t="str">
        <f ca="1">IF(ISERROR($S2333),"",OFFSET('Smelter Reference List'!$I$4,$S2333-4,0))</f>
        <v/>
      </c>
      <c r="K2333" s="245"/>
      <c r="L2333" s="245"/>
      <c r="M2333" s="245"/>
      <c r="N2333" s="245"/>
      <c r="O2333" s="245"/>
      <c r="P2333" s="245"/>
      <c r="Q2333" s="246"/>
      <c r="R2333" s="233"/>
      <c r="S2333" s="234" t="e">
        <f>IF(C2333="",NA(),MATCH($B2333&amp;$C2333,'Smelter Reference List'!$J:$J,0))</f>
        <v>#N/A</v>
      </c>
      <c r="T2333" s="235"/>
      <c r="U2333" s="235">
        <f t="shared" ca="1" si="68"/>
        <v>0</v>
      </c>
      <c r="V2333" s="235"/>
      <c r="W2333" s="235"/>
      <c r="Y2333" s="228" t="str">
        <f t="shared" si="69"/>
        <v/>
      </c>
    </row>
    <row r="2334" spans="1:25" s="228" customFormat="1" ht="20.25">
      <c r="A2334" s="257"/>
      <c r="B2334" s="232" t="str">
        <f>IF(LEN(A2334)=0,"",INDEX('Smelter Reference List'!$A:$A,MATCH($A2334,'Smelter Reference List'!$E:$E,0)))</f>
        <v/>
      </c>
      <c r="C2334" s="297" t="str">
        <f>IF(LEN(A2334)=0,"",INDEX('Smelter Reference List'!$C:$C,MATCH($A2334,'Smelter Reference List'!$E:$E,0)))</f>
        <v/>
      </c>
      <c r="D2334" s="161" t="str">
        <f ca="1">IF(ISERROR($S2334),"",OFFSET('Smelter Reference List'!$C$4,$S2334-4,0)&amp;"")</f>
        <v/>
      </c>
      <c r="E2334" s="161" t="str">
        <f ca="1">IF(ISERROR($S2334),"",OFFSET('Smelter Reference List'!$D$4,$S2334-4,0)&amp;"")</f>
        <v/>
      </c>
      <c r="F2334" s="161" t="str">
        <f ca="1">IF(ISERROR($S2334),"",OFFSET('Smelter Reference List'!$E$4,$S2334-4,0))</f>
        <v/>
      </c>
      <c r="G2334" s="161" t="str">
        <f ca="1">IF(C2334=$U$4,"Enter smelter details", IF(ISERROR($S2334),"",OFFSET('Smelter Reference List'!$F$4,$S2334-4,0)))</f>
        <v/>
      </c>
      <c r="H2334" s="247" t="str">
        <f ca="1">IF(ISERROR($S2334),"",OFFSET('Smelter Reference List'!$G$4,$S2334-4,0))</f>
        <v/>
      </c>
      <c r="I2334" s="248" t="str">
        <f ca="1">IF(ISERROR($S2334),"",OFFSET('Smelter Reference List'!$H$4,$S2334-4,0))</f>
        <v/>
      </c>
      <c r="J2334" s="248" t="str">
        <f ca="1">IF(ISERROR($S2334),"",OFFSET('Smelter Reference List'!$I$4,$S2334-4,0))</f>
        <v/>
      </c>
      <c r="K2334" s="245"/>
      <c r="L2334" s="245"/>
      <c r="M2334" s="245"/>
      <c r="N2334" s="245"/>
      <c r="O2334" s="245"/>
      <c r="P2334" s="245"/>
      <c r="Q2334" s="246"/>
      <c r="R2334" s="233"/>
      <c r="S2334" s="234" t="e">
        <f>IF(C2334="",NA(),MATCH($B2334&amp;$C2334,'Smelter Reference List'!$J:$J,0))</f>
        <v>#N/A</v>
      </c>
      <c r="T2334" s="235"/>
      <c r="U2334" s="235">
        <f t="shared" ca="1" si="68"/>
        <v>0</v>
      </c>
      <c r="V2334" s="235"/>
      <c r="W2334" s="235"/>
      <c r="Y2334" s="228" t="str">
        <f t="shared" si="69"/>
        <v/>
      </c>
    </row>
    <row r="2335" spans="1:25" s="228" customFormat="1" ht="20.25">
      <c r="A2335" s="257"/>
      <c r="B2335" s="232" t="str">
        <f>IF(LEN(A2335)=0,"",INDEX('Smelter Reference List'!$A:$A,MATCH($A2335,'Smelter Reference List'!$E:$E,0)))</f>
        <v/>
      </c>
      <c r="C2335" s="297" t="str">
        <f>IF(LEN(A2335)=0,"",INDEX('Smelter Reference List'!$C:$C,MATCH($A2335,'Smelter Reference List'!$E:$E,0)))</f>
        <v/>
      </c>
      <c r="D2335" s="161" t="str">
        <f ca="1">IF(ISERROR($S2335),"",OFFSET('Smelter Reference List'!$C$4,$S2335-4,0)&amp;"")</f>
        <v/>
      </c>
      <c r="E2335" s="161" t="str">
        <f ca="1">IF(ISERROR($S2335),"",OFFSET('Smelter Reference List'!$D$4,$S2335-4,0)&amp;"")</f>
        <v/>
      </c>
      <c r="F2335" s="161" t="str">
        <f ca="1">IF(ISERROR($S2335),"",OFFSET('Smelter Reference List'!$E$4,$S2335-4,0))</f>
        <v/>
      </c>
      <c r="G2335" s="161" t="str">
        <f ca="1">IF(C2335=$U$4,"Enter smelter details", IF(ISERROR($S2335),"",OFFSET('Smelter Reference List'!$F$4,$S2335-4,0)))</f>
        <v/>
      </c>
      <c r="H2335" s="247" t="str">
        <f ca="1">IF(ISERROR($S2335),"",OFFSET('Smelter Reference List'!$G$4,$S2335-4,0))</f>
        <v/>
      </c>
      <c r="I2335" s="248" t="str">
        <f ca="1">IF(ISERROR($S2335),"",OFFSET('Smelter Reference List'!$H$4,$S2335-4,0))</f>
        <v/>
      </c>
      <c r="J2335" s="248" t="str">
        <f ca="1">IF(ISERROR($S2335),"",OFFSET('Smelter Reference List'!$I$4,$S2335-4,0))</f>
        <v/>
      </c>
      <c r="K2335" s="245"/>
      <c r="L2335" s="245"/>
      <c r="M2335" s="245"/>
      <c r="N2335" s="245"/>
      <c r="O2335" s="245"/>
      <c r="P2335" s="245"/>
      <c r="Q2335" s="246"/>
      <c r="R2335" s="233"/>
      <c r="S2335" s="234" t="e">
        <f>IF(C2335="",NA(),MATCH($B2335&amp;$C2335,'Smelter Reference List'!$J:$J,0))</f>
        <v>#N/A</v>
      </c>
      <c r="T2335" s="235"/>
      <c r="U2335" s="235">
        <f t="shared" ca="1" si="68"/>
        <v>0</v>
      </c>
      <c r="V2335" s="235"/>
      <c r="W2335" s="235"/>
      <c r="Y2335" s="228" t="str">
        <f t="shared" si="69"/>
        <v/>
      </c>
    </row>
    <row r="2336" spans="1:25" s="228" customFormat="1" ht="20.25">
      <c r="A2336" s="257"/>
      <c r="B2336" s="232" t="str">
        <f>IF(LEN(A2336)=0,"",INDEX('Smelter Reference List'!$A:$A,MATCH($A2336,'Smelter Reference List'!$E:$E,0)))</f>
        <v/>
      </c>
      <c r="C2336" s="297" t="str">
        <f>IF(LEN(A2336)=0,"",INDEX('Smelter Reference List'!$C:$C,MATCH($A2336,'Smelter Reference List'!$E:$E,0)))</f>
        <v/>
      </c>
      <c r="D2336" s="161" t="str">
        <f ca="1">IF(ISERROR($S2336),"",OFFSET('Smelter Reference List'!$C$4,$S2336-4,0)&amp;"")</f>
        <v/>
      </c>
      <c r="E2336" s="161" t="str">
        <f ca="1">IF(ISERROR($S2336),"",OFFSET('Smelter Reference List'!$D$4,$S2336-4,0)&amp;"")</f>
        <v/>
      </c>
      <c r="F2336" s="161" t="str">
        <f ca="1">IF(ISERROR($S2336),"",OFFSET('Smelter Reference List'!$E$4,$S2336-4,0))</f>
        <v/>
      </c>
      <c r="G2336" s="161" t="str">
        <f ca="1">IF(C2336=$U$4,"Enter smelter details", IF(ISERROR($S2336),"",OFFSET('Smelter Reference List'!$F$4,$S2336-4,0)))</f>
        <v/>
      </c>
      <c r="H2336" s="247" t="str">
        <f ca="1">IF(ISERROR($S2336),"",OFFSET('Smelter Reference List'!$G$4,$S2336-4,0))</f>
        <v/>
      </c>
      <c r="I2336" s="248" t="str">
        <f ca="1">IF(ISERROR($S2336),"",OFFSET('Smelter Reference List'!$H$4,$S2336-4,0))</f>
        <v/>
      </c>
      <c r="J2336" s="248" t="str">
        <f ca="1">IF(ISERROR($S2336),"",OFFSET('Smelter Reference List'!$I$4,$S2336-4,0))</f>
        <v/>
      </c>
      <c r="K2336" s="245"/>
      <c r="L2336" s="245"/>
      <c r="M2336" s="245"/>
      <c r="N2336" s="245"/>
      <c r="O2336" s="245"/>
      <c r="P2336" s="245"/>
      <c r="Q2336" s="246"/>
      <c r="R2336" s="233"/>
      <c r="S2336" s="234" t="e">
        <f>IF(C2336="",NA(),MATCH($B2336&amp;$C2336,'Smelter Reference List'!$J:$J,0))</f>
        <v>#N/A</v>
      </c>
      <c r="T2336" s="235"/>
      <c r="U2336" s="235">
        <f t="shared" ca="1" si="68"/>
        <v>0</v>
      </c>
      <c r="V2336" s="235"/>
      <c r="W2336" s="235"/>
      <c r="Y2336" s="228" t="str">
        <f t="shared" si="69"/>
        <v/>
      </c>
    </row>
    <row r="2337" spans="1:25" s="228" customFormat="1" ht="20.25">
      <c r="A2337" s="257"/>
      <c r="B2337" s="232" t="str">
        <f>IF(LEN(A2337)=0,"",INDEX('Smelter Reference List'!$A:$A,MATCH($A2337,'Smelter Reference List'!$E:$E,0)))</f>
        <v/>
      </c>
      <c r="C2337" s="297" t="str">
        <f>IF(LEN(A2337)=0,"",INDEX('Smelter Reference List'!$C:$C,MATCH($A2337,'Smelter Reference List'!$E:$E,0)))</f>
        <v/>
      </c>
      <c r="D2337" s="161" t="str">
        <f ca="1">IF(ISERROR($S2337),"",OFFSET('Smelter Reference List'!$C$4,$S2337-4,0)&amp;"")</f>
        <v/>
      </c>
      <c r="E2337" s="161" t="str">
        <f ca="1">IF(ISERROR($S2337),"",OFFSET('Smelter Reference List'!$D$4,$S2337-4,0)&amp;"")</f>
        <v/>
      </c>
      <c r="F2337" s="161" t="str">
        <f ca="1">IF(ISERROR($S2337),"",OFFSET('Smelter Reference List'!$E$4,$S2337-4,0))</f>
        <v/>
      </c>
      <c r="G2337" s="161" t="str">
        <f ca="1">IF(C2337=$U$4,"Enter smelter details", IF(ISERROR($S2337),"",OFFSET('Smelter Reference List'!$F$4,$S2337-4,0)))</f>
        <v/>
      </c>
      <c r="H2337" s="247" t="str">
        <f ca="1">IF(ISERROR($S2337),"",OFFSET('Smelter Reference List'!$G$4,$S2337-4,0))</f>
        <v/>
      </c>
      <c r="I2337" s="248" t="str">
        <f ca="1">IF(ISERROR($S2337),"",OFFSET('Smelter Reference List'!$H$4,$S2337-4,0))</f>
        <v/>
      </c>
      <c r="J2337" s="248" t="str">
        <f ca="1">IF(ISERROR($S2337),"",OFFSET('Smelter Reference List'!$I$4,$S2337-4,0))</f>
        <v/>
      </c>
      <c r="K2337" s="245"/>
      <c r="L2337" s="245"/>
      <c r="M2337" s="245"/>
      <c r="N2337" s="245"/>
      <c r="O2337" s="245"/>
      <c r="P2337" s="245"/>
      <c r="Q2337" s="246"/>
      <c r="R2337" s="233"/>
      <c r="S2337" s="234" t="e">
        <f>IF(C2337="",NA(),MATCH($B2337&amp;$C2337,'Smelter Reference List'!$J:$J,0))</f>
        <v>#N/A</v>
      </c>
      <c r="T2337" s="235"/>
      <c r="U2337" s="235">
        <f t="shared" ca="1" si="68"/>
        <v>0</v>
      </c>
      <c r="V2337" s="235"/>
      <c r="W2337" s="235"/>
      <c r="Y2337" s="228" t="str">
        <f t="shared" si="69"/>
        <v/>
      </c>
    </row>
    <row r="2338" spans="1:25" s="228" customFormat="1" ht="20.25">
      <c r="A2338" s="257"/>
      <c r="B2338" s="232" t="str">
        <f>IF(LEN(A2338)=0,"",INDEX('Smelter Reference List'!$A:$A,MATCH($A2338,'Smelter Reference List'!$E:$E,0)))</f>
        <v/>
      </c>
      <c r="C2338" s="297" t="str">
        <f>IF(LEN(A2338)=0,"",INDEX('Smelter Reference List'!$C:$C,MATCH($A2338,'Smelter Reference List'!$E:$E,0)))</f>
        <v/>
      </c>
      <c r="D2338" s="161" t="str">
        <f ca="1">IF(ISERROR($S2338),"",OFFSET('Smelter Reference List'!$C$4,$S2338-4,0)&amp;"")</f>
        <v/>
      </c>
      <c r="E2338" s="161" t="str">
        <f ca="1">IF(ISERROR($S2338),"",OFFSET('Smelter Reference List'!$D$4,$S2338-4,0)&amp;"")</f>
        <v/>
      </c>
      <c r="F2338" s="161" t="str">
        <f ca="1">IF(ISERROR($S2338),"",OFFSET('Smelter Reference List'!$E$4,$S2338-4,0))</f>
        <v/>
      </c>
      <c r="G2338" s="161" t="str">
        <f ca="1">IF(C2338=$U$4,"Enter smelter details", IF(ISERROR($S2338),"",OFFSET('Smelter Reference List'!$F$4,$S2338-4,0)))</f>
        <v/>
      </c>
      <c r="H2338" s="247" t="str">
        <f ca="1">IF(ISERROR($S2338),"",OFFSET('Smelter Reference List'!$G$4,$S2338-4,0))</f>
        <v/>
      </c>
      <c r="I2338" s="248" t="str">
        <f ca="1">IF(ISERROR($S2338),"",OFFSET('Smelter Reference List'!$H$4,$S2338-4,0))</f>
        <v/>
      </c>
      <c r="J2338" s="248" t="str">
        <f ca="1">IF(ISERROR($S2338),"",OFFSET('Smelter Reference List'!$I$4,$S2338-4,0))</f>
        <v/>
      </c>
      <c r="K2338" s="245"/>
      <c r="L2338" s="245"/>
      <c r="M2338" s="245"/>
      <c r="N2338" s="245"/>
      <c r="O2338" s="245"/>
      <c r="P2338" s="245"/>
      <c r="Q2338" s="246"/>
      <c r="R2338" s="233"/>
      <c r="S2338" s="234" t="e">
        <f>IF(C2338="",NA(),MATCH($B2338&amp;$C2338,'Smelter Reference List'!$J:$J,0))</f>
        <v>#N/A</v>
      </c>
      <c r="T2338" s="235"/>
      <c r="U2338" s="235">
        <f t="shared" ca="1" si="68"/>
        <v>0</v>
      </c>
      <c r="V2338" s="235"/>
      <c r="W2338" s="235"/>
      <c r="Y2338" s="228" t="str">
        <f t="shared" si="69"/>
        <v/>
      </c>
    </row>
    <row r="2339" spans="1:25" s="228" customFormat="1" ht="20.25">
      <c r="A2339" s="257"/>
      <c r="B2339" s="232" t="str">
        <f>IF(LEN(A2339)=0,"",INDEX('Smelter Reference List'!$A:$A,MATCH($A2339,'Smelter Reference List'!$E:$E,0)))</f>
        <v/>
      </c>
      <c r="C2339" s="297" t="str">
        <f>IF(LEN(A2339)=0,"",INDEX('Smelter Reference List'!$C:$C,MATCH($A2339,'Smelter Reference List'!$E:$E,0)))</f>
        <v/>
      </c>
      <c r="D2339" s="161" t="str">
        <f ca="1">IF(ISERROR($S2339),"",OFFSET('Smelter Reference List'!$C$4,$S2339-4,0)&amp;"")</f>
        <v/>
      </c>
      <c r="E2339" s="161" t="str">
        <f ca="1">IF(ISERROR($S2339),"",OFFSET('Smelter Reference List'!$D$4,$S2339-4,0)&amp;"")</f>
        <v/>
      </c>
      <c r="F2339" s="161" t="str">
        <f ca="1">IF(ISERROR($S2339),"",OFFSET('Smelter Reference List'!$E$4,$S2339-4,0))</f>
        <v/>
      </c>
      <c r="G2339" s="161" t="str">
        <f ca="1">IF(C2339=$U$4,"Enter smelter details", IF(ISERROR($S2339),"",OFFSET('Smelter Reference List'!$F$4,$S2339-4,0)))</f>
        <v/>
      </c>
      <c r="H2339" s="247" t="str">
        <f ca="1">IF(ISERROR($S2339),"",OFFSET('Smelter Reference List'!$G$4,$S2339-4,0))</f>
        <v/>
      </c>
      <c r="I2339" s="248" t="str">
        <f ca="1">IF(ISERROR($S2339),"",OFFSET('Smelter Reference List'!$H$4,$S2339-4,0))</f>
        <v/>
      </c>
      <c r="J2339" s="248" t="str">
        <f ca="1">IF(ISERROR($S2339),"",OFFSET('Smelter Reference List'!$I$4,$S2339-4,0))</f>
        <v/>
      </c>
      <c r="K2339" s="245"/>
      <c r="L2339" s="245"/>
      <c r="M2339" s="245"/>
      <c r="N2339" s="245"/>
      <c r="O2339" s="245"/>
      <c r="P2339" s="245"/>
      <c r="Q2339" s="246"/>
      <c r="R2339" s="233"/>
      <c r="S2339" s="234" t="e">
        <f>IF(C2339="",NA(),MATCH($B2339&amp;$C2339,'Smelter Reference List'!$J:$J,0))</f>
        <v>#N/A</v>
      </c>
      <c r="T2339" s="235"/>
      <c r="U2339" s="235">
        <f t="shared" ca="1" si="68"/>
        <v>0</v>
      </c>
      <c r="V2339" s="235"/>
      <c r="W2339" s="235"/>
      <c r="Y2339" s="228" t="str">
        <f t="shared" si="69"/>
        <v/>
      </c>
    </row>
    <row r="2340" spans="1:25" s="228" customFormat="1" ht="20.25">
      <c r="A2340" s="257"/>
      <c r="B2340" s="232" t="str">
        <f>IF(LEN(A2340)=0,"",INDEX('Smelter Reference List'!$A:$A,MATCH($A2340,'Smelter Reference List'!$E:$E,0)))</f>
        <v/>
      </c>
      <c r="C2340" s="297" t="str">
        <f>IF(LEN(A2340)=0,"",INDEX('Smelter Reference List'!$C:$C,MATCH($A2340,'Smelter Reference List'!$E:$E,0)))</f>
        <v/>
      </c>
      <c r="D2340" s="161" t="str">
        <f ca="1">IF(ISERROR($S2340),"",OFFSET('Smelter Reference List'!$C$4,$S2340-4,0)&amp;"")</f>
        <v/>
      </c>
      <c r="E2340" s="161" t="str">
        <f ca="1">IF(ISERROR($S2340),"",OFFSET('Smelter Reference List'!$D$4,$S2340-4,0)&amp;"")</f>
        <v/>
      </c>
      <c r="F2340" s="161" t="str">
        <f ca="1">IF(ISERROR($S2340),"",OFFSET('Smelter Reference List'!$E$4,$S2340-4,0))</f>
        <v/>
      </c>
      <c r="G2340" s="161" t="str">
        <f ca="1">IF(C2340=$U$4,"Enter smelter details", IF(ISERROR($S2340),"",OFFSET('Smelter Reference List'!$F$4,$S2340-4,0)))</f>
        <v/>
      </c>
      <c r="H2340" s="247" t="str">
        <f ca="1">IF(ISERROR($S2340),"",OFFSET('Smelter Reference List'!$G$4,$S2340-4,0))</f>
        <v/>
      </c>
      <c r="I2340" s="248" t="str">
        <f ca="1">IF(ISERROR($S2340),"",OFFSET('Smelter Reference List'!$H$4,$S2340-4,0))</f>
        <v/>
      </c>
      <c r="J2340" s="248" t="str">
        <f ca="1">IF(ISERROR($S2340),"",OFFSET('Smelter Reference List'!$I$4,$S2340-4,0))</f>
        <v/>
      </c>
      <c r="K2340" s="245"/>
      <c r="L2340" s="245"/>
      <c r="M2340" s="245"/>
      <c r="N2340" s="245"/>
      <c r="O2340" s="245"/>
      <c r="P2340" s="245"/>
      <c r="Q2340" s="246"/>
      <c r="R2340" s="233"/>
      <c r="S2340" s="234" t="e">
        <f>IF(C2340="",NA(),MATCH($B2340&amp;$C2340,'Smelter Reference List'!$J:$J,0))</f>
        <v>#N/A</v>
      </c>
      <c r="T2340" s="235"/>
      <c r="U2340" s="235">
        <f t="shared" ca="1" si="68"/>
        <v>0</v>
      </c>
      <c r="V2340" s="235"/>
      <c r="W2340" s="235"/>
      <c r="Y2340" s="228" t="str">
        <f t="shared" si="69"/>
        <v/>
      </c>
    </row>
    <row r="2341" spans="1:25" s="228" customFormat="1" ht="20.25">
      <c r="A2341" s="257"/>
      <c r="B2341" s="232" t="str">
        <f>IF(LEN(A2341)=0,"",INDEX('Smelter Reference List'!$A:$A,MATCH($A2341,'Smelter Reference List'!$E:$E,0)))</f>
        <v/>
      </c>
      <c r="C2341" s="297" t="str">
        <f>IF(LEN(A2341)=0,"",INDEX('Smelter Reference List'!$C:$C,MATCH($A2341,'Smelter Reference List'!$E:$E,0)))</f>
        <v/>
      </c>
      <c r="D2341" s="161" t="str">
        <f ca="1">IF(ISERROR($S2341),"",OFFSET('Smelter Reference List'!$C$4,$S2341-4,0)&amp;"")</f>
        <v/>
      </c>
      <c r="E2341" s="161" t="str">
        <f ca="1">IF(ISERROR($S2341),"",OFFSET('Smelter Reference List'!$D$4,$S2341-4,0)&amp;"")</f>
        <v/>
      </c>
      <c r="F2341" s="161" t="str">
        <f ca="1">IF(ISERROR($S2341),"",OFFSET('Smelter Reference List'!$E$4,$S2341-4,0))</f>
        <v/>
      </c>
      <c r="G2341" s="161" t="str">
        <f ca="1">IF(C2341=$U$4,"Enter smelter details", IF(ISERROR($S2341),"",OFFSET('Smelter Reference List'!$F$4,$S2341-4,0)))</f>
        <v/>
      </c>
      <c r="H2341" s="247" t="str">
        <f ca="1">IF(ISERROR($S2341),"",OFFSET('Smelter Reference List'!$G$4,$S2341-4,0))</f>
        <v/>
      </c>
      <c r="I2341" s="248" t="str">
        <f ca="1">IF(ISERROR($S2341),"",OFFSET('Smelter Reference List'!$H$4,$S2341-4,0))</f>
        <v/>
      </c>
      <c r="J2341" s="248" t="str">
        <f ca="1">IF(ISERROR($S2341),"",OFFSET('Smelter Reference List'!$I$4,$S2341-4,0))</f>
        <v/>
      </c>
      <c r="K2341" s="245"/>
      <c r="L2341" s="245"/>
      <c r="M2341" s="245"/>
      <c r="N2341" s="245"/>
      <c r="O2341" s="245"/>
      <c r="P2341" s="245"/>
      <c r="Q2341" s="246"/>
      <c r="R2341" s="233"/>
      <c r="S2341" s="234" t="e">
        <f>IF(C2341="",NA(),MATCH($B2341&amp;$C2341,'Smelter Reference List'!$J:$J,0))</f>
        <v>#N/A</v>
      </c>
      <c r="T2341" s="235"/>
      <c r="U2341" s="235">
        <f t="shared" ca="1" si="68"/>
        <v>0</v>
      </c>
      <c r="V2341" s="235"/>
      <c r="W2341" s="235"/>
      <c r="Y2341" s="228" t="str">
        <f t="shared" si="69"/>
        <v/>
      </c>
    </row>
    <row r="2342" spans="1:25" s="228" customFormat="1" ht="20.25">
      <c r="A2342" s="257"/>
      <c r="B2342" s="232" t="str">
        <f>IF(LEN(A2342)=0,"",INDEX('Smelter Reference List'!$A:$A,MATCH($A2342,'Smelter Reference List'!$E:$E,0)))</f>
        <v/>
      </c>
      <c r="C2342" s="297" t="str">
        <f>IF(LEN(A2342)=0,"",INDEX('Smelter Reference List'!$C:$C,MATCH($A2342,'Smelter Reference List'!$E:$E,0)))</f>
        <v/>
      </c>
      <c r="D2342" s="161" t="str">
        <f ca="1">IF(ISERROR($S2342),"",OFFSET('Smelter Reference List'!$C$4,$S2342-4,0)&amp;"")</f>
        <v/>
      </c>
      <c r="E2342" s="161" t="str">
        <f ca="1">IF(ISERROR($S2342),"",OFFSET('Smelter Reference List'!$D$4,$S2342-4,0)&amp;"")</f>
        <v/>
      </c>
      <c r="F2342" s="161" t="str">
        <f ca="1">IF(ISERROR($S2342),"",OFFSET('Smelter Reference List'!$E$4,$S2342-4,0))</f>
        <v/>
      </c>
      <c r="G2342" s="161" t="str">
        <f ca="1">IF(C2342=$U$4,"Enter smelter details", IF(ISERROR($S2342),"",OFFSET('Smelter Reference List'!$F$4,$S2342-4,0)))</f>
        <v/>
      </c>
      <c r="H2342" s="247" t="str">
        <f ca="1">IF(ISERROR($S2342),"",OFFSET('Smelter Reference List'!$G$4,$S2342-4,0))</f>
        <v/>
      </c>
      <c r="I2342" s="248" t="str">
        <f ca="1">IF(ISERROR($S2342),"",OFFSET('Smelter Reference List'!$H$4,$S2342-4,0))</f>
        <v/>
      </c>
      <c r="J2342" s="248" t="str">
        <f ca="1">IF(ISERROR($S2342),"",OFFSET('Smelter Reference List'!$I$4,$S2342-4,0))</f>
        <v/>
      </c>
      <c r="K2342" s="245"/>
      <c r="L2342" s="245"/>
      <c r="M2342" s="245"/>
      <c r="N2342" s="245"/>
      <c r="O2342" s="245"/>
      <c r="P2342" s="245"/>
      <c r="Q2342" s="246"/>
      <c r="R2342" s="233"/>
      <c r="S2342" s="234" t="e">
        <f>IF(C2342="",NA(),MATCH($B2342&amp;$C2342,'Smelter Reference List'!$J:$J,0))</f>
        <v>#N/A</v>
      </c>
      <c r="T2342" s="235"/>
      <c r="U2342" s="235">
        <f t="shared" ca="1" si="68"/>
        <v>0</v>
      </c>
      <c r="V2342" s="235"/>
      <c r="W2342" s="235"/>
      <c r="Y2342" s="228" t="str">
        <f t="shared" si="69"/>
        <v/>
      </c>
    </row>
    <row r="2343" spans="1:25" s="228" customFormat="1" ht="20.25">
      <c r="A2343" s="257"/>
      <c r="B2343" s="232" t="str">
        <f>IF(LEN(A2343)=0,"",INDEX('Smelter Reference List'!$A:$A,MATCH($A2343,'Smelter Reference List'!$E:$E,0)))</f>
        <v/>
      </c>
      <c r="C2343" s="297" t="str">
        <f>IF(LEN(A2343)=0,"",INDEX('Smelter Reference List'!$C:$C,MATCH($A2343,'Smelter Reference List'!$E:$E,0)))</f>
        <v/>
      </c>
      <c r="D2343" s="161" t="str">
        <f ca="1">IF(ISERROR($S2343),"",OFFSET('Smelter Reference List'!$C$4,$S2343-4,0)&amp;"")</f>
        <v/>
      </c>
      <c r="E2343" s="161" t="str">
        <f ca="1">IF(ISERROR($S2343),"",OFFSET('Smelter Reference List'!$D$4,$S2343-4,0)&amp;"")</f>
        <v/>
      </c>
      <c r="F2343" s="161" t="str">
        <f ca="1">IF(ISERROR($S2343),"",OFFSET('Smelter Reference List'!$E$4,$S2343-4,0))</f>
        <v/>
      </c>
      <c r="G2343" s="161" t="str">
        <f ca="1">IF(C2343=$U$4,"Enter smelter details", IF(ISERROR($S2343),"",OFFSET('Smelter Reference List'!$F$4,$S2343-4,0)))</f>
        <v/>
      </c>
      <c r="H2343" s="247" t="str">
        <f ca="1">IF(ISERROR($S2343),"",OFFSET('Smelter Reference List'!$G$4,$S2343-4,0))</f>
        <v/>
      </c>
      <c r="I2343" s="248" t="str">
        <f ca="1">IF(ISERROR($S2343),"",OFFSET('Smelter Reference List'!$H$4,$S2343-4,0))</f>
        <v/>
      </c>
      <c r="J2343" s="248" t="str">
        <f ca="1">IF(ISERROR($S2343),"",OFFSET('Smelter Reference List'!$I$4,$S2343-4,0))</f>
        <v/>
      </c>
      <c r="K2343" s="245"/>
      <c r="L2343" s="245"/>
      <c r="M2343" s="245"/>
      <c r="N2343" s="245"/>
      <c r="O2343" s="245"/>
      <c r="P2343" s="245"/>
      <c r="Q2343" s="246"/>
      <c r="R2343" s="233"/>
      <c r="S2343" s="234" t="e">
        <f>IF(C2343="",NA(),MATCH($B2343&amp;$C2343,'Smelter Reference List'!$J:$J,0))</f>
        <v>#N/A</v>
      </c>
      <c r="T2343" s="235"/>
      <c r="U2343" s="235">
        <f t="shared" ca="1" si="68"/>
        <v>0</v>
      </c>
      <c r="V2343" s="235"/>
      <c r="W2343" s="235"/>
      <c r="Y2343" s="228" t="str">
        <f t="shared" si="69"/>
        <v/>
      </c>
    </row>
    <row r="2344" spans="1:25" s="228" customFormat="1" ht="20.25">
      <c r="A2344" s="257"/>
      <c r="B2344" s="232" t="str">
        <f>IF(LEN(A2344)=0,"",INDEX('Smelter Reference List'!$A:$A,MATCH($A2344,'Smelter Reference List'!$E:$E,0)))</f>
        <v/>
      </c>
      <c r="C2344" s="297" t="str">
        <f>IF(LEN(A2344)=0,"",INDEX('Smelter Reference List'!$C:$C,MATCH($A2344,'Smelter Reference List'!$E:$E,0)))</f>
        <v/>
      </c>
      <c r="D2344" s="161" t="str">
        <f ca="1">IF(ISERROR($S2344),"",OFFSET('Smelter Reference List'!$C$4,$S2344-4,0)&amp;"")</f>
        <v/>
      </c>
      <c r="E2344" s="161" t="str">
        <f ca="1">IF(ISERROR($S2344),"",OFFSET('Smelter Reference List'!$D$4,$S2344-4,0)&amp;"")</f>
        <v/>
      </c>
      <c r="F2344" s="161" t="str">
        <f ca="1">IF(ISERROR($S2344),"",OFFSET('Smelter Reference List'!$E$4,$S2344-4,0))</f>
        <v/>
      </c>
      <c r="G2344" s="161" t="str">
        <f ca="1">IF(C2344=$U$4,"Enter smelter details", IF(ISERROR($S2344),"",OFFSET('Smelter Reference List'!$F$4,$S2344-4,0)))</f>
        <v/>
      </c>
      <c r="H2344" s="247" t="str">
        <f ca="1">IF(ISERROR($S2344),"",OFFSET('Smelter Reference List'!$G$4,$S2344-4,0))</f>
        <v/>
      </c>
      <c r="I2344" s="248" t="str">
        <f ca="1">IF(ISERROR($S2344),"",OFFSET('Smelter Reference List'!$H$4,$S2344-4,0))</f>
        <v/>
      </c>
      <c r="J2344" s="248" t="str">
        <f ca="1">IF(ISERROR($S2344),"",OFFSET('Smelter Reference List'!$I$4,$S2344-4,0))</f>
        <v/>
      </c>
      <c r="K2344" s="245"/>
      <c r="L2344" s="245"/>
      <c r="M2344" s="245"/>
      <c r="N2344" s="245"/>
      <c r="O2344" s="245"/>
      <c r="P2344" s="245"/>
      <c r="Q2344" s="246"/>
      <c r="R2344" s="233"/>
      <c r="S2344" s="234" t="e">
        <f>IF(C2344="",NA(),MATCH($B2344&amp;$C2344,'Smelter Reference List'!$J:$J,0))</f>
        <v>#N/A</v>
      </c>
      <c r="T2344" s="235"/>
      <c r="U2344" s="235">
        <f t="shared" ca="1" si="68"/>
        <v>0</v>
      </c>
      <c r="V2344" s="235"/>
      <c r="W2344" s="235"/>
      <c r="Y2344" s="228" t="str">
        <f t="shared" si="69"/>
        <v/>
      </c>
    </row>
    <row r="2345" spans="1:25" s="228" customFormat="1" ht="20.25">
      <c r="A2345" s="257"/>
      <c r="B2345" s="232" t="str">
        <f>IF(LEN(A2345)=0,"",INDEX('Smelter Reference List'!$A:$A,MATCH($A2345,'Smelter Reference List'!$E:$E,0)))</f>
        <v/>
      </c>
      <c r="C2345" s="297" t="str">
        <f>IF(LEN(A2345)=0,"",INDEX('Smelter Reference List'!$C:$C,MATCH($A2345,'Smelter Reference List'!$E:$E,0)))</f>
        <v/>
      </c>
      <c r="D2345" s="161" t="str">
        <f ca="1">IF(ISERROR($S2345),"",OFFSET('Smelter Reference List'!$C$4,$S2345-4,0)&amp;"")</f>
        <v/>
      </c>
      <c r="E2345" s="161" t="str">
        <f ca="1">IF(ISERROR($S2345),"",OFFSET('Smelter Reference List'!$D$4,$S2345-4,0)&amp;"")</f>
        <v/>
      </c>
      <c r="F2345" s="161" t="str">
        <f ca="1">IF(ISERROR($S2345),"",OFFSET('Smelter Reference List'!$E$4,$S2345-4,0))</f>
        <v/>
      </c>
      <c r="G2345" s="161" t="str">
        <f ca="1">IF(C2345=$U$4,"Enter smelter details", IF(ISERROR($S2345),"",OFFSET('Smelter Reference List'!$F$4,$S2345-4,0)))</f>
        <v/>
      </c>
      <c r="H2345" s="247" t="str">
        <f ca="1">IF(ISERROR($S2345),"",OFFSET('Smelter Reference List'!$G$4,$S2345-4,0))</f>
        <v/>
      </c>
      <c r="I2345" s="248" t="str">
        <f ca="1">IF(ISERROR($S2345),"",OFFSET('Smelter Reference List'!$H$4,$S2345-4,0))</f>
        <v/>
      </c>
      <c r="J2345" s="248" t="str">
        <f ca="1">IF(ISERROR($S2345),"",OFFSET('Smelter Reference List'!$I$4,$S2345-4,0))</f>
        <v/>
      </c>
      <c r="K2345" s="245"/>
      <c r="L2345" s="245"/>
      <c r="M2345" s="245"/>
      <c r="N2345" s="245"/>
      <c r="O2345" s="245"/>
      <c r="P2345" s="245"/>
      <c r="Q2345" s="246"/>
      <c r="R2345" s="233"/>
      <c r="S2345" s="234" t="e">
        <f>IF(C2345="",NA(),MATCH($B2345&amp;$C2345,'Smelter Reference List'!$J:$J,0))</f>
        <v>#N/A</v>
      </c>
      <c r="T2345" s="235"/>
      <c r="U2345" s="235">
        <f t="shared" ca="1" si="68"/>
        <v>0</v>
      </c>
      <c r="V2345" s="235"/>
      <c r="W2345" s="235"/>
      <c r="Y2345" s="228" t="str">
        <f t="shared" si="69"/>
        <v/>
      </c>
    </row>
    <row r="2346" spans="1:25" s="228" customFormat="1" ht="20.25">
      <c r="A2346" s="257"/>
      <c r="B2346" s="232" t="str">
        <f>IF(LEN(A2346)=0,"",INDEX('Smelter Reference List'!$A:$A,MATCH($A2346,'Smelter Reference List'!$E:$E,0)))</f>
        <v/>
      </c>
      <c r="C2346" s="297" t="str">
        <f>IF(LEN(A2346)=0,"",INDEX('Smelter Reference List'!$C:$C,MATCH($A2346,'Smelter Reference List'!$E:$E,0)))</f>
        <v/>
      </c>
      <c r="D2346" s="161" t="str">
        <f ca="1">IF(ISERROR($S2346),"",OFFSET('Smelter Reference List'!$C$4,$S2346-4,0)&amp;"")</f>
        <v/>
      </c>
      <c r="E2346" s="161" t="str">
        <f ca="1">IF(ISERROR($S2346),"",OFFSET('Smelter Reference List'!$D$4,$S2346-4,0)&amp;"")</f>
        <v/>
      </c>
      <c r="F2346" s="161" t="str">
        <f ca="1">IF(ISERROR($S2346),"",OFFSET('Smelter Reference List'!$E$4,$S2346-4,0))</f>
        <v/>
      </c>
      <c r="G2346" s="161" t="str">
        <f ca="1">IF(C2346=$U$4,"Enter smelter details", IF(ISERROR($S2346),"",OFFSET('Smelter Reference List'!$F$4,$S2346-4,0)))</f>
        <v/>
      </c>
      <c r="H2346" s="247" t="str">
        <f ca="1">IF(ISERROR($S2346),"",OFFSET('Smelter Reference List'!$G$4,$S2346-4,0))</f>
        <v/>
      </c>
      <c r="I2346" s="248" t="str">
        <f ca="1">IF(ISERROR($S2346),"",OFFSET('Smelter Reference List'!$H$4,$S2346-4,0))</f>
        <v/>
      </c>
      <c r="J2346" s="248" t="str">
        <f ca="1">IF(ISERROR($S2346),"",OFFSET('Smelter Reference List'!$I$4,$S2346-4,0))</f>
        <v/>
      </c>
      <c r="K2346" s="245"/>
      <c r="L2346" s="245"/>
      <c r="M2346" s="245"/>
      <c r="N2346" s="245"/>
      <c r="O2346" s="245"/>
      <c r="P2346" s="245"/>
      <c r="Q2346" s="246"/>
      <c r="R2346" s="233"/>
      <c r="S2346" s="234" t="e">
        <f>IF(C2346="",NA(),MATCH($B2346&amp;$C2346,'Smelter Reference List'!$J:$J,0))</f>
        <v>#N/A</v>
      </c>
      <c r="T2346" s="235"/>
      <c r="U2346" s="235">
        <f t="shared" ca="1" si="68"/>
        <v>0</v>
      </c>
      <c r="V2346" s="235"/>
      <c r="W2346" s="235"/>
      <c r="Y2346" s="228" t="str">
        <f t="shared" si="69"/>
        <v/>
      </c>
    </row>
    <row r="2347" spans="1:25" s="228" customFormat="1" ht="20.25">
      <c r="A2347" s="257"/>
      <c r="B2347" s="232" t="str">
        <f>IF(LEN(A2347)=0,"",INDEX('Smelter Reference List'!$A:$A,MATCH($A2347,'Smelter Reference List'!$E:$E,0)))</f>
        <v/>
      </c>
      <c r="C2347" s="297" t="str">
        <f>IF(LEN(A2347)=0,"",INDEX('Smelter Reference List'!$C:$C,MATCH($A2347,'Smelter Reference List'!$E:$E,0)))</f>
        <v/>
      </c>
      <c r="D2347" s="161" t="str">
        <f ca="1">IF(ISERROR($S2347),"",OFFSET('Smelter Reference List'!$C$4,$S2347-4,0)&amp;"")</f>
        <v/>
      </c>
      <c r="E2347" s="161" t="str">
        <f ca="1">IF(ISERROR($S2347),"",OFFSET('Smelter Reference List'!$D$4,$S2347-4,0)&amp;"")</f>
        <v/>
      </c>
      <c r="F2347" s="161" t="str">
        <f ca="1">IF(ISERROR($S2347),"",OFFSET('Smelter Reference List'!$E$4,$S2347-4,0))</f>
        <v/>
      </c>
      <c r="G2347" s="161" t="str">
        <f ca="1">IF(C2347=$U$4,"Enter smelter details", IF(ISERROR($S2347),"",OFFSET('Smelter Reference List'!$F$4,$S2347-4,0)))</f>
        <v/>
      </c>
      <c r="H2347" s="247" t="str">
        <f ca="1">IF(ISERROR($S2347),"",OFFSET('Smelter Reference List'!$G$4,$S2347-4,0))</f>
        <v/>
      </c>
      <c r="I2347" s="248" t="str">
        <f ca="1">IF(ISERROR($S2347),"",OFFSET('Smelter Reference List'!$H$4,$S2347-4,0))</f>
        <v/>
      </c>
      <c r="J2347" s="248" t="str">
        <f ca="1">IF(ISERROR($S2347),"",OFFSET('Smelter Reference List'!$I$4,$S2347-4,0))</f>
        <v/>
      </c>
      <c r="K2347" s="245"/>
      <c r="L2347" s="245"/>
      <c r="M2347" s="245"/>
      <c r="N2347" s="245"/>
      <c r="O2347" s="245"/>
      <c r="P2347" s="245"/>
      <c r="Q2347" s="246"/>
      <c r="R2347" s="233"/>
      <c r="S2347" s="234" t="e">
        <f>IF(C2347="",NA(),MATCH($B2347&amp;$C2347,'Smelter Reference List'!$J:$J,0))</f>
        <v>#N/A</v>
      </c>
      <c r="T2347" s="235"/>
      <c r="U2347" s="235">
        <f t="shared" ca="1" si="68"/>
        <v>0</v>
      </c>
      <c r="V2347" s="235"/>
      <c r="W2347" s="235"/>
      <c r="Y2347" s="228" t="str">
        <f t="shared" si="69"/>
        <v/>
      </c>
    </row>
    <row r="2348" spans="1:25" s="228" customFormat="1" ht="20.25">
      <c r="A2348" s="257"/>
      <c r="B2348" s="232" t="str">
        <f>IF(LEN(A2348)=0,"",INDEX('Smelter Reference List'!$A:$A,MATCH($A2348,'Smelter Reference List'!$E:$E,0)))</f>
        <v/>
      </c>
      <c r="C2348" s="297" t="str">
        <f>IF(LEN(A2348)=0,"",INDEX('Smelter Reference List'!$C:$C,MATCH($A2348,'Smelter Reference List'!$E:$E,0)))</f>
        <v/>
      </c>
      <c r="D2348" s="161" t="str">
        <f ca="1">IF(ISERROR($S2348),"",OFFSET('Smelter Reference List'!$C$4,$S2348-4,0)&amp;"")</f>
        <v/>
      </c>
      <c r="E2348" s="161" t="str">
        <f ca="1">IF(ISERROR($S2348),"",OFFSET('Smelter Reference List'!$D$4,$S2348-4,0)&amp;"")</f>
        <v/>
      </c>
      <c r="F2348" s="161" t="str">
        <f ca="1">IF(ISERROR($S2348),"",OFFSET('Smelter Reference List'!$E$4,$S2348-4,0))</f>
        <v/>
      </c>
      <c r="G2348" s="161" t="str">
        <f ca="1">IF(C2348=$U$4,"Enter smelter details", IF(ISERROR($S2348),"",OFFSET('Smelter Reference List'!$F$4,$S2348-4,0)))</f>
        <v/>
      </c>
      <c r="H2348" s="247" t="str">
        <f ca="1">IF(ISERROR($S2348),"",OFFSET('Smelter Reference List'!$G$4,$S2348-4,0))</f>
        <v/>
      </c>
      <c r="I2348" s="248" t="str">
        <f ca="1">IF(ISERROR($S2348),"",OFFSET('Smelter Reference List'!$H$4,$S2348-4,0))</f>
        <v/>
      </c>
      <c r="J2348" s="248" t="str">
        <f ca="1">IF(ISERROR($S2348),"",OFFSET('Smelter Reference List'!$I$4,$S2348-4,0))</f>
        <v/>
      </c>
      <c r="K2348" s="245"/>
      <c r="L2348" s="245"/>
      <c r="M2348" s="245"/>
      <c r="N2348" s="245"/>
      <c r="O2348" s="245"/>
      <c r="P2348" s="245"/>
      <c r="Q2348" s="246"/>
      <c r="R2348" s="233"/>
      <c r="S2348" s="234" t="e">
        <f>IF(C2348="",NA(),MATCH($B2348&amp;$C2348,'Smelter Reference List'!$J:$J,0))</f>
        <v>#N/A</v>
      </c>
      <c r="T2348" s="235"/>
      <c r="U2348" s="235">
        <f t="shared" ca="1" si="68"/>
        <v>0</v>
      </c>
      <c r="V2348" s="235"/>
      <c r="W2348" s="235"/>
      <c r="Y2348" s="228" t="str">
        <f t="shared" si="69"/>
        <v/>
      </c>
    </row>
    <row r="2349" spans="1:25" s="228" customFormat="1" ht="20.25">
      <c r="A2349" s="257"/>
      <c r="B2349" s="232" t="str">
        <f>IF(LEN(A2349)=0,"",INDEX('Smelter Reference List'!$A:$A,MATCH($A2349,'Smelter Reference List'!$E:$E,0)))</f>
        <v/>
      </c>
      <c r="C2349" s="297" t="str">
        <f>IF(LEN(A2349)=0,"",INDEX('Smelter Reference List'!$C:$C,MATCH($A2349,'Smelter Reference List'!$E:$E,0)))</f>
        <v/>
      </c>
      <c r="D2349" s="161" t="str">
        <f ca="1">IF(ISERROR($S2349),"",OFFSET('Smelter Reference List'!$C$4,$S2349-4,0)&amp;"")</f>
        <v/>
      </c>
      <c r="E2349" s="161" t="str">
        <f ca="1">IF(ISERROR($S2349),"",OFFSET('Smelter Reference List'!$D$4,$S2349-4,0)&amp;"")</f>
        <v/>
      </c>
      <c r="F2349" s="161" t="str">
        <f ca="1">IF(ISERROR($S2349),"",OFFSET('Smelter Reference List'!$E$4,$S2349-4,0))</f>
        <v/>
      </c>
      <c r="G2349" s="161" t="str">
        <f ca="1">IF(C2349=$U$4,"Enter smelter details", IF(ISERROR($S2349),"",OFFSET('Smelter Reference List'!$F$4,$S2349-4,0)))</f>
        <v/>
      </c>
      <c r="H2349" s="247" t="str">
        <f ca="1">IF(ISERROR($S2349),"",OFFSET('Smelter Reference List'!$G$4,$S2349-4,0))</f>
        <v/>
      </c>
      <c r="I2349" s="248" t="str">
        <f ca="1">IF(ISERROR($S2349),"",OFFSET('Smelter Reference List'!$H$4,$S2349-4,0))</f>
        <v/>
      </c>
      <c r="J2349" s="248" t="str">
        <f ca="1">IF(ISERROR($S2349),"",OFFSET('Smelter Reference List'!$I$4,$S2349-4,0))</f>
        <v/>
      </c>
      <c r="K2349" s="245"/>
      <c r="L2349" s="245"/>
      <c r="M2349" s="245"/>
      <c r="N2349" s="245"/>
      <c r="O2349" s="245"/>
      <c r="P2349" s="245"/>
      <c r="Q2349" s="246"/>
      <c r="R2349" s="233"/>
      <c r="S2349" s="234" t="e">
        <f>IF(C2349="",NA(),MATCH($B2349&amp;$C2349,'Smelter Reference List'!$J:$J,0))</f>
        <v>#N/A</v>
      </c>
      <c r="T2349" s="235"/>
      <c r="U2349" s="235">
        <f t="shared" ca="1" si="68"/>
        <v>0</v>
      </c>
      <c r="V2349" s="235"/>
      <c r="W2349" s="235"/>
      <c r="Y2349" s="228" t="str">
        <f t="shared" si="69"/>
        <v/>
      </c>
    </row>
    <row r="2350" spans="1:25" s="228" customFormat="1" ht="20.25">
      <c r="A2350" s="257"/>
      <c r="B2350" s="232" t="str">
        <f>IF(LEN(A2350)=0,"",INDEX('Smelter Reference List'!$A:$A,MATCH($A2350,'Smelter Reference List'!$E:$E,0)))</f>
        <v/>
      </c>
      <c r="C2350" s="297" t="str">
        <f>IF(LEN(A2350)=0,"",INDEX('Smelter Reference List'!$C:$C,MATCH($A2350,'Smelter Reference List'!$E:$E,0)))</f>
        <v/>
      </c>
      <c r="D2350" s="161" t="str">
        <f ca="1">IF(ISERROR($S2350),"",OFFSET('Smelter Reference List'!$C$4,$S2350-4,0)&amp;"")</f>
        <v/>
      </c>
      <c r="E2350" s="161" t="str">
        <f ca="1">IF(ISERROR($S2350),"",OFFSET('Smelter Reference List'!$D$4,$S2350-4,0)&amp;"")</f>
        <v/>
      </c>
      <c r="F2350" s="161" t="str">
        <f ca="1">IF(ISERROR($S2350),"",OFFSET('Smelter Reference List'!$E$4,$S2350-4,0))</f>
        <v/>
      </c>
      <c r="G2350" s="161" t="str">
        <f ca="1">IF(C2350=$U$4,"Enter smelter details", IF(ISERROR($S2350),"",OFFSET('Smelter Reference List'!$F$4,$S2350-4,0)))</f>
        <v/>
      </c>
      <c r="H2350" s="247" t="str">
        <f ca="1">IF(ISERROR($S2350),"",OFFSET('Smelter Reference List'!$G$4,$S2350-4,0))</f>
        <v/>
      </c>
      <c r="I2350" s="248" t="str">
        <f ca="1">IF(ISERROR($S2350),"",OFFSET('Smelter Reference List'!$H$4,$S2350-4,0))</f>
        <v/>
      </c>
      <c r="J2350" s="248" t="str">
        <f ca="1">IF(ISERROR($S2350),"",OFFSET('Smelter Reference List'!$I$4,$S2350-4,0))</f>
        <v/>
      </c>
      <c r="K2350" s="245"/>
      <c r="L2350" s="245"/>
      <c r="M2350" s="245"/>
      <c r="N2350" s="245"/>
      <c r="O2350" s="245"/>
      <c r="P2350" s="245"/>
      <c r="Q2350" s="246"/>
      <c r="R2350" s="233"/>
      <c r="S2350" s="234" t="e">
        <f>IF(C2350="",NA(),MATCH($B2350&amp;$C2350,'Smelter Reference List'!$J:$J,0))</f>
        <v>#N/A</v>
      </c>
      <c r="T2350" s="235"/>
      <c r="U2350" s="235">
        <f t="shared" ca="1" si="68"/>
        <v>0</v>
      </c>
      <c r="V2350" s="235"/>
      <c r="W2350" s="235"/>
      <c r="Y2350" s="228" t="str">
        <f t="shared" si="69"/>
        <v/>
      </c>
    </row>
    <row r="2351" spans="1:25" s="228" customFormat="1" ht="20.25">
      <c r="A2351" s="257"/>
      <c r="B2351" s="232" t="str">
        <f>IF(LEN(A2351)=0,"",INDEX('Smelter Reference List'!$A:$A,MATCH($A2351,'Smelter Reference List'!$E:$E,0)))</f>
        <v/>
      </c>
      <c r="C2351" s="297" t="str">
        <f>IF(LEN(A2351)=0,"",INDEX('Smelter Reference List'!$C:$C,MATCH($A2351,'Smelter Reference List'!$E:$E,0)))</f>
        <v/>
      </c>
      <c r="D2351" s="161" t="str">
        <f ca="1">IF(ISERROR($S2351),"",OFFSET('Smelter Reference List'!$C$4,$S2351-4,0)&amp;"")</f>
        <v/>
      </c>
      <c r="E2351" s="161" t="str">
        <f ca="1">IF(ISERROR($S2351),"",OFFSET('Smelter Reference List'!$D$4,$S2351-4,0)&amp;"")</f>
        <v/>
      </c>
      <c r="F2351" s="161" t="str">
        <f ca="1">IF(ISERROR($S2351),"",OFFSET('Smelter Reference List'!$E$4,$S2351-4,0))</f>
        <v/>
      </c>
      <c r="G2351" s="161" t="str">
        <f ca="1">IF(C2351=$U$4,"Enter smelter details", IF(ISERROR($S2351),"",OFFSET('Smelter Reference List'!$F$4,$S2351-4,0)))</f>
        <v/>
      </c>
      <c r="H2351" s="247" t="str">
        <f ca="1">IF(ISERROR($S2351),"",OFFSET('Smelter Reference List'!$G$4,$S2351-4,0))</f>
        <v/>
      </c>
      <c r="I2351" s="248" t="str">
        <f ca="1">IF(ISERROR($S2351),"",OFFSET('Smelter Reference List'!$H$4,$S2351-4,0))</f>
        <v/>
      </c>
      <c r="J2351" s="248" t="str">
        <f ca="1">IF(ISERROR($S2351),"",OFFSET('Smelter Reference List'!$I$4,$S2351-4,0))</f>
        <v/>
      </c>
      <c r="K2351" s="245"/>
      <c r="L2351" s="245"/>
      <c r="M2351" s="245"/>
      <c r="N2351" s="245"/>
      <c r="O2351" s="245"/>
      <c r="P2351" s="245"/>
      <c r="Q2351" s="246"/>
      <c r="R2351" s="233"/>
      <c r="S2351" s="234" t="e">
        <f>IF(C2351="",NA(),MATCH($B2351&amp;$C2351,'Smelter Reference List'!$J:$J,0))</f>
        <v>#N/A</v>
      </c>
      <c r="T2351" s="235"/>
      <c r="U2351" s="235">
        <f t="shared" ca="1" si="68"/>
        <v>0</v>
      </c>
      <c r="V2351" s="235"/>
      <c r="W2351" s="235"/>
      <c r="Y2351" s="228" t="str">
        <f t="shared" si="69"/>
        <v/>
      </c>
    </row>
    <row r="2352" spans="1:25" s="228" customFormat="1" ht="20.25">
      <c r="A2352" s="257"/>
      <c r="B2352" s="232" t="str">
        <f>IF(LEN(A2352)=0,"",INDEX('Smelter Reference List'!$A:$A,MATCH($A2352,'Smelter Reference List'!$E:$E,0)))</f>
        <v/>
      </c>
      <c r="C2352" s="297" t="str">
        <f>IF(LEN(A2352)=0,"",INDEX('Smelter Reference List'!$C:$C,MATCH($A2352,'Smelter Reference List'!$E:$E,0)))</f>
        <v/>
      </c>
      <c r="D2352" s="161" t="str">
        <f ca="1">IF(ISERROR($S2352),"",OFFSET('Smelter Reference List'!$C$4,$S2352-4,0)&amp;"")</f>
        <v/>
      </c>
      <c r="E2352" s="161" t="str">
        <f ca="1">IF(ISERROR($S2352),"",OFFSET('Smelter Reference List'!$D$4,$S2352-4,0)&amp;"")</f>
        <v/>
      </c>
      <c r="F2352" s="161" t="str">
        <f ca="1">IF(ISERROR($S2352),"",OFFSET('Smelter Reference List'!$E$4,$S2352-4,0))</f>
        <v/>
      </c>
      <c r="G2352" s="161" t="str">
        <f ca="1">IF(C2352=$U$4,"Enter smelter details", IF(ISERROR($S2352),"",OFFSET('Smelter Reference List'!$F$4,$S2352-4,0)))</f>
        <v/>
      </c>
      <c r="H2352" s="247" t="str">
        <f ca="1">IF(ISERROR($S2352),"",OFFSET('Smelter Reference List'!$G$4,$S2352-4,0))</f>
        <v/>
      </c>
      <c r="I2352" s="248" t="str">
        <f ca="1">IF(ISERROR($S2352),"",OFFSET('Smelter Reference List'!$H$4,$S2352-4,0))</f>
        <v/>
      </c>
      <c r="J2352" s="248" t="str">
        <f ca="1">IF(ISERROR($S2352),"",OFFSET('Smelter Reference List'!$I$4,$S2352-4,0))</f>
        <v/>
      </c>
      <c r="K2352" s="245"/>
      <c r="L2352" s="245"/>
      <c r="M2352" s="245"/>
      <c r="N2352" s="245"/>
      <c r="O2352" s="245"/>
      <c r="P2352" s="245"/>
      <c r="Q2352" s="246"/>
      <c r="R2352" s="233"/>
      <c r="S2352" s="234" t="e">
        <f>IF(C2352="",NA(),MATCH($B2352&amp;$C2352,'Smelter Reference List'!$J:$J,0))</f>
        <v>#N/A</v>
      </c>
      <c r="T2352" s="235"/>
      <c r="U2352" s="235">
        <f t="shared" ca="1" si="68"/>
        <v>0</v>
      </c>
      <c r="V2352" s="235"/>
      <c r="W2352" s="235"/>
      <c r="Y2352" s="228" t="str">
        <f t="shared" si="69"/>
        <v/>
      </c>
    </row>
    <row r="2353" spans="1:25" s="228" customFormat="1" ht="20.25">
      <c r="A2353" s="257"/>
      <c r="B2353" s="232" t="str">
        <f>IF(LEN(A2353)=0,"",INDEX('Smelter Reference List'!$A:$A,MATCH($A2353,'Smelter Reference List'!$E:$E,0)))</f>
        <v/>
      </c>
      <c r="C2353" s="297" t="str">
        <f>IF(LEN(A2353)=0,"",INDEX('Smelter Reference List'!$C:$C,MATCH($A2353,'Smelter Reference List'!$E:$E,0)))</f>
        <v/>
      </c>
      <c r="D2353" s="161" t="str">
        <f ca="1">IF(ISERROR($S2353),"",OFFSET('Smelter Reference List'!$C$4,$S2353-4,0)&amp;"")</f>
        <v/>
      </c>
      <c r="E2353" s="161" t="str">
        <f ca="1">IF(ISERROR($S2353),"",OFFSET('Smelter Reference List'!$D$4,$S2353-4,0)&amp;"")</f>
        <v/>
      </c>
      <c r="F2353" s="161" t="str">
        <f ca="1">IF(ISERROR($S2353),"",OFFSET('Smelter Reference List'!$E$4,$S2353-4,0))</f>
        <v/>
      </c>
      <c r="G2353" s="161" t="str">
        <f ca="1">IF(C2353=$U$4,"Enter smelter details", IF(ISERROR($S2353),"",OFFSET('Smelter Reference List'!$F$4,$S2353-4,0)))</f>
        <v/>
      </c>
      <c r="H2353" s="247" t="str">
        <f ca="1">IF(ISERROR($S2353),"",OFFSET('Smelter Reference List'!$G$4,$S2353-4,0))</f>
        <v/>
      </c>
      <c r="I2353" s="248" t="str">
        <f ca="1">IF(ISERROR($S2353),"",OFFSET('Smelter Reference List'!$H$4,$S2353-4,0))</f>
        <v/>
      </c>
      <c r="J2353" s="248" t="str">
        <f ca="1">IF(ISERROR($S2353),"",OFFSET('Smelter Reference List'!$I$4,$S2353-4,0))</f>
        <v/>
      </c>
      <c r="K2353" s="245"/>
      <c r="L2353" s="245"/>
      <c r="M2353" s="245"/>
      <c r="N2353" s="245"/>
      <c r="O2353" s="245"/>
      <c r="P2353" s="245"/>
      <c r="Q2353" s="246"/>
      <c r="R2353" s="233"/>
      <c r="S2353" s="234" t="e">
        <f>IF(C2353="",NA(),MATCH($B2353&amp;$C2353,'Smelter Reference List'!$J:$J,0))</f>
        <v>#N/A</v>
      </c>
      <c r="T2353" s="235"/>
      <c r="U2353" s="235">
        <f t="shared" ca="1" si="68"/>
        <v>0</v>
      </c>
      <c r="V2353" s="235"/>
      <c r="W2353" s="235"/>
      <c r="Y2353" s="228" t="str">
        <f t="shared" si="69"/>
        <v/>
      </c>
    </row>
    <row r="2354" spans="1:25" s="228" customFormat="1" ht="20.25">
      <c r="A2354" s="257"/>
      <c r="B2354" s="232" t="str">
        <f>IF(LEN(A2354)=0,"",INDEX('Smelter Reference List'!$A:$A,MATCH($A2354,'Smelter Reference List'!$E:$E,0)))</f>
        <v/>
      </c>
      <c r="C2354" s="297" t="str">
        <f>IF(LEN(A2354)=0,"",INDEX('Smelter Reference List'!$C:$C,MATCH($A2354,'Smelter Reference List'!$E:$E,0)))</f>
        <v/>
      </c>
      <c r="D2354" s="161" t="str">
        <f ca="1">IF(ISERROR($S2354),"",OFFSET('Smelter Reference List'!$C$4,$S2354-4,0)&amp;"")</f>
        <v/>
      </c>
      <c r="E2354" s="161" t="str">
        <f ca="1">IF(ISERROR($S2354),"",OFFSET('Smelter Reference List'!$D$4,$S2354-4,0)&amp;"")</f>
        <v/>
      </c>
      <c r="F2354" s="161" t="str">
        <f ca="1">IF(ISERROR($S2354),"",OFFSET('Smelter Reference List'!$E$4,$S2354-4,0))</f>
        <v/>
      </c>
      <c r="G2354" s="161" t="str">
        <f ca="1">IF(C2354=$U$4,"Enter smelter details", IF(ISERROR($S2354),"",OFFSET('Smelter Reference List'!$F$4,$S2354-4,0)))</f>
        <v/>
      </c>
      <c r="H2354" s="247" t="str">
        <f ca="1">IF(ISERROR($S2354),"",OFFSET('Smelter Reference List'!$G$4,$S2354-4,0))</f>
        <v/>
      </c>
      <c r="I2354" s="248" t="str">
        <f ca="1">IF(ISERROR($S2354),"",OFFSET('Smelter Reference List'!$H$4,$S2354-4,0))</f>
        <v/>
      </c>
      <c r="J2354" s="248" t="str">
        <f ca="1">IF(ISERROR($S2354),"",OFFSET('Smelter Reference List'!$I$4,$S2354-4,0))</f>
        <v/>
      </c>
      <c r="K2354" s="245"/>
      <c r="L2354" s="245"/>
      <c r="M2354" s="245"/>
      <c r="N2354" s="245"/>
      <c r="O2354" s="245"/>
      <c r="P2354" s="245"/>
      <c r="Q2354" s="246"/>
      <c r="R2354" s="233"/>
      <c r="S2354" s="234" t="e">
        <f>IF(C2354="",NA(),MATCH($B2354&amp;$C2354,'Smelter Reference List'!$J:$J,0))</f>
        <v>#N/A</v>
      </c>
      <c r="T2354" s="235"/>
      <c r="U2354" s="235">
        <f t="shared" ca="1" si="68"/>
        <v>0</v>
      </c>
      <c r="V2354" s="235"/>
      <c r="W2354" s="235"/>
      <c r="Y2354" s="228" t="str">
        <f t="shared" si="69"/>
        <v/>
      </c>
    </row>
    <row r="2355" spans="1:25" s="228" customFormat="1" ht="20.25">
      <c r="A2355" s="257"/>
      <c r="B2355" s="232" t="str">
        <f>IF(LEN(A2355)=0,"",INDEX('Smelter Reference List'!$A:$A,MATCH($A2355,'Smelter Reference List'!$E:$E,0)))</f>
        <v/>
      </c>
      <c r="C2355" s="297" t="str">
        <f>IF(LEN(A2355)=0,"",INDEX('Smelter Reference List'!$C:$C,MATCH($A2355,'Smelter Reference List'!$E:$E,0)))</f>
        <v/>
      </c>
      <c r="D2355" s="161" t="str">
        <f ca="1">IF(ISERROR($S2355),"",OFFSET('Smelter Reference List'!$C$4,$S2355-4,0)&amp;"")</f>
        <v/>
      </c>
      <c r="E2355" s="161" t="str">
        <f ca="1">IF(ISERROR($S2355),"",OFFSET('Smelter Reference List'!$D$4,$S2355-4,0)&amp;"")</f>
        <v/>
      </c>
      <c r="F2355" s="161" t="str">
        <f ca="1">IF(ISERROR($S2355),"",OFFSET('Smelter Reference List'!$E$4,$S2355-4,0))</f>
        <v/>
      </c>
      <c r="G2355" s="161" t="str">
        <f ca="1">IF(C2355=$U$4,"Enter smelter details", IF(ISERROR($S2355),"",OFFSET('Smelter Reference List'!$F$4,$S2355-4,0)))</f>
        <v/>
      </c>
      <c r="H2355" s="247" t="str">
        <f ca="1">IF(ISERROR($S2355),"",OFFSET('Smelter Reference List'!$G$4,$S2355-4,0))</f>
        <v/>
      </c>
      <c r="I2355" s="248" t="str">
        <f ca="1">IF(ISERROR($S2355),"",OFFSET('Smelter Reference List'!$H$4,$S2355-4,0))</f>
        <v/>
      </c>
      <c r="J2355" s="248" t="str">
        <f ca="1">IF(ISERROR($S2355),"",OFFSET('Smelter Reference List'!$I$4,$S2355-4,0))</f>
        <v/>
      </c>
      <c r="K2355" s="245"/>
      <c r="L2355" s="245"/>
      <c r="M2355" s="245"/>
      <c r="N2355" s="245"/>
      <c r="O2355" s="245"/>
      <c r="P2355" s="245"/>
      <c r="Q2355" s="246"/>
      <c r="R2355" s="233"/>
      <c r="S2355" s="234" t="e">
        <f>IF(C2355="",NA(),MATCH($B2355&amp;$C2355,'Smelter Reference List'!$J:$J,0))</f>
        <v>#N/A</v>
      </c>
      <c r="T2355" s="235"/>
      <c r="U2355" s="235">
        <f t="shared" ca="1" si="68"/>
        <v>0</v>
      </c>
      <c r="V2355" s="235"/>
      <c r="W2355" s="235"/>
      <c r="Y2355" s="228" t="str">
        <f t="shared" si="69"/>
        <v/>
      </c>
    </row>
    <row r="2356" spans="1:25" s="228" customFormat="1" ht="20.25">
      <c r="A2356" s="257"/>
      <c r="B2356" s="232" t="str">
        <f>IF(LEN(A2356)=0,"",INDEX('Smelter Reference List'!$A:$A,MATCH($A2356,'Smelter Reference List'!$E:$E,0)))</f>
        <v/>
      </c>
      <c r="C2356" s="297" t="str">
        <f>IF(LEN(A2356)=0,"",INDEX('Smelter Reference List'!$C:$C,MATCH($A2356,'Smelter Reference List'!$E:$E,0)))</f>
        <v/>
      </c>
      <c r="D2356" s="161" t="str">
        <f ca="1">IF(ISERROR($S2356),"",OFFSET('Smelter Reference List'!$C$4,$S2356-4,0)&amp;"")</f>
        <v/>
      </c>
      <c r="E2356" s="161" t="str">
        <f ca="1">IF(ISERROR($S2356),"",OFFSET('Smelter Reference List'!$D$4,$S2356-4,0)&amp;"")</f>
        <v/>
      </c>
      <c r="F2356" s="161" t="str">
        <f ca="1">IF(ISERROR($S2356),"",OFFSET('Smelter Reference List'!$E$4,$S2356-4,0))</f>
        <v/>
      </c>
      <c r="G2356" s="161" t="str">
        <f ca="1">IF(C2356=$U$4,"Enter smelter details", IF(ISERROR($S2356),"",OFFSET('Smelter Reference List'!$F$4,$S2356-4,0)))</f>
        <v/>
      </c>
      <c r="H2356" s="247" t="str">
        <f ca="1">IF(ISERROR($S2356),"",OFFSET('Smelter Reference List'!$G$4,$S2356-4,0))</f>
        <v/>
      </c>
      <c r="I2356" s="248" t="str">
        <f ca="1">IF(ISERROR($S2356),"",OFFSET('Smelter Reference List'!$H$4,$S2356-4,0))</f>
        <v/>
      </c>
      <c r="J2356" s="248" t="str">
        <f ca="1">IF(ISERROR($S2356),"",OFFSET('Smelter Reference List'!$I$4,$S2356-4,0))</f>
        <v/>
      </c>
      <c r="K2356" s="245"/>
      <c r="L2356" s="245"/>
      <c r="M2356" s="245"/>
      <c r="N2356" s="245"/>
      <c r="O2356" s="245"/>
      <c r="P2356" s="245"/>
      <c r="Q2356" s="246"/>
      <c r="R2356" s="233"/>
      <c r="S2356" s="234" t="e">
        <f>IF(C2356="",NA(),MATCH($B2356&amp;$C2356,'Smelter Reference List'!$J:$J,0))</f>
        <v>#N/A</v>
      </c>
      <c r="T2356" s="235"/>
      <c r="U2356" s="235">
        <f t="shared" ca="1" si="68"/>
        <v>0</v>
      </c>
      <c r="V2356" s="235"/>
      <c r="W2356" s="235"/>
      <c r="Y2356" s="228" t="str">
        <f t="shared" si="69"/>
        <v/>
      </c>
    </row>
    <row r="2357" spans="1:25" s="228" customFormat="1" ht="20.25">
      <c r="A2357" s="257"/>
      <c r="B2357" s="232" t="str">
        <f>IF(LEN(A2357)=0,"",INDEX('Smelter Reference List'!$A:$A,MATCH($A2357,'Smelter Reference List'!$E:$E,0)))</f>
        <v/>
      </c>
      <c r="C2357" s="297" t="str">
        <f>IF(LEN(A2357)=0,"",INDEX('Smelter Reference List'!$C:$C,MATCH($A2357,'Smelter Reference List'!$E:$E,0)))</f>
        <v/>
      </c>
      <c r="D2357" s="161" t="str">
        <f ca="1">IF(ISERROR($S2357),"",OFFSET('Smelter Reference List'!$C$4,$S2357-4,0)&amp;"")</f>
        <v/>
      </c>
      <c r="E2357" s="161" t="str">
        <f ca="1">IF(ISERROR($S2357),"",OFFSET('Smelter Reference List'!$D$4,$S2357-4,0)&amp;"")</f>
        <v/>
      </c>
      <c r="F2357" s="161" t="str">
        <f ca="1">IF(ISERROR($S2357),"",OFFSET('Smelter Reference List'!$E$4,$S2357-4,0))</f>
        <v/>
      </c>
      <c r="G2357" s="161" t="str">
        <f ca="1">IF(C2357=$U$4,"Enter smelter details", IF(ISERROR($S2357),"",OFFSET('Smelter Reference List'!$F$4,$S2357-4,0)))</f>
        <v/>
      </c>
      <c r="H2357" s="247" t="str">
        <f ca="1">IF(ISERROR($S2357),"",OFFSET('Smelter Reference List'!$G$4,$S2357-4,0))</f>
        <v/>
      </c>
      <c r="I2357" s="248" t="str">
        <f ca="1">IF(ISERROR($S2357),"",OFFSET('Smelter Reference List'!$H$4,$S2357-4,0))</f>
        <v/>
      </c>
      <c r="J2357" s="248" t="str">
        <f ca="1">IF(ISERROR($S2357),"",OFFSET('Smelter Reference List'!$I$4,$S2357-4,0))</f>
        <v/>
      </c>
      <c r="K2357" s="245"/>
      <c r="L2357" s="245"/>
      <c r="M2357" s="245"/>
      <c r="N2357" s="245"/>
      <c r="O2357" s="245"/>
      <c r="P2357" s="245"/>
      <c r="Q2357" s="246"/>
      <c r="R2357" s="233"/>
      <c r="S2357" s="234" t="e">
        <f>IF(C2357="",NA(),MATCH($B2357&amp;$C2357,'Smelter Reference List'!$J:$J,0))</f>
        <v>#N/A</v>
      </c>
      <c r="T2357" s="235"/>
      <c r="U2357" s="235">
        <f t="shared" ca="1" si="68"/>
        <v>0</v>
      </c>
      <c r="V2357" s="235"/>
      <c r="W2357" s="235"/>
      <c r="Y2357" s="228" t="str">
        <f t="shared" si="69"/>
        <v/>
      </c>
    </row>
    <row r="2358" spans="1:25" s="228" customFormat="1" ht="20.25">
      <c r="A2358" s="257"/>
      <c r="B2358" s="232" t="str">
        <f>IF(LEN(A2358)=0,"",INDEX('Smelter Reference List'!$A:$A,MATCH($A2358,'Smelter Reference List'!$E:$E,0)))</f>
        <v/>
      </c>
      <c r="C2358" s="297" t="str">
        <f>IF(LEN(A2358)=0,"",INDEX('Smelter Reference List'!$C:$C,MATCH($A2358,'Smelter Reference List'!$E:$E,0)))</f>
        <v/>
      </c>
      <c r="D2358" s="161" t="str">
        <f ca="1">IF(ISERROR($S2358),"",OFFSET('Smelter Reference List'!$C$4,$S2358-4,0)&amp;"")</f>
        <v/>
      </c>
      <c r="E2358" s="161" t="str">
        <f ca="1">IF(ISERROR($S2358),"",OFFSET('Smelter Reference List'!$D$4,$S2358-4,0)&amp;"")</f>
        <v/>
      </c>
      <c r="F2358" s="161" t="str">
        <f ca="1">IF(ISERROR($S2358),"",OFFSET('Smelter Reference List'!$E$4,$S2358-4,0))</f>
        <v/>
      </c>
      <c r="G2358" s="161" t="str">
        <f ca="1">IF(C2358=$U$4,"Enter smelter details", IF(ISERROR($S2358),"",OFFSET('Smelter Reference List'!$F$4,$S2358-4,0)))</f>
        <v/>
      </c>
      <c r="H2358" s="247" t="str">
        <f ca="1">IF(ISERROR($S2358),"",OFFSET('Smelter Reference List'!$G$4,$S2358-4,0))</f>
        <v/>
      </c>
      <c r="I2358" s="248" t="str">
        <f ca="1">IF(ISERROR($S2358),"",OFFSET('Smelter Reference List'!$H$4,$S2358-4,0))</f>
        <v/>
      </c>
      <c r="J2358" s="248" t="str">
        <f ca="1">IF(ISERROR($S2358),"",OFFSET('Smelter Reference List'!$I$4,$S2358-4,0))</f>
        <v/>
      </c>
      <c r="K2358" s="245"/>
      <c r="L2358" s="245"/>
      <c r="M2358" s="245"/>
      <c r="N2358" s="245"/>
      <c r="O2358" s="245"/>
      <c r="P2358" s="245"/>
      <c r="Q2358" s="246"/>
      <c r="R2358" s="233"/>
      <c r="S2358" s="234" t="e">
        <f>IF(C2358="",NA(),MATCH($B2358&amp;$C2358,'Smelter Reference List'!$J:$J,0))</f>
        <v>#N/A</v>
      </c>
      <c r="T2358" s="235"/>
      <c r="U2358" s="235">
        <f t="shared" ca="1" si="68"/>
        <v>0</v>
      </c>
      <c r="V2358" s="235"/>
      <c r="W2358" s="235"/>
      <c r="Y2358" s="228" t="str">
        <f t="shared" si="69"/>
        <v/>
      </c>
    </row>
    <row r="2359" spans="1:25" s="228" customFormat="1" ht="20.25">
      <c r="A2359" s="257"/>
      <c r="B2359" s="232" t="str">
        <f>IF(LEN(A2359)=0,"",INDEX('Smelter Reference List'!$A:$A,MATCH($A2359,'Smelter Reference List'!$E:$E,0)))</f>
        <v/>
      </c>
      <c r="C2359" s="297" t="str">
        <f>IF(LEN(A2359)=0,"",INDEX('Smelter Reference List'!$C:$C,MATCH($A2359,'Smelter Reference List'!$E:$E,0)))</f>
        <v/>
      </c>
      <c r="D2359" s="161" t="str">
        <f ca="1">IF(ISERROR($S2359),"",OFFSET('Smelter Reference List'!$C$4,$S2359-4,0)&amp;"")</f>
        <v/>
      </c>
      <c r="E2359" s="161" t="str">
        <f ca="1">IF(ISERROR($S2359),"",OFFSET('Smelter Reference List'!$D$4,$S2359-4,0)&amp;"")</f>
        <v/>
      </c>
      <c r="F2359" s="161" t="str">
        <f ca="1">IF(ISERROR($S2359),"",OFFSET('Smelter Reference List'!$E$4,$S2359-4,0))</f>
        <v/>
      </c>
      <c r="G2359" s="161" t="str">
        <f ca="1">IF(C2359=$U$4,"Enter smelter details", IF(ISERROR($S2359),"",OFFSET('Smelter Reference List'!$F$4,$S2359-4,0)))</f>
        <v/>
      </c>
      <c r="H2359" s="247" t="str">
        <f ca="1">IF(ISERROR($S2359),"",OFFSET('Smelter Reference List'!$G$4,$S2359-4,0))</f>
        <v/>
      </c>
      <c r="I2359" s="248" t="str">
        <f ca="1">IF(ISERROR($S2359),"",OFFSET('Smelter Reference List'!$H$4,$S2359-4,0))</f>
        <v/>
      </c>
      <c r="J2359" s="248" t="str">
        <f ca="1">IF(ISERROR($S2359),"",OFFSET('Smelter Reference List'!$I$4,$S2359-4,0))</f>
        <v/>
      </c>
      <c r="K2359" s="245"/>
      <c r="L2359" s="245"/>
      <c r="M2359" s="245"/>
      <c r="N2359" s="245"/>
      <c r="O2359" s="245"/>
      <c r="P2359" s="245"/>
      <c r="Q2359" s="246"/>
      <c r="R2359" s="233"/>
      <c r="S2359" s="234" t="e">
        <f>IF(C2359="",NA(),MATCH($B2359&amp;$C2359,'Smelter Reference List'!$J:$J,0))</f>
        <v>#N/A</v>
      </c>
      <c r="T2359" s="235"/>
      <c r="U2359" s="235">
        <f t="shared" ca="1" si="68"/>
        <v>0</v>
      </c>
      <c r="V2359" s="235"/>
      <c r="W2359" s="235"/>
      <c r="Y2359" s="228" t="str">
        <f t="shared" si="69"/>
        <v/>
      </c>
    </row>
    <row r="2360" spans="1:25" s="228" customFormat="1" ht="20.25">
      <c r="A2360" s="257"/>
      <c r="B2360" s="232" t="str">
        <f>IF(LEN(A2360)=0,"",INDEX('Smelter Reference List'!$A:$A,MATCH($A2360,'Smelter Reference List'!$E:$E,0)))</f>
        <v/>
      </c>
      <c r="C2360" s="297" t="str">
        <f>IF(LEN(A2360)=0,"",INDEX('Smelter Reference List'!$C:$C,MATCH($A2360,'Smelter Reference List'!$E:$E,0)))</f>
        <v/>
      </c>
      <c r="D2360" s="161" t="str">
        <f ca="1">IF(ISERROR($S2360),"",OFFSET('Smelter Reference List'!$C$4,$S2360-4,0)&amp;"")</f>
        <v/>
      </c>
      <c r="E2360" s="161" t="str">
        <f ca="1">IF(ISERROR($S2360),"",OFFSET('Smelter Reference List'!$D$4,$S2360-4,0)&amp;"")</f>
        <v/>
      </c>
      <c r="F2360" s="161" t="str">
        <f ca="1">IF(ISERROR($S2360),"",OFFSET('Smelter Reference List'!$E$4,$S2360-4,0))</f>
        <v/>
      </c>
      <c r="G2360" s="161" t="str">
        <f ca="1">IF(C2360=$U$4,"Enter smelter details", IF(ISERROR($S2360),"",OFFSET('Smelter Reference List'!$F$4,$S2360-4,0)))</f>
        <v/>
      </c>
      <c r="H2360" s="247" t="str">
        <f ca="1">IF(ISERROR($S2360),"",OFFSET('Smelter Reference List'!$G$4,$S2360-4,0))</f>
        <v/>
      </c>
      <c r="I2360" s="248" t="str">
        <f ca="1">IF(ISERROR($S2360),"",OFFSET('Smelter Reference List'!$H$4,$S2360-4,0))</f>
        <v/>
      </c>
      <c r="J2360" s="248" t="str">
        <f ca="1">IF(ISERROR($S2360),"",OFFSET('Smelter Reference List'!$I$4,$S2360-4,0))</f>
        <v/>
      </c>
      <c r="K2360" s="245"/>
      <c r="L2360" s="245"/>
      <c r="M2360" s="245"/>
      <c r="N2360" s="245"/>
      <c r="O2360" s="245"/>
      <c r="P2360" s="245"/>
      <c r="Q2360" s="246"/>
      <c r="R2360" s="233"/>
      <c r="S2360" s="234" t="e">
        <f>IF(C2360="",NA(),MATCH($B2360&amp;$C2360,'Smelter Reference List'!$J:$J,0))</f>
        <v>#N/A</v>
      </c>
      <c r="T2360" s="235"/>
      <c r="U2360" s="235">
        <f t="shared" ca="1" si="68"/>
        <v>0</v>
      </c>
      <c r="V2360" s="235"/>
      <c r="W2360" s="235"/>
      <c r="Y2360" s="228" t="str">
        <f t="shared" si="69"/>
        <v/>
      </c>
    </row>
    <row r="2361" spans="1:25" s="228" customFormat="1" ht="20.25">
      <c r="A2361" s="257"/>
      <c r="B2361" s="232" t="str">
        <f>IF(LEN(A2361)=0,"",INDEX('Smelter Reference List'!$A:$A,MATCH($A2361,'Smelter Reference List'!$E:$E,0)))</f>
        <v/>
      </c>
      <c r="C2361" s="297" t="str">
        <f>IF(LEN(A2361)=0,"",INDEX('Smelter Reference List'!$C:$C,MATCH($A2361,'Smelter Reference List'!$E:$E,0)))</f>
        <v/>
      </c>
      <c r="D2361" s="161" t="str">
        <f ca="1">IF(ISERROR($S2361),"",OFFSET('Smelter Reference List'!$C$4,$S2361-4,0)&amp;"")</f>
        <v/>
      </c>
      <c r="E2361" s="161" t="str">
        <f ca="1">IF(ISERROR($S2361),"",OFFSET('Smelter Reference List'!$D$4,$S2361-4,0)&amp;"")</f>
        <v/>
      </c>
      <c r="F2361" s="161" t="str">
        <f ca="1">IF(ISERROR($S2361),"",OFFSET('Smelter Reference List'!$E$4,$S2361-4,0))</f>
        <v/>
      </c>
      <c r="G2361" s="161" t="str">
        <f ca="1">IF(C2361=$U$4,"Enter smelter details", IF(ISERROR($S2361),"",OFFSET('Smelter Reference List'!$F$4,$S2361-4,0)))</f>
        <v/>
      </c>
      <c r="H2361" s="247" t="str">
        <f ca="1">IF(ISERROR($S2361),"",OFFSET('Smelter Reference List'!$G$4,$S2361-4,0))</f>
        <v/>
      </c>
      <c r="I2361" s="248" t="str">
        <f ca="1">IF(ISERROR($S2361),"",OFFSET('Smelter Reference List'!$H$4,$S2361-4,0))</f>
        <v/>
      </c>
      <c r="J2361" s="248" t="str">
        <f ca="1">IF(ISERROR($S2361),"",OFFSET('Smelter Reference List'!$I$4,$S2361-4,0))</f>
        <v/>
      </c>
      <c r="K2361" s="245"/>
      <c r="L2361" s="245"/>
      <c r="M2361" s="245"/>
      <c r="N2361" s="245"/>
      <c r="O2361" s="245"/>
      <c r="P2361" s="245"/>
      <c r="Q2361" s="246"/>
      <c r="R2361" s="233"/>
      <c r="S2361" s="234" t="e">
        <f>IF(C2361="",NA(),MATCH($B2361&amp;$C2361,'Smelter Reference List'!$J:$J,0))</f>
        <v>#N/A</v>
      </c>
      <c r="T2361" s="235"/>
      <c r="U2361" s="235">
        <f t="shared" ca="1" si="68"/>
        <v>0</v>
      </c>
      <c r="V2361" s="235"/>
      <c r="W2361" s="235"/>
      <c r="Y2361" s="228" t="str">
        <f t="shared" si="69"/>
        <v/>
      </c>
    </row>
    <row r="2362" spans="1:25" s="228" customFormat="1" ht="20.25">
      <c r="A2362" s="257"/>
      <c r="B2362" s="232" t="str">
        <f>IF(LEN(A2362)=0,"",INDEX('Smelter Reference List'!$A:$A,MATCH($A2362,'Smelter Reference List'!$E:$E,0)))</f>
        <v/>
      </c>
      <c r="C2362" s="297" t="str">
        <f>IF(LEN(A2362)=0,"",INDEX('Smelter Reference List'!$C:$C,MATCH($A2362,'Smelter Reference List'!$E:$E,0)))</f>
        <v/>
      </c>
      <c r="D2362" s="161" t="str">
        <f ca="1">IF(ISERROR($S2362),"",OFFSET('Smelter Reference List'!$C$4,$S2362-4,0)&amp;"")</f>
        <v/>
      </c>
      <c r="E2362" s="161" t="str">
        <f ca="1">IF(ISERROR($S2362),"",OFFSET('Smelter Reference List'!$D$4,$S2362-4,0)&amp;"")</f>
        <v/>
      </c>
      <c r="F2362" s="161" t="str">
        <f ca="1">IF(ISERROR($S2362),"",OFFSET('Smelter Reference List'!$E$4,$S2362-4,0))</f>
        <v/>
      </c>
      <c r="G2362" s="161" t="str">
        <f ca="1">IF(C2362=$U$4,"Enter smelter details", IF(ISERROR($S2362),"",OFFSET('Smelter Reference List'!$F$4,$S2362-4,0)))</f>
        <v/>
      </c>
      <c r="H2362" s="247" t="str">
        <f ca="1">IF(ISERROR($S2362),"",OFFSET('Smelter Reference List'!$G$4,$S2362-4,0))</f>
        <v/>
      </c>
      <c r="I2362" s="248" t="str">
        <f ca="1">IF(ISERROR($S2362),"",OFFSET('Smelter Reference List'!$H$4,$S2362-4,0))</f>
        <v/>
      </c>
      <c r="J2362" s="248" t="str">
        <f ca="1">IF(ISERROR($S2362),"",OFFSET('Smelter Reference List'!$I$4,$S2362-4,0))</f>
        <v/>
      </c>
      <c r="K2362" s="245"/>
      <c r="L2362" s="245"/>
      <c r="M2362" s="245"/>
      <c r="N2362" s="245"/>
      <c r="O2362" s="245"/>
      <c r="P2362" s="245"/>
      <c r="Q2362" s="246"/>
      <c r="R2362" s="233"/>
      <c r="S2362" s="234" t="e">
        <f>IF(C2362="",NA(),MATCH($B2362&amp;$C2362,'Smelter Reference List'!$J:$J,0))</f>
        <v>#N/A</v>
      </c>
      <c r="T2362" s="235"/>
      <c r="U2362" s="235">
        <f t="shared" ca="1" si="68"/>
        <v>0</v>
      </c>
      <c r="V2362" s="235"/>
      <c r="W2362" s="235"/>
      <c r="Y2362" s="228" t="str">
        <f t="shared" si="69"/>
        <v/>
      </c>
    </row>
    <row r="2363" spans="1:25" s="228" customFormat="1" ht="20.25">
      <c r="A2363" s="257"/>
      <c r="B2363" s="232" t="str">
        <f>IF(LEN(A2363)=0,"",INDEX('Smelter Reference List'!$A:$A,MATCH($A2363,'Smelter Reference List'!$E:$E,0)))</f>
        <v/>
      </c>
      <c r="C2363" s="297" t="str">
        <f>IF(LEN(A2363)=0,"",INDEX('Smelter Reference List'!$C:$C,MATCH($A2363,'Smelter Reference List'!$E:$E,0)))</f>
        <v/>
      </c>
      <c r="D2363" s="161" t="str">
        <f ca="1">IF(ISERROR($S2363),"",OFFSET('Smelter Reference List'!$C$4,$S2363-4,0)&amp;"")</f>
        <v/>
      </c>
      <c r="E2363" s="161" t="str">
        <f ca="1">IF(ISERROR($S2363),"",OFFSET('Smelter Reference List'!$D$4,$S2363-4,0)&amp;"")</f>
        <v/>
      </c>
      <c r="F2363" s="161" t="str">
        <f ca="1">IF(ISERROR($S2363),"",OFFSET('Smelter Reference List'!$E$4,$S2363-4,0))</f>
        <v/>
      </c>
      <c r="G2363" s="161" t="str">
        <f ca="1">IF(C2363=$U$4,"Enter smelter details", IF(ISERROR($S2363),"",OFFSET('Smelter Reference List'!$F$4,$S2363-4,0)))</f>
        <v/>
      </c>
      <c r="H2363" s="247" t="str">
        <f ca="1">IF(ISERROR($S2363),"",OFFSET('Smelter Reference List'!$G$4,$S2363-4,0))</f>
        <v/>
      </c>
      <c r="I2363" s="248" t="str">
        <f ca="1">IF(ISERROR($S2363),"",OFFSET('Smelter Reference List'!$H$4,$S2363-4,0))</f>
        <v/>
      </c>
      <c r="J2363" s="248" t="str">
        <f ca="1">IF(ISERROR($S2363),"",OFFSET('Smelter Reference List'!$I$4,$S2363-4,0))</f>
        <v/>
      </c>
      <c r="K2363" s="245"/>
      <c r="L2363" s="245"/>
      <c r="M2363" s="245"/>
      <c r="N2363" s="245"/>
      <c r="O2363" s="245"/>
      <c r="P2363" s="245"/>
      <c r="Q2363" s="246"/>
      <c r="R2363" s="233"/>
      <c r="S2363" s="234" t="e">
        <f>IF(C2363="",NA(),MATCH($B2363&amp;$C2363,'Smelter Reference List'!$J:$J,0))</f>
        <v>#N/A</v>
      </c>
      <c r="T2363" s="235"/>
      <c r="U2363" s="235">
        <f t="shared" ca="1" si="68"/>
        <v>0</v>
      </c>
      <c r="V2363" s="235"/>
      <c r="W2363" s="235"/>
      <c r="Y2363" s="228" t="str">
        <f t="shared" si="69"/>
        <v/>
      </c>
    </row>
    <row r="2364" spans="1:25" s="228" customFormat="1" ht="20.25">
      <c r="A2364" s="257"/>
      <c r="B2364" s="232" t="str">
        <f>IF(LEN(A2364)=0,"",INDEX('Smelter Reference List'!$A:$A,MATCH($A2364,'Smelter Reference List'!$E:$E,0)))</f>
        <v/>
      </c>
      <c r="C2364" s="297" t="str">
        <f>IF(LEN(A2364)=0,"",INDEX('Smelter Reference List'!$C:$C,MATCH($A2364,'Smelter Reference List'!$E:$E,0)))</f>
        <v/>
      </c>
      <c r="D2364" s="161" t="str">
        <f ca="1">IF(ISERROR($S2364),"",OFFSET('Smelter Reference List'!$C$4,$S2364-4,0)&amp;"")</f>
        <v/>
      </c>
      <c r="E2364" s="161" t="str">
        <f ca="1">IF(ISERROR($S2364),"",OFFSET('Smelter Reference List'!$D$4,$S2364-4,0)&amp;"")</f>
        <v/>
      </c>
      <c r="F2364" s="161" t="str">
        <f ca="1">IF(ISERROR($S2364),"",OFFSET('Smelter Reference List'!$E$4,$S2364-4,0))</f>
        <v/>
      </c>
      <c r="G2364" s="161" t="str">
        <f ca="1">IF(C2364=$U$4,"Enter smelter details", IF(ISERROR($S2364),"",OFFSET('Smelter Reference List'!$F$4,$S2364-4,0)))</f>
        <v/>
      </c>
      <c r="H2364" s="247" t="str">
        <f ca="1">IF(ISERROR($S2364),"",OFFSET('Smelter Reference List'!$G$4,$S2364-4,0))</f>
        <v/>
      </c>
      <c r="I2364" s="248" t="str">
        <f ca="1">IF(ISERROR($S2364),"",OFFSET('Smelter Reference List'!$H$4,$S2364-4,0))</f>
        <v/>
      </c>
      <c r="J2364" s="248" t="str">
        <f ca="1">IF(ISERROR($S2364),"",OFFSET('Smelter Reference List'!$I$4,$S2364-4,0))</f>
        <v/>
      </c>
      <c r="K2364" s="245"/>
      <c r="L2364" s="245"/>
      <c r="M2364" s="245"/>
      <c r="N2364" s="245"/>
      <c r="O2364" s="245"/>
      <c r="P2364" s="245"/>
      <c r="Q2364" s="246"/>
      <c r="R2364" s="233"/>
      <c r="S2364" s="234" t="e">
        <f>IF(C2364="",NA(),MATCH($B2364&amp;$C2364,'Smelter Reference List'!$J:$J,0))</f>
        <v>#N/A</v>
      </c>
      <c r="T2364" s="235"/>
      <c r="U2364" s="235">
        <f t="shared" ca="1" si="68"/>
        <v>0</v>
      </c>
      <c r="V2364" s="235"/>
      <c r="W2364" s="235"/>
      <c r="Y2364" s="228" t="str">
        <f t="shared" si="69"/>
        <v/>
      </c>
    </row>
    <row r="2365" spans="1:25" s="228" customFormat="1" ht="20.25">
      <c r="A2365" s="257"/>
      <c r="B2365" s="232" t="str">
        <f>IF(LEN(A2365)=0,"",INDEX('Smelter Reference List'!$A:$A,MATCH($A2365,'Smelter Reference List'!$E:$E,0)))</f>
        <v/>
      </c>
      <c r="C2365" s="297" t="str">
        <f>IF(LEN(A2365)=0,"",INDEX('Smelter Reference List'!$C:$C,MATCH($A2365,'Smelter Reference List'!$E:$E,0)))</f>
        <v/>
      </c>
      <c r="D2365" s="161" t="str">
        <f ca="1">IF(ISERROR($S2365),"",OFFSET('Smelter Reference List'!$C$4,$S2365-4,0)&amp;"")</f>
        <v/>
      </c>
      <c r="E2365" s="161" t="str">
        <f ca="1">IF(ISERROR($S2365),"",OFFSET('Smelter Reference List'!$D$4,$S2365-4,0)&amp;"")</f>
        <v/>
      </c>
      <c r="F2365" s="161" t="str">
        <f ca="1">IF(ISERROR($S2365),"",OFFSET('Smelter Reference List'!$E$4,$S2365-4,0))</f>
        <v/>
      </c>
      <c r="G2365" s="161" t="str">
        <f ca="1">IF(C2365=$U$4,"Enter smelter details", IF(ISERROR($S2365),"",OFFSET('Smelter Reference List'!$F$4,$S2365-4,0)))</f>
        <v/>
      </c>
      <c r="H2365" s="247" t="str">
        <f ca="1">IF(ISERROR($S2365),"",OFFSET('Smelter Reference List'!$G$4,$S2365-4,0))</f>
        <v/>
      </c>
      <c r="I2365" s="248" t="str">
        <f ca="1">IF(ISERROR($S2365),"",OFFSET('Smelter Reference List'!$H$4,$S2365-4,0))</f>
        <v/>
      </c>
      <c r="J2365" s="248" t="str">
        <f ca="1">IF(ISERROR($S2365),"",OFFSET('Smelter Reference List'!$I$4,$S2365-4,0))</f>
        <v/>
      </c>
      <c r="K2365" s="245"/>
      <c r="L2365" s="245"/>
      <c r="M2365" s="245"/>
      <c r="N2365" s="245"/>
      <c r="O2365" s="245"/>
      <c r="P2365" s="245"/>
      <c r="Q2365" s="246"/>
      <c r="R2365" s="233"/>
      <c r="S2365" s="234" t="e">
        <f>IF(C2365="",NA(),MATCH($B2365&amp;$C2365,'Smelter Reference List'!$J:$J,0))</f>
        <v>#N/A</v>
      </c>
      <c r="T2365" s="235"/>
      <c r="U2365" s="235">
        <f t="shared" ca="1" si="68"/>
        <v>0</v>
      </c>
      <c r="V2365" s="235"/>
      <c r="W2365" s="235"/>
      <c r="Y2365" s="228" t="str">
        <f t="shared" si="69"/>
        <v/>
      </c>
    </row>
    <row r="2366" spans="1:25" s="228" customFormat="1" ht="20.25">
      <c r="A2366" s="257"/>
      <c r="B2366" s="232" t="str">
        <f>IF(LEN(A2366)=0,"",INDEX('Smelter Reference List'!$A:$A,MATCH($A2366,'Smelter Reference List'!$E:$E,0)))</f>
        <v/>
      </c>
      <c r="C2366" s="297" t="str">
        <f>IF(LEN(A2366)=0,"",INDEX('Smelter Reference List'!$C:$C,MATCH($A2366,'Smelter Reference List'!$E:$E,0)))</f>
        <v/>
      </c>
      <c r="D2366" s="161" t="str">
        <f ca="1">IF(ISERROR($S2366),"",OFFSET('Smelter Reference List'!$C$4,$S2366-4,0)&amp;"")</f>
        <v/>
      </c>
      <c r="E2366" s="161" t="str">
        <f ca="1">IF(ISERROR($S2366),"",OFFSET('Smelter Reference List'!$D$4,$S2366-4,0)&amp;"")</f>
        <v/>
      </c>
      <c r="F2366" s="161" t="str">
        <f ca="1">IF(ISERROR($S2366),"",OFFSET('Smelter Reference List'!$E$4,$S2366-4,0))</f>
        <v/>
      </c>
      <c r="G2366" s="161" t="str">
        <f ca="1">IF(C2366=$U$4,"Enter smelter details", IF(ISERROR($S2366),"",OFFSET('Smelter Reference List'!$F$4,$S2366-4,0)))</f>
        <v/>
      </c>
      <c r="H2366" s="247" t="str">
        <f ca="1">IF(ISERROR($S2366),"",OFFSET('Smelter Reference List'!$G$4,$S2366-4,0))</f>
        <v/>
      </c>
      <c r="I2366" s="248" t="str">
        <f ca="1">IF(ISERROR($S2366),"",OFFSET('Smelter Reference List'!$H$4,$S2366-4,0))</f>
        <v/>
      </c>
      <c r="J2366" s="248" t="str">
        <f ca="1">IF(ISERROR($S2366),"",OFFSET('Smelter Reference List'!$I$4,$S2366-4,0))</f>
        <v/>
      </c>
      <c r="K2366" s="245"/>
      <c r="L2366" s="245"/>
      <c r="M2366" s="245"/>
      <c r="N2366" s="245"/>
      <c r="O2366" s="245"/>
      <c r="P2366" s="245"/>
      <c r="Q2366" s="246"/>
      <c r="R2366" s="233"/>
      <c r="S2366" s="234" t="e">
        <f>IF(C2366="",NA(),MATCH($B2366&amp;$C2366,'Smelter Reference List'!$J:$J,0))</f>
        <v>#N/A</v>
      </c>
      <c r="T2366" s="235"/>
      <c r="U2366" s="235">
        <f t="shared" ca="1" si="68"/>
        <v>0</v>
      </c>
      <c r="V2366" s="235"/>
      <c r="W2366" s="235"/>
      <c r="Y2366" s="228" t="str">
        <f t="shared" si="69"/>
        <v/>
      </c>
    </row>
    <row r="2367" spans="1:25" s="228" customFormat="1" ht="20.25">
      <c r="A2367" s="257"/>
      <c r="B2367" s="232" t="str">
        <f>IF(LEN(A2367)=0,"",INDEX('Smelter Reference List'!$A:$A,MATCH($A2367,'Smelter Reference List'!$E:$E,0)))</f>
        <v/>
      </c>
      <c r="C2367" s="297" t="str">
        <f>IF(LEN(A2367)=0,"",INDEX('Smelter Reference List'!$C:$C,MATCH($A2367,'Smelter Reference List'!$E:$E,0)))</f>
        <v/>
      </c>
      <c r="D2367" s="161" t="str">
        <f ca="1">IF(ISERROR($S2367),"",OFFSET('Smelter Reference List'!$C$4,$S2367-4,0)&amp;"")</f>
        <v/>
      </c>
      <c r="E2367" s="161" t="str">
        <f ca="1">IF(ISERROR($S2367),"",OFFSET('Smelter Reference List'!$D$4,$S2367-4,0)&amp;"")</f>
        <v/>
      </c>
      <c r="F2367" s="161" t="str">
        <f ca="1">IF(ISERROR($S2367),"",OFFSET('Smelter Reference List'!$E$4,$S2367-4,0))</f>
        <v/>
      </c>
      <c r="G2367" s="161" t="str">
        <f ca="1">IF(C2367=$U$4,"Enter smelter details", IF(ISERROR($S2367),"",OFFSET('Smelter Reference List'!$F$4,$S2367-4,0)))</f>
        <v/>
      </c>
      <c r="H2367" s="247" t="str">
        <f ca="1">IF(ISERROR($S2367),"",OFFSET('Smelter Reference List'!$G$4,$S2367-4,0))</f>
        <v/>
      </c>
      <c r="I2367" s="248" t="str">
        <f ca="1">IF(ISERROR($S2367),"",OFFSET('Smelter Reference List'!$H$4,$S2367-4,0))</f>
        <v/>
      </c>
      <c r="J2367" s="248" t="str">
        <f ca="1">IF(ISERROR($S2367),"",OFFSET('Smelter Reference List'!$I$4,$S2367-4,0))</f>
        <v/>
      </c>
      <c r="K2367" s="245"/>
      <c r="L2367" s="245"/>
      <c r="M2367" s="245"/>
      <c r="N2367" s="245"/>
      <c r="O2367" s="245"/>
      <c r="P2367" s="245"/>
      <c r="Q2367" s="246"/>
      <c r="R2367" s="233"/>
      <c r="S2367" s="234" t="e">
        <f>IF(C2367="",NA(),MATCH($B2367&amp;$C2367,'Smelter Reference List'!$J:$J,0))</f>
        <v>#N/A</v>
      </c>
      <c r="T2367" s="235"/>
      <c r="U2367" s="235">
        <f t="shared" ca="1" si="68"/>
        <v>0</v>
      </c>
      <c r="V2367" s="235"/>
      <c r="W2367" s="235"/>
      <c r="Y2367" s="228" t="str">
        <f t="shared" si="69"/>
        <v/>
      </c>
    </row>
    <row r="2368" spans="1:25" s="228" customFormat="1" ht="20.25">
      <c r="A2368" s="257"/>
      <c r="B2368" s="232" t="str">
        <f>IF(LEN(A2368)=0,"",INDEX('Smelter Reference List'!$A:$A,MATCH($A2368,'Smelter Reference List'!$E:$E,0)))</f>
        <v/>
      </c>
      <c r="C2368" s="297" t="str">
        <f>IF(LEN(A2368)=0,"",INDEX('Smelter Reference List'!$C:$C,MATCH($A2368,'Smelter Reference List'!$E:$E,0)))</f>
        <v/>
      </c>
      <c r="D2368" s="161" t="str">
        <f ca="1">IF(ISERROR($S2368),"",OFFSET('Smelter Reference List'!$C$4,$S2368-4,0)&amp;"")</f>
        <v/>
      </c>
      <c r="E2368" s="161" t="str">
        <f ca="1">IF(ISERROR($S2368),"",OFFSET('Smelter Reference List'!$D$4,$S2368-4,0)&amp;"")</f>
        <v/>
      </c>
      <c r="F2368" s="161" t="str">
        <f ca="1">IF(ISERROR($S2368),"",OFFSET('Smelter Reference List'!$E$4,$S2368-4,0))</f>
        <v/>
      </c>
      <c r="G2368" s="161" t="str">
        <f ca="1">IF(C2368=$U$4,"Enter smelter details", IF(ISERROR($S2368),"",OFFSET('Smelter Reference List'!$F$4,$S2368-4,0)))</f>
        <v/>
      </c>
      <c r="H2368" s="247" t="str">
        <f ca="1">IF(ISERROR($S2368),"",OFFSET('Smelter Reference List'!$G$4,$S2368-4,0))</f>
        <v/>
      </c>
      <c r="I2368" s="248" t="str">
        <f ca="1">IF(ISERROR($S2368),"",OFFSET('Smelter Reference List'!$H$4,$S2368-4,0))</f>
        <v/>
      </c>
      <c r="J2368" s="248" t="str">
        <f ca="1">IF(ISERROR($S2368),"",OFFSET('Smelter Reference List'!$I$4,$S2368-4,0))</f>
        <v/>
      </c>
      <c r="K2368" s="245"/>
      <c r="L2368" s="245"/>
      <c r="M2368" s="245"/>
      <c r="N2368" s="245"/>
      <c r="O2368" s="245"/>
      <c r="P2368" s="245"/>
      <c r="Q2368" s="246"/>
      <c r="R2368" s="233"/>
      <c r="S2368" s="234" t="e">
        <f>IF(C2368="",NA(),MATCH($B2368&amp;$C2368,'Smelter Reference List'!$J:$J,0))</f>
        <v>#N/A</v>
      </c>
      <c r="T2368" s="235"/>
      <c r="U2368" s="235">
        <f t="shared" ca="1" si="68"/>
        <v>0</v>
      </c>
      <c r="V2368" s="235"/>
      <c r="W2368" s="235"/>
      <c r="Y2368" s="228" t="str">
        <f t="shared" si="69"/>
        <v/>
      </c>
    </row>
    <row r="2369" spans="1:25" s="228" customFormat="1" ht="20.25">
      <c r="A2369" s="257"/>
      <c r="B2369" s="232" t="str">
        <f>IF(LEN(A2369)=0,"",INDEX('Smelter Reference List'!$A:$A,MATCH($A2369,'Smelter Reference List'!$E:$E,0)))</f>
        <v/>
      </c>
      <c r="C2369" s="297" t="str">
        <f>IF(LEN(A2369)=0,"",INDEX('Smelter Reference List'!$C:$C,MATCH($A2369,'Smelter Reference List'!$E:$E,0)))</f>
        <v/>
      </c>
      <c r="D2369" s="161" t="str">
        <f ca="1">IF(ISERROR($S2369),"",OFFSET('Smelter Reference List'!$C$4,$S2369-4,0)&amp;"")</f>
        <v/>
      </c>
      <c r="E2369" s="161" t="str">
        <f ca="1">IF(ISERROR($S2369),"",OFFSET('Smelter Reference List'!$D$4,$S2369-4,0)&amp;"")</f>
        <v/>
      </c>
      <c r="F2369" s="161" t="str">
        <f ca="1">IF(ISERROR($S2369),"",OFFSET('Smelter Reference List'!$E$4,$S2369-4,0))</f>
        <v/>
      </c>
      <c r="G2369" s="161" t="str">
        <f ca="1">IF(C2369=$U$4,"Enter smelter details", IF(ISERROR($S2369),"",OFFSET('Smelter Reference List'!$F$4,$S2369-4,0)))</f>
        <v/>
      </c>
      <c r="H2369" s="247" t="str">
        <f ca="1">IF(ISERROR($S2369),"",OFFSET('Smelter Reference List'!$G$4,$S2369-4,0))</f>
        <v/>
      </c>
      <c r="I2369" s="248" t="str">
        <f ca="1">IF(ISERROR($S2369),"",OFFSET('Smelter Reference List'!$H$4,$S2369-4,0))</f>
        <v/>
      </c>
      <c r="J2369" s="248" t="str">
        <f ca="1">IF(ISERROR($S2369),"",OFFSET('Smelter Reference List'!$I$4,$S2369-4,0))</f>
        <v/>
      </c>
      <c r="K2369" s="245"/>
      <c r="L2369" s="245"/>
      <c r="M2369" s="245"/>
      <c r="N2369" s="245"/>
      <c r="O2369" s="245"/>
      <c r="P2369" s="245"/>
      <c r="Q2369" s="246"/>
      <c r="R2369" s="233"/>
      <c r="S2369" s="234" t="e">
        <f>IF(C2369="",NA(),MATCH($B2369&amp;$C2369,'Smelter Reference List'!$J:$J,0))</f>
        <v>#N/A</v>
      </c>
      <c r="T2369" s="235"/>
      <c r="U2369" s="235">
        <f t="shared" ca="1" si="68"/>
        <v>0</v>
      </c>
      <c r="V2369" s="235"/>
      <c r="W2369" s="235"/>
      <c r="Y2369" s="228" t="str">
        <f t="shared" si="69"/>
        <v/>
      </c>
    </row>
    <row r="2370" spans="1:25" s="228" customFormat="1" ht="20.25">
      <c r="A2370" s="257"/>
      <c r="B2370" s="232" t="str">
        <f>IF(LEN(A2370)=0,"",INDEX('Smelter Reference List'!$A:$A,MATCH($A2370,'Smelter Reference List'!$E:$E,0)))</f>
        <v/>
      </c>
      <c r="C2370" s="297" t="str">
        <f>IF(LEN(A2370)=0,"",INDEX('Smelter Reference List'!$C:$C,MATCH($A2370,'Smelter Reference List'!$E:$E,0)))</f>
        <v/>
      </c>
      <c r="D2370" s="161" t="str">
        <f ca="1">IF(ISERROR($S2370),"",OFFSET('Smelter Reference List'!$C$4,$S2370-4,0)&amp;"")</f>
        <v/>
      </c>
      <c r="E2370" s="161" t="str">
        <f ca="1">IF(ISERROR($S2370),"",OFFSET('Smelter Reference List'!$D$4,$S2370-4,0)&amp;"")</f>
        <v/>
      </c>
      <c r="F2370" s="161" t="str">
        <f ca="1">IF(ISERROR($S2370),"",OFFSET('Smelter Reference List'!$E$4,$S2370-4,0))</f>
        <v/>
      </c>
      <c r="G2370" s="161" t="str">
        <f ca="1">IF(C2370=$U$4,"Enter smelter details", IF(ISERROR($S2370),"",OFFSET('Smelter Reference List'!$F$4,$S2370-4,0)))</f>
        <v/>
      </c>
      <c r="H2370" s="247" t="str">
        <f ca="1">IF(ISERROR($S2370),"",OFFSET('Smelter Reference List'!$G$4,$S2370-4,0))</f>
        <v/>
      </c>
      <c r="I2370" s="248" t="str">
        <f ca="1">IF(ISERROR($S2370),"",OFFSET('Smelter Reference List'!$H$4,$S2370-4,0))</f>
        <v/>
      </c>
      <c r="J2370" s="248" t="str">
        <f ca="1">IF(ISERROR($S2370),"",OFFSET('Smelter Reference List'!$I$4,$S2370-4,0))</f>
        <v/>
      </c>
      <c r="K2370" s="245"/>
      <c r="L2370" s="245"/>
      <c r="M2370" s="245"/>
      <c r="N2370" s="245"/>
      <c r="O2370" s="245"/>
      <c r="P2370" s="245"/>
      <c r="Q2370" s="246"/>
      <c r="R2370" s="233"/>
      <c r="S2370" s="234" t="e">
        <f>IF(C2370="",NA(),MATCH($B2370&amp;$C2370,'Smelter Reference List'!$J:$J,0))</f>
        <v>#N/A</v>
      </c>
      <c r="T2370" s="235"/>
      <c r="U2370" s="235">
        <f t="shared" ca="1" si="68"/>
        <v>0</v>
      </c>
      <c r="V2370" s="235"/>
      <c r="W2370" s="235"/>
      <c r="Y2370" s="228" t="str">
        <f t="shared" si="69"/>
        <v/>
      </c>
    </row>
    <row r="2371" spans="1:25" s="228" customFormat="1" ht="20.25">
      <c r="A2371" s="257"/>
      <c r="B2371" s="232" t="str">
        <f>IF(LEN(A2371)=0,"",INDEX('Smelter Reference List'!$A:$A,MATCH($A2371,'Smelter Reference List'!$E:$E,0)))</f>
        <v/>
      </c>
      <c r="C2371" s="297" t="str">
        <f>IF(LEN(A2371)=0,"",INDEX('Smelter Reference List'!$C:$C,MATCH($A2371,'Smelter Reference List'!$E:$E,0)))</f>
        <v/>
      </c>
      <c r="D2371" s="161" t="str">
        <f ca="1">IF(ISERROR($S2371),"",OFFSET('Smelter Reference List'!$C$4,$S2371-4,0)&amp;"")</f>
        <v/>
      </c>
      <c r="E2371" s="161" t="str">
        <f ca="1">IF(ISERROR($S2371),"",OFFSET('Smelter Reference List'!$D$4,$S2371-4,0)&amp;"")</f>
        <v/>
      </c>
      <c r="F2371" s="161" t="str">
        <f ca="1">IF(ISERROR($S2371),"",OFFSET('Smelter Reference List'!$E$4,$S2371-4,0))</f>
        <v/>
      </c>
      <c r="G2371" s="161" t="str">
        <f ca="1">IF(C2371=$U$4,"Enter smelter details", IF(ISERROR($S2371),"",OFFSET('Smelter Reference List'!$F$4,$S2371-4,0)))</f>
        <v/>
      </c>
      <c r="H2371" s="247" t="str">
        <f ca="1">IF(ISERROR($S2371),"",OFFSET('Smelter Reference List'!$G$4,$S2371-4,0))</f>
        <v/>
      </c>
      <c r="I2371" s="248" t="str">
        <f ca="1">IF(ISERROR($S2371),"",OFFSET('Smelter Reference List'!$H$4,$S2371-4,0))</f>
        <v/>
      </c>
      <c r="J2371" s="248" t="str">
        <f ca="1">IF(ISERROR($S2371),"",OFFSET('Smelter Reference List'!$I$4,$S2371-4,0))</f>
        <v/>
      </c>
      <c r="K2371" s="245"/>
      <c r="L2371" s="245"/>
      <c r="M2371" s="245"/>
      <c r="N2371" s="245"/>
      <c r="O2371" s="245"/>
      <c r="P2371" s="245"/>
      <c r="Q2371" s="246"/>
      <c r="R2371" s="233"/>
      <c r="S2371" s="234" t="e">
        <f>IF(C2371="",NA(),MATCH($B2371&amp;$C2371,'Smelter Reference List'!$J:$J,0))</f>
        <v>#N/A</v>
      </c>
      <c r="T2371" s="235"/>
      <c r="U2371" s="235">
        <f t="shared" ca="1" si="68"/>
        <v>0</v>
      </c>
      <c r="V2371" s="235"/>
      <c r="W2371" s="235"/>
      <c r="Y2371" s="228" t="str">
        <f t="shared" si="69"/>
        <v/>
      </c>
    </row>
    <row r="2372" spans="1:25" s="228" customFormat="1" ht="20.25">
      <c r="A2372" s="257"/>
      <c r="B2372" s="232" t="str">
        <f>IF(LEN(A2372)=0,"",INDEX('Smelter Reference List'!$A:$A,MATCH($A2372,'Smelter Reference List'!$E:$E,0)))</f>
        <v/>
      </c>
      <c r="C2372" s="297" t="str">
        <f>IF(LEN(A2372)=0,"",INDEX('Smelter Reference List'!$C:$C,MATCH($A2372,'Smelter Reference List'!$E:$E,0)))</f>
        <v/>
      </c>
      <c r="D2372" s="161" t="str">
        <f ca="1">IF(ISERROR($S2372),"",OFFSET('Smelter Reference List'!$C$4,$S2372-4,0)&amp;"")</f>
        <v/>
      </c>
      <c r="E2372" s="161" t="str">
        <f ca="1">IF(ISERROR($S2372),"",OFFSET('Smelter Reference List'!$D$4,$S2372-4,0)&amp;"")</f>
        <v/>
      </c>
      <c r="F2372" s="161" t="str">
        <f ca="1">IF(ISERROR($S2372),"",OFFSET('Smelter Reference List'!$E$4,$S2372-4,0))</f>
        <v/>
      </c>
      <c r="G2372" s="161" t="str">
        <f ca="1">IF(C2372=$U$4,"Enter smelter details", IF(ISERROR($S2372),"",OFFSET('Smelter Reference List'!$F$4,$S2372-4,0)))</f>
        <v/>
      </c>
      <c r="H2372" s="247" t="str">
        <f ca="1">IF(ISERROR($S2372),"",OFFSET('Smelter Reference List'!$G$4,$S2372-4,0))</f>
        <v/>
      </c>
      <c r="I2372" s="248" t="str">
        <f ca="1">IF(ISERROR($S2372),"",OFFSET('Smelter Reference List'!$H$4,$S2372-4,0))</f>
        <v/>
      </c>
      <c r="J2372" s="248" t="str">
        <f ca="1">IF(ISERROR($S2372),"",OFFSET('Smelter Reference List'!$I$4,$S2372-4,0))</f>
        <v/>
      </c>
      <c r="K2372" s="245"/>
      <c r="L2372" s="245"/>
      <c r="M2372" s="245"/>
      <c r="N2372" s="245"/>
      <c r="O2372" s="245"/>
      <c r="P2372" s="245"/>
      <c r="Q2372" s="246"/>
      <c r="R2372" s="233"/>
      <c r="S2372" s="234" t="e">
        <f>IF(C2372="",NA(),MATCH($B2372&amp;$C2372,'Smelter Reference List'!$J:$J,0))</f>
        <v>#N/A</v>
      </c>
      <c r="T2372" s="235"/>
      <c r="U2372" s="235">
        <f t="shared" ca="1" si="68"/>
        <v>0</v>
      </c>
      <c r="V2372" s="235"/>
      <c r="W2372" s="235"/>
      <c r="Y2372" s="228" t="str">
        <f t="shared" si="69"/>
        <v/>
      </c>
    </row>
    <row r="2373" spans="1:25" s="228" customFormat="1" ht="20.25">
      <c r="A2373" s="257"/>
      <c r="B2373" s="232" t="str">
        <f>IF(LEN(A2373)=0,"",INDEX('Smelter Reference List'!$A:$A,MATCH($A2373,'Smelter Reference List'!$E:$E,0)))</f>
        <v/>
      </c>
      <c r="C2373" s="297" t="str">
        <f>IF(LEN(A2373)=0,"",INDEX('Smelter Reference List'!$C:$C,MATCH($A2373,'Smelter Reference List'!$E:$E,0)))</f>
        <v/>
      </c>
      <c r="D2373" s="161" t="str">
        <f ca="1">IF(ISERROR($S2373),"",OFFSET('Smelter Reference List'!$C$4,$S2373-4,0)&amp;"")</f>
        <v/>
      </c>
      <c r="E2373" s="161" t="str">
        <f ca="1">IF(ISERROR($S2373),"",OFFSET('Smelter Reference List'!$D$4,$S2373-4,0)&amp;"")</f>
        <v/>
      </c>
      <c r="F2373" s="161" t="str">
        <f ca="1">IF(ISERROR($S2373),"",OFFSET('Smelter Reference List'!$E$4,$S2373-4,0))</f>
        <v/>
      </c>
      <c r="G2373" s="161" t="str">
        <f ca="1">IF(C2373=$U$4,"Enter smelter details", IF(ISERROR($S2373),"",OFFSET('Smelter Reference List'!$F$4,$S2373-4,0)))</f>
        <v/>
      </c>
      <c r="H2373" s="247" t="str">
        <f ca="1">IF(ISERROR($S2373),"",OFFSET('Smelter Reference List'!$G$4,$S2373-4,0))</f>
        <v/>
      </c>
      <c r="I2373" s="248" t="str">
        <f ca="1">IF(ISERROR($S2373),"",OFFSET('Smelter Reference List'!$H$4,$S2373-4,0))</f>
        <v/>
      </c>
      <c r="J2373" s="248" t="str">
        <f ca="1">IF(ISERROR($S2373),"",OFFSET('Smelter Reference List'!$I$4,$S2373-4,0))</f>
        <v/>
      </c>
      <c r="K2373" s="245"/>
      <c r="L2373" s="245"/>
      <c r="M2373" s="245"/>
      <c r="N2373" s="245"/>
      <c r="O2373" s="245"/>
      <c r="P2373" s="245"/>
      <c r="Q2373" s="246"/>
      <c r="R2373" s="233"/>
      <c r="S2373" s="234" t="e">
        <f>IF(C2373="",NA(),MATCH($B2373&amp;$C2373,'Smelter Reference List'!$J:$J,0))</f>
        <v>#N/A</v>
      </c>
      <c r="T2373" s="235"/>
      <c r="U2373" s="235">
        <f t="shared" ca="1" si="68"/>
        <v>0</v>
      </c>
      <c r="V2373" s="235"/>
      <c r="W2373" s="235"/>
      <c r="Y2373" s="228" t="str">
        <f t="shared" si="69"/>
        <v/>
      </c>
    </row>
    <row r="2374" spans="1:25" s="228" customFormat="1" ht="20.25">
      <c r="A2374" s="257"/>
      <c r="B2374" s="232" t="str">
        <f>IF(LEN(A2374)=0,"",INDEX('Smelter Reference List'!$A:$A,MATCH($A2374,'Smelter Reference List'!$E:$E,0)))</f>
        <v/>
      </c>
      <c r="C2374" s="297" t="str">
        <f>IF(LEN(A2374)=0,"",INDEX('Smelter Reference List'!$C:$C,MATCH($A2374,'Smelter Reference List'!$E:$E,0)))</f>
        <v/>
      </c>
      <c r="D2374" s="161" t="str">
        <f ca="1">IF(ISERROR($S2374),"",OFFSET('Smelter Reference List'!$C$4,$S2374-4,0)&amp;"")</f>
        <v/>
      </c>
      <c r="E2374" s="161" t="str">
        <f ca="1">IF(ISERROR($S2374),"",OFFSET('Smelter Reference List'!$D$4,$S2374-4,0)&amp;"")</f>
        <v/>
      </c>
      <c r="F2374" s="161" t="str">
        <f ca="1">IF(ISERROR($S2374),"",OFFSET('Smelter Reference List'!$E$4,$S2374-4,0))</f>
        <v/>
      </c>
      <c r="G2374" s="161" t="str">
        <f ca="1">IF(C2374=$U$4,"Enter smelter details", IF(ISERROR($S2374),"",OFFSET('Smelter Reference List'!$F$4,$S2374-4,0)))</f>
        <v/>
      </c>
      <c r="H2374" s="247" t="str">
        <f ca="1">IF(ISERROR($S2374),"",OFFSET('Smelter Reference List'!$G$4,$S2374-4,0))</f>
        <v/>
      </c>
      <c r="I2374" s="248" t="str">
        <f ca="1">IF(ISERROR($S2374),"",OFFSET('Smelter Reference List'!$H$4,$S2374-4,0))</f>
        <v/>
      </c>
      <c r="J2374" s="248" t="str">
        <f ca="1">IF(ISERROR($S2374),"",OFFSET('Smelter Reference List'!$I$4,$S2374-4,0))</f>
        <v/>
      </c>
      <c r="K2374" s="245"/>
      <c r="L2374" s="245"/>
      <c r="M2374" s="245"/>
      <c r="N2374" s="245"/>
      <c r="O2374" s="245"/>
      <c r="P2374" s="245"/>
      <c r="Q2374" s="246"/>
      <c r="R2374" s="233"/>
      <c r="S2374" s="234" t="e">
        <f>IF(C2374="",NA(),MATCH($B2374&amp;$C2374,'Smelter Reference List'!$J:$J,0))</f>
        <v>#N/A</v>
      </c>
      <c r="T2374" s="235"/>
      <c r="U2374" s="235">
        <f t="shared" ref="U2374:U2437" ca="1" si="70">IF(AND(C2374="Smelter not listed",OR(LEN(D2374)=0,LEN(E2374)=0)),1,0)</f>
        <v>0</v>
      </c>
      <c r="V2374" s="235"/>
      <c r="W2374" s="235"/>
      <c r="Y2374" s="228" t="str">
        <f t="shared" ref="Y2374:Y2437" si="71">B2374&amp;C2374</f>
        <v/>
      </c>
    </row>
    <row r="2375" spans="1:25" s="228" customFormat="1" ht="20.25">
      <c r="A2375" s="257"/>
      <c r="B2375" s="232" t="str">
        <f>IF(LEN(A2375)=0,"",INDEX('Smelter Reference List'!$A:$A,MATCH($A2375,'Smelter Reference List'!$E:$E,0)))</f>
        <v/>
      </c>
      <c r="C2375" s="297" t="str">
        <f>IF(LEN(A2375)=0,"",INDEX('Smelter Reference List'!$C:$C,MATCH($A2375,'Smelter Reference List'!$E:$E,0)))</f>
        <v/>
      </c>
      <c r="D2375" s="161" t="str">
        <f ca="1">IF(ISERROR($S2375),"",OFFSET('Smelter Reference List'!$C$4,$S2375-4,0)&amp;"")</f>
        <v/>
      </c>
      <c r="E2375" s="161" t="str">
        <f ca="1">IF(ISERROR($S2375),"",OFFSET('Smelter Reference List'!$D$4,$S2375-4,0)&amp;"")</f>
        <v/>
      </c>
      <c r="F2375" s="161" t="str">
        <f ca="1">IF(ISERROR($S2375),"",OFFSET('Smelter Reference List'!$E$4,$S2375-4,0))</f>
        <v/>
      </c>
      <c r="G2375" s="161" t="str">
        <f ca="1">IF(C2375=$U$4,"Enter smelter details", IF(ISERROR($S2375),"",OFFSET('Smelter Reference List'!$F$4,$S2375-4,0)))</f>
        <v/>
      </c>
      <c r="H2375" s="247" t="str">
        <f ca="1">IF(ISERROR($S2375),"",OFFSET('Smelter Reference List'!$G$4,$S2375-4,0))</f>
        <v/>
      </c>
      <c r="I2375" s="248" t="str">
        <f ca="1">IF(ISERROR($S2375),"",OFFSET('Smelter Reference List'!$H$4,$S2375-4,0))</f>
        <v/>
      </c>
      <c r="J2375" s="248" t="str">
        <f ca="1">IF(ISERROR($S2375),"",OFFSET('Smelter Reference List'!$I$4,$S2375-4,0))</f>
        <v/>
      </c>
      <c r="K2375" s="245"/>
      <c r="L2375" s="245"/>
      <c r="M2375" s="245"/>
      <c r="N2375" s="245"/>
      <c r="O2375" s="245"/>
      <c r="P2375" s="245"/>
      <c r="Q2375" s="246"/>
      <c r="R2375" s="233"/>
      <c r="S2375" s="234" t="e">
        <f>IF(C2375="",NA(),MATCH($B2375&amp;$C2375,'Smelter Reference List'!$J:$J,0))</f>
        <v>#N/A</v>
      </c>
      <c r="T2375" s="235"/>
      <c r="U2375" s="235">
        <f t="shared" ca="1" si="70"/>
        <v>0</v>
      </c>
      <c r="V2375" s="235"/>
      <c r="W2375" s="235"/>
      <c r="Y2375" s="228" t="str">
        <f t="shared" si="71"/>
        <v/>
      </c>
    </row>
    <row r="2376" spans="1:25" s="228" customFormat="1" ht="20.25">
      <c r="A2376" s="257"/>
      <c r="B2376" s="232" t="str">
        <f>IF(LEN(A2376)=0,"",INDEX('Smelter Reference List'!$A:$A,MATCH($A2376,'Smelter Reference List'!$E:$E,0)))</f>
        <v/>
      </c>
      <c r="C2376" s="297" t="str">
        <f>IF(LEN(A2376)=0,"",INDEX('Smelter Reference List'!$C:$C,MATCH($A2376,'Smelter Reference List'!$E:$E,0)))</f>
        <v/>
      </c>
      <c r="D2376" s="161" t="str">
        <f ca="1">IF(ISERROR($S2376),"",OFFSET('Smelter Reference List'!$C$4,$S2376-4,0)&amp;"")</f>
        <v/>
      </c>
      <c r="E2376" s="161" t="str">
        <f ca="1">IF(ISERROR($S2376),"",OFFSET('Smelter Reference List'!$D$4,$S2376-4,0)&amp;"")</f>
        <v/>
      </c>
      <c r="F2376" s="161" t="str">
        <f ca="1">IF(ISERROR($S2376),"",OFFSET('Smelter Reference List'!$E$4,$S2376-4,0))</f>
        <v/>
      </c>
      <c r="G2376" s="161" t="str">
        <f ca="1">IF(C2376=$U$4,"Enter smelter details", IF(ISERROR($S2376),"",OFFSET('Smelter Reference List'!$F$4,$S2376-4,0)))</f>
        <v/>
      </c>
      <c r="H2376" s="247" t="str">
        <f ca="1">IF(ISERROR($S2376),"",OFFSET('Smelter Reference List'!$G$4,$S2376-4,0))</f>
        <v/>
      </c>
      <c r="I2376" s="248" t="str">
        <f ca="1">IF(ISERROR($S2376),"",OFFSET('Smelter Reference List'!$H$4,$S2376-4,0))</f>
        <v/>
      </c>
      <c r="J2376" s="248" t="str">
        <f ca="1">IF(ISERROR($S2376),"",OFFSET('Smelter Reference List'!$I$4,$S2376-4,0))</f>
        <v/>
      </c>
      <c r="K2376" s="245"/>
      <c r="L2376" s="245"/>
      <c r="M2376" s="245"/>
      <c r="N2376" s="245"/>
      <c r="O2376" s="245"/>
      <c r="P2376" s="245"/>
      <c r="Q2376" s="246"/>
      <c r="R2376" s="233"/>
      <c r="S2376" s="234" t="e">
        <f>IF(C2376="",NA(),MATCH($B2376&amp;$C2376,'Smelter Reference List'!$J:$J,0))</f>
        <v>#N/A</v>
      </c>
      <c r="T2376" s="235"/>
      <c r="U2376" s="235">
        <f t="shared" ca="1" si="70"/>
        <v>0</v>
      </c>
      <c r="V2376" s="235"/>
      <c r="W2376" s="235"/>
      <c r="Y2376" s="228" t="str">
        <f t="shared" si="71"/>
        <v/>
      </c>
    </row>
    <row r="2377" spans="1:25" s="228" customFormat="1" ht="20.25">
      <c r="A2377" s="257"/>
      <c r="B2377" s="232" t="str">
        <f>IF(LEN(A2377)=0,"",INDEX('Smelter Reference List'!$A:$A,MATCH($A2377,'Smelter Reference List'!$E:$E,0)))</f>
        <v/>
      </c>
      <c r="C2377" s="297" t="str">
        <f>IF(LEN(A2377)=0,"",INDEX('Smelter Reference List'!$C:$C,MATCH($A2377,'Smelter Reference List'!$E:$E,0)))</f>
        <v/>
      </c>
      <c r="D2377" s="161" t="str">
        <f ca="1">IF(ISERROR($S2377),"",OFFSET('Smelter Reference List'!$C$4,$S2377-4,0)&amp;"")</f>
        <v/>
      </c>
      <c r="E2377" s="161" t="str">
        <f ca="1">IF(ISERROR($S2377),"",OFFSET('Smelter Reference List'!$D$4,$S2377-4,0)&amp;"")</f>
        <v/>
      </c>
      <c r="F2377" s="161" t="str">
        <f ca="1">IF(ISERROR($S2377),"",OFFSET('Smelter Reference List'!$E$4,$S2377-4,0))</f>
        <v/>
      </c>
      <c r="G2377" s="161" t="str">
        <f ca="1">IF(C2377=$U$4,"Enter smelter details", IF(ISERROR($S2377),"",OFFSET('Smelter Reference List'!$F$4,$S2377-4,0)))</f>
        <v/>
      </c>
      <c r="H2377" s="247" t="str">
        <f ca="1">IF(ISERROR($S2377),"",OFFSET('Smelter Reference List'!$G$4,$S2377-4,0))</f>
        <v/>
      </c>
      <c r="I2377" s="248" t="str">
        <f ca="1">IF(ISERROR($S2377),"",OFFSET('Smelter Reference List'!$H$4,$S2377-4,0))</f>
        <v/>
      </c>
      <c r="J2377" s="248" t="str">
        <f ca="1">IF(ISERROR($S2377),"",OFFSET('Smelter Reference List'!$I$4,$S2377-4,0))</f>
        <v/>
      </c>
      <c r="K2377" s="245"/>
      <c r="L2377" s="245"/>
      <c r="M2377" s="245"/>
      <c r="N2377" s="245"/>
      <c r="O2377" s="245"/>
      <c r="P2377" s="245"/>
      <c r="Q2377" s="246"/>
      <c r="R2377" s="233"/>
      <c r="S2377" s="234" t="e">
        <f>IF(C2377="",NA(),MATCH($B2377&amp;$C2377,'Smelter Reference List'!$J:$J,0))</f>
        <v>#N/A</v>
      </c>
      <c r="T2377" s="235"/>
      <c r="U2377" s="235">
        <f t="shared" ca="1" si="70"/>
        <v>0</v>
      </c>
      <c r="V2377" s="235"/>
      <c r="W2377" s="235"/>
      <c r="Y2377" s="228" t="str">
        <f t="shared" si="71"/>
        <v/>
      </c>
    </row>
    <row r="2378" spans="1:25" s="228" customFormat="1" ht="20.25">
      <c r="A2378" s="257"/>
      <c r="B2378" s="232" t="str">
        <f>IF(LEN(A2378)=0,"",INDEX('Smelter Reference List'!$A:$A,MATCH($A2378,'Smelter Reference List'!$E:$E,0)))</f>
        <v/>
      </c>
      <c r="C2378" s="297" t="str">
        <f>IF(LEN(A2378)=0,"",INDEX('Smelter Reference List'!$C:$C,MATCH($A2378,'Smelter Reference List'!$E:$E,0)))</f>
        <v/>
      </c>
      <c r="D2378" s="161" t="str">
        <f ca="1">IF(ISERROR($S2378),"",OFFSET('Smelter Reference List'!$C$4,$S2378-4,0)&amp;"")</f>
        <v/>
      </c>
      <c r="E2378" s="161" t="str">
        <f ca="1">IF(ISERROR($S2378),"",OFFSET('Smelter Reference List'!$D$4,$S2378-4,0)&amp;"")</f>
        <v/>
      </c>
      <c r="F2378" s="161" t="str">
        <f ca="1">IF(ISERROR($S2378),"",OFFSET('Smelter Reference List'!$E$4,$S2378-4,0))</f>
        <v/>
      </c>
      <c r="G2378" s="161" t="str">
        <f ca="1">IF(C2378=$U$4,"Enter smelter details", IF(ISERROR($S2378),"",OFFSET('Smelter Reference List'!$F$4,$S2378-4,0)))</f>
        <v/>
      </c>
      <c r="H2378" s="247" t="str">
        <f ca="1">IF(ISERROR($S2378),"",OFFSET('Smelter Reference List'!$G$4,$S2378-4,0))</f>
        <v/>
      </c>
      <c r="I2378" s="248" t="str">
        <f ca="1">IF(ISERROR($S2378),"",OFFSET('Smelter Reference List'!$H$4,$S2378-4,0))</f>
        <v/>
      </c>
      <c r="J2378" s="248" t="str">
        <f ca="1">IF(ISERROR($S2378),"",OFFSET('Smelter Reference List'!$I$4,$S2378-4,0))</f>
        <v/>
      </c>
      <c r="K2378" s="245"/>
      <c r="L2378" s="245"/>
      <c r="M2378" s="245"/>
      <c r="N2378" s="245"/>
      <c r="O2378" s="245"/>
      <c r="P2378" s="245"/>
      <c r="Q2378" s="246"/>
      <c r="R2378" s="233"/>
      <c r="S2378" s="234" t="e">
        <f>IF(C2378="",NA(),MATCH($B2378&amp;$C2378,'Smelter Reference List'!$J:$J,0))</f>
        <v>#N/A</v>
      </c>
      <c r="T2378" s="235"/>
      <c r="U2378" s="235">
        <f t="shared" ca="1" si="70"/>
        <v>0</v>
      </c>
      <c r="V2378" s="235"/>
      <c r="W2378" s="235"/>
      <c r="Y2378" s="228" t="str">
        <f t="shared" si="71"/>
        <v/>
      </c>
    </row>
    <row r="2379" spans="1:25" s="228" customFormat="1" ht="20.25">
      <c r="A2379" s="257"/>
      <c r="B2379" s="232" t="str">
        <f>IF(LEN(A2379)=0,"",INDEX('Smelter Reference List'!$A:$A,MATCH($A2379,'Smelter Reference List'!$E:$E,0)))</f>
        <v/>
      </c>
      <c r="C2379" s="297" t="str">
        <f>IF(LEN(A2379)=0,"",INDEX('Smelter Reference List'!$C:$C,MATCH($A2379,'Smelter Reference List'!$E:$E,0)))</f>
        <v/>
      </c>
      <c r="D2379" s="161" t="str">
        <f ca="1">IF(ISERROR($S2379),"",OFFSET('Smelter Reference List'!$C$4,$S2379-4,0)&amp;"")</f>
        <v/>
      </c>
      <c r="E2379" s="161" t="str">
        <f ca="1">IF(ISERROR($S2379),"",OFFSET('Smelter Reference List'!$D$4,$S2379-4,0)&amp;"")</f>
        <v/>
      </c>
      <c r="F2379" s="161" t="str">
        <f ca="1">IF(ISERROR($S2379),"",OFFSET('Smelter Reference List'!$E$4,$S2379-4,0))</f>
        <v/>
      </c>
      <c r="G2379" s="161" t="str">
        <f ca="1">IF(C2379=$U$4,"Enter smelter details", IF(ISERROR($S2379),"",OFFSET('Smelter Reference List'!$F$4,$S2379-4,0)))</f>
        <v/>
      </c>
      <c r="H2379" s="247" t="str">
        <f ca="1">IF(ISERROR($S2379),"",OFFSET('Smelter Reference List'!$G$4,$S2379-4,0))</f>
        <v/>
      </c>
      <c r="I2379" s="248" t="str">
        <f ca="1">IF(ISERROR($S2379),"",OFFSET('Smelter Reference List'!$H$4,$S2379-4,0))</f>
        <v/>
      </c>
      <c r="J2379" s="248" t="str">
        <f ca="1">IF(ISERROR($S2379),"",OFFSET('Smelter Reference List'!$I$4,$S2379-4,0))</f>
        <v/>
      </c>
      <c r="K2379" s="245"/>
      <c r="L2379" s="245"/>
      <c r="M2379" s="245"/>
      <c r="N2379" s="245"/>
      <c r="O2379" s="245"/>
      <c r="P2379" s="245"/>
      <c r="Q2379" s="246"/>
      <c r="R2379" s="233"/>
      <c r="S2379" s="234" t="e">
        <f>IF(C2379="",NA(),MATCH($B2379&amp;$C2379,'Smelter Reference List'!$J:$J,0))</f>
        <v>#N/A</v>
      </c>
      <c r="T2379" s="235"/>
      <c r="U2379" s="235">
        <f t="shared" ca="1" si="70"/>
        <v>0</v>
      </c>
      <c r="V2379" s="235"/>
      <c r="W2379" s="235"/>
      <c r="Y2379" s="228" t="str">
        <f t="shared" si="71"/>
        <v/>
      </c>
    </row>
    <row r="2380" spans="1:25" s="228" customFormat="1" ht="20.25">
      <c r="A2380" s="257"/>
      <c r="B2380" s="232" t="str">
        <f>IF(LEN(A2380)=0,"",INDEX('Smelter Reference List'!$A:$A,MATCH($A2380,'Smelter Reference List'!$E:$E,0)))</f>
        <v/>
      </c>
      <c r="C2380" s="297" t="str">
        <f>IF(LEN(A2380)=0,"",INDEX('Smelter Reference List'!$C:$C,MATCH($A2380,'Smelter Reference List'!$E:$E,0)))</f>
        <v/>
      </c>
      <c r="D2380" s="161" t="str">
        <f ca="1">IF(ISERROR($S2380),"",OFFSET('Smelter Reference List'!$C$4,$S2380-4,0)&amp;"")</f>
        <v/>
      </c>
      <c r="E2380" s="161" t="str">
        <f ca="1">IF(ISERROR($S2380),"",OFFSET('Smelter Reference List'!$D$4,$S2380-4,0)&amp;"")</f>
        <v/>
      </c>
      <c r="F2380" s="161" t="str">
        <f ca="1">IF(ISERROR($S2380),"",OFFSET('Smelter Reference List'!$E$4,$S2380-4,0))</f>
        <v/>
      </c>
      <c r="G2380" s="161" t="str">
        <f ca="1">IF(C2380=$U$4,"Enter smelter details", IF(ISERROR($S2380),"",OFFSET('Smelter Reference List'!$F$4,$S2380-4,0)))</f>
        <v/>
      </c>
      <c r="H2380" s="247" t="str">
        <f ca="1">IF(ISERROR($S2380),"",OFFSET('Smelter Reference List'!$G$4,$S2380-4,0))</f>
        <v/>
      </c>
      <c r="I2380" s="248" t="str">
        <f ca="1">IF(ISERROR($S2380),"",OFFSET('Smelter Reference List'!$H$4,$S2380-4,0))</f>
        <v/>
      </c>
      <c r="J2380" s="248" t="str">
        <f ca="1">IF(ISERROR($S2380),"",OFFSET('Smelter Reference List'!$I$4,$S2380-4,0))</f>
        <v/>
      </c>
      <c r="K2380" s="245"/>
      <c r="L2380" s="245"/>
      <c r="M2380" s="245"/>
      <c r="N2380" s="245"/>
      <c r="O2380" s="245"/>
      <c r="P2380" s="245"/>
      <c r="Q2380" s="246"/>
      <c r="R2380" s="233"/>
      <c r="S2380" s="234" t="e">
        <f>IF(C2380="",NA(),MATCH($B2380&amp;$C2380,'Smelter Reference List'!$J:$J,0))</f>
        <v>#N/A</v>
      </c>
      <c r="T2380" s="235"/>
      <c r="U2380" s="235">
        <f t="shared" ca="1" si="70"/>
        <v>0</v>
      </c>
      <c r="V2380" s="235"/>
      <c r="W2380" s="235"/>
      <c r="Y2380" s="228" t="str">
        <f t="shared" si="71"/>
        <v/>
      </c>
    </row>
    <row r="2381" spans="1:25" s="228" customFormat="1" ht="20.25">
      <c r="A2381" s="257"/>
      <c r="B2381" s="232" t="str">
        <f>IF(LEN(A2381)=0,"",INDEX('Smelter Reference List'!$A:$A,MATCH($A2381,'Smelter Reference List'!$E:$E,0)))</f>
        <v/>
      </c>
      <c r="C2381" s="297" t="str">
        <f>IF(LEN(A2381)=0,"",INDEX('Smelter Reference List'!$C:$C,MATCH($A2381,'Smelter Reference List'!$E:$E,0)))</f>
        <v/>
      </c>
      <c r="D2381" s="161" t="str">
        <f ca="1">IF(ISERROR($S2381),"",OFFSET('Smelter Reference List'!$C$4,$S2381-4,0)&amp;"")</f>
        <v/>
      </c>
      <c r="E2381" s="161" t="str">
        <f ca="1">IF(ISERROR($S2381),"",OFFSET('Smelter Reference List'!$D$4,$S2381-4,0)&amp;"")</f>
        <v/>
      </c>
      <c r="F2381" s="161" t="str">
        <f ca="1">IF(ISERROR($S2381),"",OFFSET('Smelter Reference List'!$E$4,$S2381-4,0))</f>
        <v/>
      </c>
      <c r="G2381" s="161" t="str">
        <f ca="1">IF(C2381=$U$4,"Enter smelter details", IF(ISERROR($S2381),"",OFFSET('Smelter Reference List'!$F$4,$S2381-4,0)))</f>
        <v/>
      </c>
      <c r="H2381" s="247" t="str">
        <f ca="1">IF(ISERROR($S2381),"",OFFSET('Smelter Reference List'!$G$4,$S2381-4,0))</f>
        <v/>
      </c>
      <c r="I2381" s="248" t="str">
        <f ca="1">IF(ISERROR($S2381),"",OFFSET('Smelter Reference List'!$H$4,$S2381-4,0))</f>
        <v/>
      </c>
      <c r="J2381" s="248" t="str">
        <f ca="1">IF(ISERROR($S2381),"",OFFSET('Smelter Reference List'!$I$4,$S2381-4,0))</f>
        <v/>
      </c>
      <c r="K2381" s="245"/>
      <c r="L2381" s="245"/>
      <c r="M2381" s="245"/>
      <c r="N2381" s="245"/>
      <c r="O2381" s="245"/>
      <c r="P2381" s="245"/>
      <c r="Q2381" s="246"/>
      <c r="R2381" s="233"/>
      <c r="S2381" s="234" t="e">
        <f>IF(C2381="",NA(),MATCH($B2381&amp;$C2381,'Smelter Reference List'!$J:$J,0))</f>
        <v>#N/A</v>
      </c>
      <c r="T2381" s="235"/>
      <c r="U2381" s="235">
        <f t="shared" ca="1" si="70"/>
        <v>0</v>
      </c>
      <c r="V2381" s="235"/>
      <c r="W2381" s="235"/>
      <c r="Y2381" s="228" t="str">
        <f t="shared" si="71"/>
        <v/>
      </c>
    </row>
    <row r="2382" spans="1:25" s="228" customFormat="1" ht="20.25">
      <c r="A2382" s="257"/>
      <c r="B2382" s="232" t="str">
        <f>IF(LEN(A2382)=0,"",INDEX('Smelter Reference List'!$A:$A,MATCH($A2382,'Smelter Reference List'!$E:$E,0)))</f>
        <v/>
      </c>
      <c r="C2382" s="297" t="str">
        <f>IF(LEN(A2382)=0,"",INDEX('Smelter Reference List'!$C:$C,MATCH($A2382,'Smelter Reference List'!$E:$E,0)))</f>
        <v/>
      </c>
      <c r="D2382" s="161" t="str">
        <f ca="1">IF(ISERROR($S2382),"",OFFSET('Smelter Reference List'!$C$4,$S2382-4,0)&amp;"")</f>
        <v/>
      </c>
      <c r="E2382" s="161" t="str">
        <f ca="1">IF(ISERROR($S2382),"",OFFSET('Smelter Reference List'!$D$4,$S2382-4,0)&amp;"")</f>
        <v/>
      </c>
      <c r="F2382" s="161" t="str">
        <f ca="1">IF(ISERROR($S2382),"",OFFSET('Smelter Reference List'!$E$4,$S2382-4,0))</f>
        <v/>
      </c>
      <c r="G2382" s="161" t="str">
        <f ca="1">IF(C2382=$U$4,"Enter smelter details", IF(ISERROR($S2382),"",OFFSET('Smelter Reference List'!$F$4,$S2382-4,0)))</f>
        <v/>
      </c>
      <c r="H2382" s="247" t="str">
        <f ca="1">IF(ISERROR($S2382),"",OFFSET('Smelter Reference List'!$G$4,$S2382-4,0))</f>
        <v/>
      </c>
      <c r="I2382" s="248" t="str">
        <f ca="1">IF(ISERROR($S2382),"",OFFSET('Smelter Reference List'!$H$4,$S2382-4,0))</f>
        <v/>
      </c>
      <c r="J2382" s="248" t="str">
        <f ca="1">IF(ISERROR($S2382),"",OFFSET('Smelter Reference List'!$I$4,$S2382-4,0))</f>
        <v/>
      </c>
      <c r="K2382" s="245"/>
      <c r="L2382" s="245"/>
      <c r="M2382" s="245"/>
      <c r="N2382" s="245"/>
      <c r="O2382" s="245"/>
      <c r="P2382" s="245"/>
      <c r="Q2382" s="246"/>
      <c r="R2382" s="233"/>
      <c r="S2382" s="234" t="e">
        <f>IF(C2382="",NA(),MATCH($B2382&amp;$C2382,'Smelter Reference List'!$J:$J,0))</f>
        <v>#N/A</v>
      </c>
      <c r="T2382" s="235"/>
      <c r="U2382" s="235">
        <f t="shared" ca="1" si="70"/>
        <v>0</v>
      </c>
      <c r="V2382" s="235"/>
      <c r="W2382" s="235"/>
      <c r="Y2382" s="228" t="str">
        <f t="shared" si="71"/>
        <v/>
      </c>
    </row>
    <row r="2383" spans="1:25" s="228" customFormat="1" ht="20.25">
      <c r="A2383" s="257"/>
      <c r="B2383" s="232" t="str">
        <f>IF(LEN(A2383)=0,"",INDEX('Smelter Reference List'!$A:$A,MATCH($A2383,'Smelter Reference List'!$E:$E,0)))</f>
        <v/>
      </c>
      <c r="C2383" s="297" t="str">
        <f>IF(LEN(A2383)=0,"",INDEX('Smelter Reference List'!$C:$C,MATCH($A2383,'Smelter Reference List'!$E:$E,0)))</f>
        <v/>
      </c>
      <c r="D2383" s="161" t="str">
        <f ca="1">IF(ISERROR($S2383),"",OFFSET('Smelter Reference List'!$C$4,$S2383-4,0)&amp;"")</f>
        <v/>
      </c>
      <c r="E2383" s="161" t="str">
        <f ca="1">IF(ISERROR($S2383),"",OFFSET('Smelter Reference List'!$D$4,$S2383-4,0)&amp;"")</f>
        <v/>
      </c>
      <c r="F2383" s="161" t="str">
        <f ca="1">IF(ISERROR($S2383),"",OFFSET('Smelter Reference List'!$E$4,$S2383-4,0))</f>
        <v/>
      </c>
      <c r="G2383" s="161" t="str">
        <f ca="1">IF(C2383=$U$4,"Enter smelter details", IF(ISERROR($S2383),"",OFFSET('Smelter Reference List'!$F$4,$S2383-4,0)))</f>
        <v/>
      </c>
      <c r="H2383" s="247" t="str">
        <f ca="1">IF(ISERROR($S2383),"",OFFSET('Smelter Reference List'!$G$4,$S2383-4,0))</f>
        <v/>
      </c>
      <c r="I2383" s="248" t="str">
        <f ca="1">IF(ISERROR($S2383),"",OFFSET('Smelter Reference List'!$H$4,$S2383-4,0))</f>
        <v/>
      </c>
      <c r="J2383" s="248" t="str">
        <f ca="1">IF(ISERROR($S2383),"",OFFSET('Smelter Reference List'!$I$4,$S2383-4,0))</f>
        <v/>
      </c>
      <c r="K2383" s="245"/>
      <c r="L2383" s="245"/>
      <c r="M2383" s="245"/>
      <c r="N2383" s="245"/>
      <c r="O2383" s="245"/>
      <c r="P2383" s="245"/>
      <c r="Q2383" s="246"/>
      <c r="R2383" s="233"/>
      <c r="S2383" s="234" t="e">
        <f>IF(C2383="",NA(),MATCH($B2383&amp;$C2383,'Smelter Reference List'!$J:$J,0))</f>
        <v>#N/A</v>
      </c>
      <c r="T2383" s="235"/>
      <c r="U2383" s="235">
        <f t="shared" ca="1" si="70"/>
        <v>0</v>
      </c>
      <c r="V2383" s="235"/>
      <c r="W2383" s="235"/>
      <c r="Y2383" s="228" t="str">
        <f t="shared" si="71"/>
        <v/>
      </c>
    </row>
    <row r="2384" spans="1:25" s="228" customFormat="1" ht="20.25">
      <c r="A2384" s="257"/>
      <c r="B2384" s="232" t="str">
        <f>IF(LEN(A2384)=0,"",INDEX('Smelter Reference List'!$A:$A,MATCH($A2384,'Smelter Reference List'!$E:$E,0)))</f>
        <v/>
      </c>
      <c r="C2384" s="297" t="str">
        <f>IF(LEN(A2384)=0,"",INDEX('Smelter Reference List'!$C:$C,MATCH($A2384,'Smelter Reference List'!$E:$E,0)))</f>
        <v/>
      </c>
      <c r="D2384" s="161" t="str">
        <f ca="1">IF(ISERROR($S2384),"",OFFSET('Smelter Reference List'!$C$4,$S2384-4,0)&amp;"")</f>
        <v/>
      </c>
      <c r="E2384" s="161" t="str">
        <f ca="1">IF(ISERROR($S2384),"",OFFSET('Smelter Reference List'!$D$4,$S2384-4,0)&amp;"")</f>
        <v/>
      </c>
      <c r="F2384" s="161" t="str">
        <f ca="1">IF(ISERROR($S2384),"",OFFSET('Smelter Reference List'!$E$4,$S2384-4,0))</f>
        <v/>
      </c>
      <c r="G2384" s="161" t="str">
        <f ca="1">IF(C2384=$U$4,"Enter smelter details", IF(ISERROR($S2384),"",OFFSET('Smelter Reference List'!$F$4,$S2384-4,0)))</f>
        <v/>
      </c>
      <c r="H2384" s="247" t="str">
        <f ca="1">IF(ISERROR($S2384),"",OFFSET('Smelter Reference List'!$G$4,$S2384-4,0))</f>
        <v/>
      </c>
      <c r="I2384" s="248" t="str">
        <f ca="1">IF(ISERROR($S2384),"",OFFSET('Smelter Reference List'!$H$4,$S2384-4,0))</f>
        <v/>
      </c>
      <c r="J2384" s="248" t="str">
        <f ca="1">IF(ISERROR($S2384),"",OFFSET('Smelter Reference List'!$I$4,$S2384-4,0))</f>
        <v/>
      </c>
      <c r="K2384" s="245"/>
      <c r="L2384" s="245"/>
      <c r="M2384" s="245"/>
      <c r="N2384" s="245"/>
      <c r="O2384" s="245"/>
      <c r="P2384" s="245"/>
      <c r="Q2384" s="246"/>
      <c r="R2384" s="233"/>
      <c r="S2384" s="234" t="e">
        <f>IF(C2384="",NA(),MATCH($B2384&amp;$C2384,'Smelter Reference List'!$J:$J,0))</f>
        <v>#N/A</v>
      </c>
      <c r="T2384" s="235"/>
      <c r="U2384" s="235">
        <f t="shared" ca="1" si="70"/>
        <v>0</v>
      </c>
      <c r="V2384" s="235"/>
      <c r="W2384" s="235"/>
      <c r="Y2384" s="228" t="str">
        <f t="shared" si="71"/>
        <v/>
      </c>
    </row>
    <row r="2385" spans="1:25" s="228" customFormat="1" ht="20.25">
      <c r="A2385" s="257"/>
      <c r="B2385" s="232" t="str">
        <f>IF(LEN(A2385)=0,"",INDEX('Smelter Reference List'!$A:$A,MATCH($A2385,'Smelter Reference List'!$E:$E,0)))</f>
        <v/>
      </c>
      <c r="C2385" s="297" t="str">
        <f>IF(LEN(A2385)=0,"",INDEX('Smelter Reference List'!$C:$C,MATCH($A2385,'Smelter Reference List'!$E:$E,0)))</f>
        <v/>
      </c>
      <c r="D2385" s="161" t="str">
        <f ca="1">IF(ISERROR($S2385),"",OFFSET('Smelter Reference List'!$C$4,$S2385-4,0)&amp;"")</f>
        <v/>
      </c>
      <c r="E2385" s="161" t="str">
        <f ca="1">IF(ISERROR($S2385),"",OFFSET('Smelter Reference List'!$D$4,$S2385-4,0)&amp;"")</f>
        <v/>
      </c>
      <c r="F2385" s="161" t="str">
        <f ca="1">IF(ISERROR($S2385),"",OFFSET('Smelter Reference List'!$E$4,$S2385-4,0))</f>
        <v/>
      </c>
      <c r="G2385" s="161" t="str">
        <f ca="1">IF(C2385=$U$4,"Enter smelter details", IF(ISERROR($S2385),"",OFFSET('Smelter Reference List'!$F$4,$S2385-4,0)))</f>
        <v/>
      </c>
      <c r="H2385" s="247" t="str">
        <f ca="1">IF(ISERROR($S2385),"",OFFSET('Smelter Reference List'!$G$4,$S2385-4,0))</f>
        <v/>
      </c>
      <c r="I2385" s="248" t="str">
        <f ca="1">IF(ISERROR($S2385),"",OFFSET('Smelter Reference List'!$H$4,$S2385-4,0))</f>
        <v/>
      </c>
      <c r="J2385" s="248" t="str">
        <f ca="1">IF(ISERROR($S2385),"",OFFSET('Smelter Reference List'!$I$4,$S2385-4,0))</f>
        <v/>
      </c>
      <c r="K2385" s="245"/>
      <c r="L2385" s="245"/>
      <c r="M2385" s="245"/>
      <c r="N2385" s="245"/>
      <c r="O2385" s="245"/>
      <c r="P2385" s="245"/>
      <c r="Q2385" s="246"/>
      <c r="R2385" s="233"/>
      <c r="S2385" s="234" t="e">
        <f>IF(C2385="",NA(),MATCH($B2385&amp;$C2385,'Smelter Reference List'!$J:$J,0))</f>
        <v>#N/A</v>
      </c>
      <c r="T2385" s="235"/>
      <c r="U2385" s="235">
        <f t="shared" ca="1" si="70"/>
        <v>0</v>
      </c>
      <c r="V2385" s="235"/>
      <c r="W2385" s="235"/>
      <c r="Y2385" s="228" t="str">
        <f t="shared" si="71"/>
        <v/>
      </c>
    </row>
    <row r="2386" spans="1:25" s="228" customFormat="1" ht="20.25">
      <c r="A2386" s="257"/>
      <c r="B2386" s="232" t="str">
        <f>IF(LEN(A2386)=0,"",INDEX('Smelter Reference List'!$A:$A,MATCH($A2386,'Smelter Reference List'!$E:$E,0)))</f>
        <v/>
      </c>
      <c r="C2386" s="297" t="str">
        <f>IF(LEN(A2386)=0,"",INDEX('Smelter Reference List'!$C:$C,MATCH($A2386,'Smelter Reference List'!$E:$E,0)))</f>
        <v/>
      </c>
      <c r="D2386" s="161" t="str">
        <f ca="1">IF(ISERROR($S2386),"",OFFSET('Smelter Reference List'!$C$4,$S2386-4,0)&amp;"")</f>
        <v/>
      </c>
      <c r="E2386" s="161" t="str">
        <f ca="1">IF(ISERROR($S2386),"",OFFSET('Smelter Reference List'!$D$4,$S2386-4,0)&amp;"")</f>
        <v/>
      </c>
      <c r="F2386" s="161" t="str">
        <f ca="1">IF(ISERROR($S2386),"",OFFSET('Smelter Reference List'!$E$4,$S2386-4,0))</f>
        <v/>
      </c>
      <c r="G2386" s="161" t="str">
        <f ca="1">IF(C2386=$U$4,"Enter smelter details", IF(ISERROR($S2386),"",OFFSET('Smelter Reference List'!$F$4,$S2386-4,0)))</f>
        <v/>
      </c>
      <c r="H2386" s="247" t="str">
        <f ca="1">IF(ISERROR($S2386),"",OFFSET('Smelter Reference List'!$G$4,$S2386-4,0))</f>
        <v/>
      </c>
      <c r="I2386" s="248" t="str">
        <f ca="1">IF(ISERROR($S2386),"",OFFSET('Smelter Reference List'!$H$4,$S2386-4,0))</f>
        <v/>
      </c>
      <c r="J2386" s="248" t="str">
        <f ca="1">IF(ISERROR($S2386),"",OFFSET('Smelter Reference List'!$I$4,$S2386-4,0))</f>
        <v/>
      </c>
      <c r="K2386" s="245"/>
      <c r="L2386" s="245"/>
      <c r="M2386" s="245"/>
      <c r="N2386" s="245"/>
      <c r="O2386" s="245"/>
      <c r="P2386" s="245"/>
      <c r="Q2386" s="246"/>
      <c r="R2386" s="233"/>
      <c r="S2386" s="234" t="e">
        <f>IF(C2386="",NA(),MATCH($B2386&amp;$C2386,'Smelter Reference List'!$J:$J,0))</f>
        <v>#N/A</v>
      </c>
      <c r="T2386" s="235"/>
      <c r="U2386" s="235">
        <f t="shared" ca="1" si="70"/>
        <v>0</v>
      </c>
      <c r="V2386" s="235"/>
      <c r="W2386" s="235"/>
      <c r="Y2386" s="228" t="str">
        <f t="shared" si="71"/>
        <v/>
      </c>
    </row>
    <row r="2387" spans="1:25" s="228" customFormat="1" ht="20.25">
      <c r="A2387" s="257"/>
      <c r="B2387" s="232" t="str">
        <f>IF(LEN(A2387)=0,"",INDEX('Smelter Reference List'!$A:$A,MATCH($A2387,'Smelter Reference List'!$E:$E,0)))</f>
        <v/>
      </c>
      <c r="C2387" s="297" t="str">
        <f>IF(LEN(A2387)=0,"",INDEX('Smelter Reference List'!$C:$C,MATCH($A2387,'Smelter Reference List'!$E:$E,0)))</f>
        <v/>
      </c>
      <c r="D2387" s="161" t="str">
        <f ca="1">IF(ISERROR($S2387),"",OFFSET('Smelter Reference List'!$C$4,$S2387-4,0)&amp;"")</f>
        <v/>
      </c>
      <c r="E2387" s="161" t="str">
        <f ca="1">IF(ISERROR($S2387),"",OFFSET('Smelter Reference List'!$D$4,$S2387-4,0)&amp;"")</f>
        <v/>
      </c>
      <c r="F2387" s="161" t="str">
        <f ca="1">IF(ISERROR($S2387),"",OFFSET('Smelter Reference List'!$E$4,$S2387-4,0))</f>
        <v/>
      </c>
      <c r="G2387" s="161" t="str">
        <f ca="1">IF(C2387=$U$4,"Enter smelter details", IF(ISERROR($S2387),"",OFFSET('Smelter Reference List'!$F$4,$S2387-4,0)))</f>
        <v/>
      </c>
      <c r="H2387" s="247" t="str">
        <f ca="1">IF(ISERROR($S2387),"",OFFSET('Smelter Reference List'!$G$4,$S2387-4,0))</f>
        <v/>
      </c>
      <c r="I2387" s="248" t="str">
        <f ca="1">IF(ISERROR($S2387),"",OFFSET('Smelter Reference List'!$H$4,$S2387-4,0))</f>
        <v/>
      </c>
      <c r="J2387" s="248" t="str">
        <f ca="1">IF(ISERROR($S2387),"",OFFSET('Smelter Reference List'!$I$4,$S2387-4,0))</f>
        <v/>
      </c>
      <c r="K2387" s="245"/>
      <c r="L2387" s="245"/>
      <c r="M2387" s="245"/>
      <c r="N2387" s="245"/>
      <c r="O2387" s="245"/>
      <c r="P2387" s="245"/>
      <c r="Q2387" s="246"/>
      <c r="R2387" s="233"/>
      <c r="S2387" s="234" t="e">
        <f>IF(C2387="",NA(),MATCH($B2387&amp;$C2387,'Smelter Reference List'!$J:$J,0))</f>
        <v>#N/A</v>
      </c>
      <c r="T2387" s="235"/>
      <c r="U2387" s="235">
        <f t="shared" ca="1" si="70"/>
        <v>0</v>
      </c>
      <c r="V2387" s="235"/>
      <c r="W2387" s="235"/>
      <c r="Y2387" s="228" t="str">
        <f t="shared" si="71"/>
        <v/>
      </c>
    </row>
    <row r="2388" spans="1:25" s="228" customFormat="1" ht="20.25">
      <c r="A2388" s="257"/>
      <c r="B2388" s="232" t="str">
        <f>IF(LEN(A2388)=0,"",INDEX('Smelter Reference List'!$A:$A,MATCH($A2388,'Smelter Reference List'!$E:$E,0)))</f>
        <v/>
      </c>
      <c r="C2388" s="297" t="str">
        <f>IF(LEN(A2388)=0,"",INDEX('Smelter Reference List'!$C:$C,MATCH($A2388,'Smelter Reference List'!$E:$E,0)))</f>
        <v/>
      </c>
      <c r="D2388" s="161" t="str">
        <f ca="1">IF(ISERROR($S2388),"",OFFSET('Smelter Reference List'!$C$4,$S2388-4,0)&amp;"")</f>
        <v/>
      </c>
      <c r="E2388" s="161" t="str">
        <f ca="1">IF(ISERROR($S2388),"",OFFSET('Smelter Reference List'!$D$4,$S2388-4,0)&amp;"")</f>
        <v/>
      </c>
      <c r="F2388" s="161" t="str">
        <f ca="1">IF(ISERROR($S2388),"",OFFSET('Smelter Reference List'!$E$4,$S2388-4,0))</f>
        <v/>
      </c>
      <c r="G2388" s="161" t="str">
        <f ca="1">IF(C2388=$U$4,"Enter smelter details", IF(ISERROR($S2388),"",OFFSET('Smelter Reference List'!$F$4,$S2388-4,0)))</f>
        <v/>
      </c>
      <c r="H2388" s="247" t="str">
        <f ca="1">IF(ISERROR($S2388),"",OFFSET('Smelter Reference List'!$G$4,$S2388-4,0))</f>
        <v/>
      </c>
      <c r="I2388" s="248" t="str">
        <f ca="1">IF(ISERROR($S2388),"",OFFSET('Smelter Reference List'!$H$4,$S2388-4,0))</f>
        <v/>
      </c>
      <c r="J2388" s="248" t="str">
        <f ca="1">IF(ISERROR($S2388),"",OFFSET('Smelter Reference List'!$I$4,$S2388-4,0))</f>
        <v/>
      </c>
      <c r="K2388" s="245"/>
      <c r="L2388" s="245"/>
      <c r="M2388" s="245"/>
      <c r="N2388" s="245"/>
      <c r="O2388" s="245"/>
      <c r="P2388" s="245"/>
      <c r="Q2388" s="246"/>
      <c r="R2388" s="233"/>
      <c r="S2388" s="234" t="e">
        <f>IF(C2388="",NA(),MATCH($B2388&amp;$C2388,'Smelter Reference List'!$J:$J,0))</f>
        <v>#N/A</v>
      </c>
      <c r="T2388" s="235"/>
      <c r="U2388" s="235">
        <f t="shared" ca="1" si="70"/>
        <v>0</v>
      </c>
      <c r="V2388" s="235"/>
      <c r="W2388" s="235"/>
      <c r="Y2388" s="228" t="str">
        <f t="shared" si="71"/>
        <v/>
      </c>
    </row>
    <row r="2389" spans="1:25" s="228" customFormat="1" ht="20.25">
      <c r="A2389" s="257"/>
      <c r="B2389" s="232" t="str">
        <f>IF(LEN(A2389)=0,"",INDEX('Smelter Reference List'!$A:$A,MATCH($A2389,'Smelter Reference List'!$E:$E,0)))</f>
        <v/>
      </c>
      <c r="C2389" s="297" t="str">
        <f>IF(LEN(A2389)=0,"",INDEX('Smelter Reference List'!$C:$C,MATCH($A2389,'Smelter Reference List'!$E:$E,0)))</f>
        <v/>
      </c>
      <c r="D2389" s="161" t="str">
        <f ca="1">IF(ISERROR($S2389),"",OFFSET('Smelter Reference List'!$C$4,$S2389-4,0)&amp;"")</f>
        <v/>
      </c>
      <c r="E2389" s="161" t="str">
        <f ca="1">IF(ISERROR($S2389),"",OFFSET('Smelter Reference List'!$D$4,$S2389-4,0)&amp;"")</f>
        <v/>
      </c>
      <c r="F2389" s="161" t="str">
        <f ca="1">IF(ISERROR($S2389),"",OFFSET('Smelter Reference List'!$E$4,$S2389-4,0))</f>
        <v/>
      </c>
      <c r="G2389" s="161" t="str">
        <f ca="1">IF(C2389=$U$4,"Enter smelter details", IF(ISERROR($S2389),"",OFFSET('Smelter Reference List'!$F$4,$S2389-4,0)))</f>
        <v/>
      </c>
      <c r="H2389" s="247" t="str">
        <f ca="1">IF(ISERROR($S2389),"",OFFSET('Smelter Reference List'!$G$4,$S2389-4,0))</f>
        <v/>
      </c>
      <c r="I2389" s="248" t="str">
        <f ca="1">IF(ISERROR($S2389),"",OFFSET('Smelter Reference List'!$H$4,$S2389-4,0))</f>
        <v/>
      </c>
      <c r="J2389" s="248" t="str">
        <f ca="1">IF(ISERROR($S2389),"",OFFSET('Smelter Reference List'!$I$4,$S2389-4,0))</f>
        <v/>
      </c>
      <c r="K2389" s="245"/>
      <c r="L2389" s="245"/>
      <c r="M2389" s="245"/>
      <c r="N2389" s="245"/>
      <c r="O2389" s="245"/>
      <c r="P2389" s="245"/>
      <c r="Q2389" s="246"/>
      <c r="R2389" s="233"/>
      <c r="S2389" s="234" t="e">
        <f>IF(C2389="",NA(),MATCH($B2389&amp;$C2389,'Smelter Reference List'!$J:$J,0))</f>
        <v>#N/A</v>
      </c>
      <c r="T2389" s="235"/>
      <c r="U2389" s="235">
        <f t="shared" ca="1" si="70"/>
        <v>0</v>
      </c>
      <c r="V2389" s="235"/>
      <c r="W2389" s="235"/>
      <c r="Y2389" s="228" t="str">
        <f t="shared" si="71"/>
        <v/>
      </c>
    </row>
    <row r="2390" spans="1:25" s="228" customFormat="1" ht="20.25">
      <c r="A2390" s="257"/>
      <c r="B2390" s="232" t="str">
        <f>IF(LEN(A2390)=0,"",INDEX('Smelter Reference List'!$A:$A,MATCH($A2390,'Smelter Reference List'!$E:$E,0)))</f>
        <v/>
      </c>
      <c r="C2390" s="297" t="str">
        <f>IF(LEN(A2390)=0,"",INDEX('Smelter Reference List'!$C:$C,MATCH($A2390,'Smelter Reference List'!$E:$E,0)))</f>
        <v/>
      </c>
      <c r="D2390" s="161" t="str">
        <f ca="1">IF(ISERROR($S2390),"",OFFSET('Smelter Reference List'!$C$4,$S2390-4,0)&amp;"")</f>
        <v/>
      </c>
      <c r="E2390" s="161" t="str">
        <f ca="1">IF(ISERROR($S2390),"",OFFSET('Smelter Reference List'!$D$4,$S2390-4,0)&amp;"")</f>
        <v/>
      </c>
      <c r="F2390" s="161" t="str">
        <f ca="1">IF(ISERROR($S2390),"",OFFSET('Smelter Reference List'!$E$4,$S2390-4,0))</f>
        <v/>
      </c>
      <c r="G2390" s="161" t="str">
        <f ca="1">IF(C2390=$U$4,"Enter smelter details", IF(ISERROR($S2390),"",OFFSET('Smelter Reference List'!$F$4,$S2390-4,0)))</f>
        <v/>
      </c>
      <c r="H2390" s="247" t="str">
        <f ca="1">IF(ISERROR($S2390),"",OFFSET('Smelter Reference List'!$G$4,$S2390-4,0))</f>
        <v/>
      </c>
      <c r="I2390" s="248" t="str">
        <f ca="1">IF(ISERROR($S2390),"",OFFSET('Smelter Reference List'!$H$4,$S2390-4,0))</f>
        <v/>
      </c>
      <c r="J2390" s="248" t="str">
        <f ca="1">IF(ISERROR($S2390),"",OFFSET('Smelter Reference List'!$I$4,$S2390-4,0))</f>
        <v/>
      </c>
      <c r="K2390" s="245"/>
      <c r="L2390" s="245"/>
      <c r="M2390" s="245"/>
      <c r="N2390" s="245"/>
      <c r="O2390" s="245"/>
      <c r="P2390" s="245"/>
      <c r="Q2390" s="246"/>
      <c r="R2390" s="233"/>
      <c r="S2390" s="234" t="e">
        <f>IF(C2390="",NA(),MATCH($B2390&amp;$C2390,'Smelter Reference List'!$J:$J,0))</f>
        <v>#N/A</v>
      </c>
      <c r="T2390" s="235"/>
      <c r="U2390" s="235">
        <f t="shared" ca="1" si="70"/>
        <v>0</v>
      </c>
      <c r="V2390" s="235"/>
      <c r="W2390" s="235"/>
      <c r="Y2390" s="228" t="str">
        <f t="shared" si="71"/>
        <v/>
      </c>
    </row>
    <row r="2391" spans="1:25" s="228" customFormat="1" ht="20.25">
      <c r="A2391" s="257"/>
      <c r="B2391" s="232" t="str">
        <f>IF(LEN(A2391)=0,"",INDEX('Smelter Reference List'!$A:$A,MATCH($A2391,'Smelter Reference List'!$E:$E,0)))</f>
        <v/>
      </c>
      <c r="C2391" s="297" t="str">
        <f>IF(LEN(A2391)=0,"",INDEX('Smelter Reference List'!$C:$C,MATCH($A2391,'Smelter Reference List'!$E:$E,0)))</f>
        <v/>
      </c>
      <c r="D2391" s="161" t="str">
        <f ca="1">IF(ISERROR($S2391),"",OFFSET('Smelter Reference List'!$C$4,$S2391-4,0)&amp;"")</f>
        <v/>
      </c>
      <c r="E2391" s="161" t="str">
        <f ca="1">IF(ISERROR($S2391),"",OFFSET('Smelter Reference List'!$D$4,$S2391-4,0)&amp;"")</f>
        <v/>
      </c>
      <c r="F2391" s="161" t="str">
        <f ca="1">IF(ISERROR($S2391),"",OFFSET('Smelter Reference List'!$E$4,$S2391-4,0))</f>
        <v/>
      </c>
      <c r="G2391" s="161" t="str">
        <f ca="1">IF(C2391=$U$4,"Enter smelter details", IF(ISERROR($S2391),"",OFFSET('Smelter Reference List'!$F$4,$S2391-4,0)))</f>
        <v/>
      </c>
      <c r="H2391" s="247" t="str">
        <f ca="1">IF(ISERROR($S2391),"",OFFSET('Smelter Reference List'!$G$4,$S2391-4,0))</f>
        <v/>
      </c>
      <c r="I2391" s="248" t="str">
        <f ca="1">IF(ISERROR($S2391),"",OFFSET('Smelter Reference List'!$H$4,$S2391-4,0))</f>
        <v/>
      </c>
      <c r="J2391" s="248" t="str">
        <f ca="1">IF(ISERROR($S2391),"",OFFSET('Smelter Reference List'!$I$4,$S2391-4,0))</f>
        <v/>
      </c>
      <c r="K2391" s="245"/>
      <c r="L2391" s="245"/>
      <c r="M2391" s="245"/>
      <c r="N2391" s="245"/>
      <c r="O2391" s="245"/>
      <c r="P2391" s="245"/>
      <c r="Q2391" s="246"/>
      <c r="R2391" s="233"/>
      <c r="S2391" s="234" t="e">
        <f>IF(C2391="",NA(),MATCH($B2391&amp;$C2391,'Smelter Reference List'!$J:$J,0))</f>
        <v>#N/A</v>
      </c>
      <c r="T2391" s="235"/>
      <c r="U2391" s="235">
        <f t="shared" ca="1" si="70"/>
        <v>0</v>
      </c>
      <c r="V2391" s="235"/>
      <c r="W2391" s="235"/>
      <c r="Y2391" s="228" t="str">
        <f t="shared" si="71"/>
        <v/>
      </c>
    </row>
    <row r="2392" spans="1:25" s="228" customFormat="1" ht="20.25">
      <c r="A2392" s="257"/>
      <c r="B2392" s="232" t="str">
        <f>IF(LEN(A2392)=0,"",INDEX('Smelter Reference List'!$A:$A,MATCH($A2392,'Smelter Reference List'!$E:$E,0)))</f>
        <v/>
      </c>
      <c r="C2392" s="297" t="str">
        <f>IF(LEN(A2392)=0,"",INDEX('Smelter Reference List'!$C:$C,MATCH($A2392,'Smelter Reference List'!$E:$E,0)))</f>
        <v/>
      </c>
      <c r="D2392" s="161" t="str">
        <f ca="1">IF(ISERROR($S2392),"",OFFSET('Smelter Reference List'!$C$4,$S2392-4,0)&amp;"")</f>
        <v/>
      </c>
      <c r="E2392" s="161" t="str">
        <f ca="1">IF(ISERROR($S2392),"",OFFSET('Smelter Reference List'!$D$4,$S2392-4,0)&amp;"")</f>
        <v/>
      </c>
      <c r="F2392" s="161" t="str">
        <f ca="1">IF(ISERROR($S2392),"",OFFSET('Smelter Reference List'!$E$4,$S2392-4,0))</f>
        <v/>
      </c>
      <c r="G2392" s="161" t="str">
        <f ca="1">IF(C2392=$U$4,"Enter smelter details", IF(ISERROR($S2392),"",OFFSET('Smelter Reference List'!$F$4,$S2392-4,0)))</f>
        <v/>
      </c>
      <c r="H2392" s="247" t="str">
        <f ca="1">IF(ISERROR($S2392),"",OFFSET('Smelter Reference List'!$G$4,$S2392-4,0))</f>
        <v/>
      </c>
      <c r="I2392" s="248" t="str">
        <f ca="1">IF(ISERROR($S2392),"",OFFSET('Smelter Reference List'!$H$4,$S2392-4,0))</f>
        <v/>
      </c>
      <c r="J2392" s="248" t="str">
        <f ca="1">IF(ISERROR($S2392),"",OFFSET('Smelter Reference List'!$I$4,$S2392-4,0))</f>
        <v/>
      </c>
      <c r="K2392" s="245"/>
      <c r="L2392" s="245"/>
      <c r="M2392" s="245"/>
      <c r="N2392" s="245"/>
      <c r="O2392" s="245"/>
      <c r="P2392" s="245"/>
      <c r="Q2392" s="246"/>
      <c r="R2392" s="233"/>
      <c r="S2392" s="234" t="e">
        <f>IF(C2392="",NA(),MATCH($B2392&amp;$C2392,'Smelter Reference List'!$J:$J,0))</f>
        <v>#N/A</v>
      </c>
      <c r="T2392" s="235"/>
      <c r="U2392" s="235">
        <f t="shared" ca="1" si="70"/>
        <v>0</v>
      </c>
      <c r="V2392" s="235"/>
      <c r="W2392" s="235"/>
      <c r="Y2392" s="228" t="str">
        <f t="shared" si="71"/>
        <v/>
      </c>
    </row>
    <row r="2393" spans="1:25" s="228" customFormat="1" ht="20.25">
      <c r="A2393" s="257"/>
      <c r="B2393" s="232" t="str">
        <f>IF(LEN(A2393)=0,"",INDEX('Smelter Reference List'!$A:$A,MATCH($A2393,'Smelter Reference List'!$E:$E,0)))</f>
        <v/>
      </c>
      <c r="C2393" s="297" t="str">
        <f>IF(LEN(A2393)=0,"",INDEX('Smelter Reference List'!$C:$C,MATCH($A2393,'Smelter Reference List'!$E:$E,0)))</f>
        <v/>
      </c>
      <c r="D2393" s="161" t="str">
        <f ca="1">IF(ISERROR($S2393),"",OFFSET('Smelter Reference List'!$C$4,$S2393-4,0)&amp;"")</f>
        <v/>
      </c>
      <c r="E2393" s="161" t="str">
        <f ca="1">IF(ISERROR($S2393),"",OFFSET('Smelter Reference List'!$D$4,$S2393-4,0)&amp;"")</f>
        <v/>
      </c>
      <c r="F2393" s="161" t="str">
        <f ca="1">IF(ISERROR($S2393),"",OFFSET('Smelter Reference List'!$E$4,$S2393-4,0))</f>
        <v/>
      </c>
      <c r="G2393" s="161" t="str">
        <f ca="1">IF(C2393=$U$4,"Enter smelter details", IF(ISERROR($S2393),"",OFFSET('Smelter Reference List'!$F$4,$S2393-4,0)))</f>
        <v/>
      </c>
      <c r="H2393" s="247" t="str">
        <f ca="1">IF(ISERROR($S2393),"",OFFSET('Smelter Reference List'!$G$4,$S2393-4,0))</f>
        <v/>
      </c>
      <c r="I2393" s="248" t="str">
        <f ca="1">IF(ISERROR($S2393),"",OFFSET('Smelter Reference List'!$H$4,$S2393-4,0))</f>
        <v/>
      </c>
      <c r="J2393" s="248" t="str">
        <f ca="1">IF(ISERROR($S2393),"",OFFSET('Smelter Reference List'!$I$4,$S2393-4,0))</f>
        <v/>
      </c>
      <c r="K2393" s="245"/>
      <c r="L2393" s="245"/>
      <c r="M2393" s="245"/>
      <c r="N2393" s="245"/>
      <c r="O2393" s="245"/>
      <c r="P2393" s="245"/>
      <c r="Q2393" s="246"/>
      <c r="R2393" s="233"/>
      <c r="S2393" s="234" t="e">
        <f>IF(C2393="",NA(),MATCH($B2393&amp;$C2393,'Smelter Reference List'!$J:$J,0))</f>
        <v>#N/A</v>
      </c>
      <c r="T2393" s="235"/>
      <c r="U2393" s="235">
        <f t="shared" ca="1" si="70"/>
        <v>0</v>
      </c>
      <c r="V2393" s="235"/>
      <c r="W2393" s="235"/>
      <c r="Y2393" s="228" t="str">
        <f t="shared" si="71"/>
        <v/>
      </c>
    </row>
    <row r="2394" spans="1:25" s="228" customFormat="1" ht="20.25">
      <c r="A2394" s="257"/>
      <c r="B2394" s="232" t="str">
        <f>IF(LEN(A2394)=0,"",INDEX('Smelter Reference List'!$A:$A,MATCH($A2394,'Smelter Reference List'!$E:$E,0)))</f>
        <v/>
      </c>
      <c r="C2394" s="297" t="str">
        <f>IF(LEN(A2394)=0,"",INDEX('Smelter Reference List'!$C:$C,MATCH($A2394,'Smelter Reference List'!$E:$E,0)))</f>
        <v/>
      </c>
      <c r="D2394" s="161" t="str">
        <f ca="1">IF(ISERROR($S2394),"",OFFSET('Smelter Reference List'!$C$4,$S2394-4,0)&amp;"")</f>
        <v/>
      </c>
      <c r="E2394" s="161" t="str">
        <f ca="1">IF(ISERROR($S2394),"",OFFSET('Smelter Reference List'!$D$4,$S2394-4,0)&amp;"")</f>
        <v/>
      </c>
      <c r="F2394" s="161" t="str">
        <f ca="1">IF(ISERROR($S2394),"",OFFSET('Smelter Reference List'!$E$4,$S2394-4,0))</f>
        <v/>
      </c>
      <c r="G2394" s="161" t="str">
        <f ca="1">IF(C2394=$U$4,"Enter smelter details", IF(ISERROR($S2394),"",OFFSET('Smelter Reference List'!$F$4,$S2394-4,0)))</f>
        <v/>
      </c>
      <c r="H2394" s="247" t="str">
        <f ca="1">IF(ISERROR($S2394),"",OFFSET('Smelter Reference List'!$G$4,$S2394-4,0))</f>
        <v/>
      </c>
      <c r="I2394" s="248" t="str">
        <f ca="1">IF(ISERROR($S2394),"",OFFSET('Smelter Reference List'!$H$4,$S2394-4,0))</f>
        <v/>
      </c>
      <c r="J2394" s="248" t="str">
        <f ca="1">IF(ISERROR($S2394),"",OFFSET('Smelter Reference List'!$I$4,$S2394-4,0))</f>
        <v/>
      </c>
      <c r="K2394" s="245"/>
      <c r="L2394" s="245"/>
      <c r="M2394" s="245"/>
      <c r="N2394" s="245"/>
      <c r="O2394" s="245"/>
      <c r="P2394" s="245"/>
      <c r="Q2394" s="246"/>
      <c r="R2394" s="233"/>
      <c r="S2394" s="234" t="e">
        <f>IF(C2394="",NA(),MATCH($B2394&amp;$C2394,'Smelter Reference List'!$J:$J,0))</f>
        <v>#N/A</v>
      </c>
      <c r="T2394" s="235"/>
      <c r="U2394" s="235">
        <f t="shared" ca="1" si="70"/>
        <v>0</v>
      </c>
      <c r="V2394" s="235"/>
      <c r="W2394" s="235"/>
      <c r="Y2394" s="228" t="str">
        <f t="shared" si="71"/>
        <v/>
      </c>
    </row>
    <row r="2395" spans="1:25" s="228" customFormat="1" ht="20.25">
      <c r="A2395" s="257"/>
      <c r="B2395" s="232" t="str">
        <f>IF(LEN(A2395)=0,"",INDEX('Smelter Reference List'!$A:$A,MATCH($A2395,'Smelter Reference List'!$E:$E,0)))</f>
        <v/>
      </c>
      <c r="C2395" s="297" t="str">
        <f>IF(LEN(A2395)=0,"",INDEX('Smelter Reference List'!$C:$C,MATCH($A2395,'Smelter Reference List'!$E:$E,0)))</f>
        <v/>
      </c>
      <c r="D2395" s="161" t="str">
        <f ca="1">IF(ISERROR($S2395),"",OFFSET('Smelter Reference List'!$C$4,$S2395-4,0)&amp;"")</f>
        <v/>
      </c>
      <c r="E2395" s="161" t="str">
        <f ca="1">IF(ISERROR($S2395),"",OFFSET('Smelter Reference List'!$D$4,$S2395-4,0)&amp;"")</f>
        <v/>
      </c>
      <c r="F2395" s="161" t="str">
        <f ca="1">IF(ISERROR($S2395),"",OFFSET('Smelter Reference List'!$E$4,$S2395-4,0))</f>
        <v/>
      </c>
      <c r="G2395" s="161" t="str">
        <f ca="1">IF(C2395=$U$4,"Enter smelter details", IF(ISERROR($S2395),"",OFFSET('Smelter Reference List'!$F$4,$S2395-4,0)))</f>
        <v/>
      </c>
      <c r="H2395" s="247" t="str">
        <f ca="1">IF(ISERROR($S2395),"",OFFSET('Smelter Reference List'!$G$4,$S2395-4,0))</f>
        <v/>
      </c>
      <c r="I2395" s="248" t="str">
        <f ca="1">IF(ISERROR($S2395),"",OFFSET('Smelter Reference List'!$H$4,$S2395-4,0))</f>
        <v/>
      </c>
      <c r="J2395" s="248" t="str">
        <f ca="1">IF(ISERROR($S2395),"",OFFSET('Smelter Reference List'!$I$4,$S2395-4,0))</f>
        <v/>
      </c>
      <c r="K2395" s="245"/>
      <c r="L2395" s="245"/>
      <c r="M2395" s="245"/>
      <c r="N2395" s="245"/>
      <c r="O2395" s="245"/>
      <c r="P2395" s="245"/>
      <c r="Q2395" s="246"/>
      <c r="R2395" s="233"/>
      <c r="S2395" s="234" t="e">
        <f>IF(C2395="",NA(),MATCH($B2395&amp;$C2395,'Smelter Reference List'!$J:$J,0))</f>
        <v>#N/A</v>
      </c>
      <c r="T2395" s="235"/>
      <c r="U2395" s="235">
        <f t="shared" ca="1" si="70"/>
        <v>0</v>
      </c>
      <c r="V2395" s="235"/>
      <c r="W2395" s="235"/>
      <c r="Y2395" s="228" t="str">
        <f t="shared" si="71"/>
        <v/>
      </c>
    </row>
    <row r="2396" spans="1:25" s="228" customFormat="1" ht="20.25">
      <c r="A2396" s="257"/>
      <c r="B2396" s="232" t="str">
        <f>IF(LEN(A2396)=0,"",INDEX('Smelter Reference List'!$A:$A,MATCH($A2396,'Smelter Reference List'!$E:$E,0)))</f>
        <v/>
      </c>
      <c r="C2396" s="297" t="str">
        <f>IF(LEN(A2396)=0,"",INDEX('Smelter Reference List'!$C:$C,MATCH($A2396,'Smelter Reference List'!$E:$E,0)))</f>
        <v/>
      </c>
      <c r="D2396" s="161" t="str">
        <f ca="1">IF(ISERROR($S2396),"",OFFSET('Smelter Reference List'!$C$4,$S2396-4,0)&amp;"")</f>
        <v/>
      </c>
      <c r="E2396" s="161" t="str">
        <f ca="1">IF(ISERROR($S2396),"",OFFSET('Smelter Reference List'!$D$4,$S2396-4,0)&amp;"")</f>
        <v/>
      </c>
      <c r="F2396" s="161" t="str">
        <f ca="1">IF(ISERROR($S2396),"",OFFSET('Smelter Reference List'!$E$4,$S2396-4,0))</f>
        <v/>
      </c>
      <c r="G2396" s="161" t="str">
        <f ca="1">IF(C2396=$U$4,"Enter smelter details", IF(ISERROR($S2396),"",OFFSET('Smelter Reference List'!$F$4,$S2396-4,0)))</f>
        <v/>
      </c>
      <c r="H2396" s="247" t="str">
        <f ca="1">IF(ISERROR($S2396),"",OFFSET('Smelter Reference List'!$G$4,$S2396-4,0))</f>
        <v/>
      </c>
      <c r="I2396" s="248" t="str">
        <f ca="1">IF(ISERROR($S2396),"",OFFSET('Smelter Reference List'!$H$4,$S2396-4,0))</f>
        <v/>
      </c>
      <c r="J2396" s="248" t="str">
        <f ca="1">IF(ISERROR($S2396),"",OFFSET('Smelter Reference List'!$I$4,$S2396-4,0))</f>
        <v/>
      </c>
      <c r="K2396" s="245"/>
      <c r="L2396" s="245"/>
      <c r="M2396" s="245"/>
      <c r="N2396" s="245"/>
      <c r="O2396" s="245"/>
      <c r="P2396" s="245"/>
      <c r="Q2396" s="246"/>
      <c r="R2396" s="233"/>
      <c r="S2396" s="234" t="e">
        <f>IF(C2396="",NA(),MATCH($B2396&amp;$C2396,'Smelter Reference List'!$J:$J,0))</f>
        <v>#N/A</v>
      </c>
      <c r="T2396" s="235"/>
      <c r="U2396" s="235">
        <f t="shared" ca="1" si="70"/>
        <v>0</v>
      </c>
      <c r="V2396" s="235"/>
      <c r="W2396" s="235"/>
      <c r="Y2396" s="228" t="str">
        <f t="shared" si="71"/>
        <v/>
      </c>
    </row>
    <row r="2397" spans="1:25" s="228" customFormat="1" ht="20.25">
      <c r="A2397" s="257"/>
      <c r="B2397" s="232" t="str">
        <f>IF(LEN(A2397)=0,"",INDEX('Smelter Reference List'!$A:$A,MATCH($A2397,'Smelter Reference List'!$E:$E,0)))</f>
        <v/>
      </c>
      <c r="C2397" s="297" t="str">
        <f>IF(LEN(A2397)=0,"",INDEX('Smelter Reference List'!$C:$C,MATCH($A2397,'Smelter Reference List'!$E:$E,0)))</f>
        <v/>
      </c>
      <c r="D2397" s="161" t="str">
        <f ca="1">IF(ISERROR($S2397),"",OFFSET('Smelter Reference List'!$C$4,$S2397-4,0)&amp;"")</f>
        <v/>
      </c>
      <c r="E2397" s="161" t="str">
        <f ca="1">IF(ISERROR($S2397),"",OFFSET('Smelter Reference List'!$D$4,$S2397-4,0)&amp;"")</f>
        <v/>
      </c>
      <c r="F2397" s="161" t="str">
        <f ca="1">IF(ISERROR($S2397),"",OFFSET('Smelter Reference List'!$E$4,$S2397-4,0))</f>
        <v/>
      </c>
      <c r="G2397" s="161" t="str">
        <f ca="1">IF(C2397=$U$4,"Enter smelter details", IF(ISERROR($S2397),"",OFFSET('Smelter Reference List'!$F$4,$S2397-4,0)))</f>
        <v/>
      </c>
      <c r="H2397" s="247" t="str">
        <f ca="1">IF(ISERROR($S2397),"",OFFSET('Smelter Reference List'!$G$4,$S2397-4,0))</f>
        <v/>
      </c>
      <c r="I2397" s="248" t="str">
        <f ca="1">IF(ISERROR($S2397),"",OFFSET('Smelter Reference List'!$H$4,$S2397-4,0))</f>
        <v/>
      </c>
      <c r="J2397" s="248" t="str">
        <f ca="1">IF(ISERROR($S2397),"",OFFSET('Smelter Reference List'!$I$4,$S2397-4,0))</f>
        <v/>
      </c>
      <c r="K2397" s="245"/>
      <c r="L2397" s="245"/>
      <c r="M2397" s="245"/>
      <c r="N2397" s="245"/>
      <c r="O2397" s="245"/>
      <c r="P2397" s="245"/>
      <c r="Q2397" s="246"/>
      <c r="R2397" s="233"/>
      <c r="S2397" s="234" t="e">
        <f>IF(C2397="",NA(),MATCH($B2397&amp;$C2397,'Smelter Reference List'!$J:$J,0))</f>
        <v>#N/A</v>
      </c>
      <c r="T2397" s="235"/>
      <c r="U2397" s="235">
        <f t="shared" ca="1" si="70"/>
        <v>0</v>
      </c>
      <c r="V2397" s="235"/>
      <c r="W2397" s="235"/>
      <c r="Y2397" s="228" t="str">
        <f t="shared" si="71"/>
        <v/>
      </c>
    </row>
    <row r="2398" spans="1:25" s="228" customFormat="1" ht="20.25">
      <c r="A2398" s="257"/>
      <c r="B2398" s="232" t="str">
        <f>IF(LEN(A2398)=0,"",INDEX('Smelter Reference List'!$A:$A,MATCH($A2398,'Smelter Reference List'!$E:$E,0)))</f>
        <v/>
      </c>
      <c r="C2398" s="297" t="str">
        <f>IF(LEN(A2398)=0,"",INDEX('Smelter Reference List'!$C:$C,MATCH($A2398,'Smelter Reference List'!$E:$E,0)))</f>
        <v/>
      </c>
      <c r="D2398" s="161" t="str">
        <f ca="1">IF(ISERROR($S2398),"",OFFSET('Smelter Reference List'!$C$4,$S2398-4,0)&amp;"")</f>
        <v/>
      </c>
      <c r="E2398" s="161" t="str">
        <f ca="1">IF(ISERROR($S2398),"",OFFSET('Smelter Reference List'!$D$4,$S2398-4,0)&amp;"")</f>
        <v/>
      </c>
      <c r="F2398" s="161" t="str">
        <f ca="1">IF(ISERROR($S2398),"",OFFSET('Smelter Reference List'!$E$4,$S2398-4,0))</f>
        <v/>
      </c>
      <c r="G2398" s="161" t="str">
        <f ca="1">IF(C2398=$U$4,"Enter smelter details", IF(ISERROR($S2398),"",OFFSET('Smelter Reference List'!$F$4,$S2398-4,0)))</f>
        <v/>
      </c>
      <c r="H2398" s="247" t="str">
        <f ca="1">IF(ISERROR($S2398),"",OFFSET('Smelter Reference List'!$G$4,$S2398-4,0))</f>
        <v/>
      </c>
      <c r="I2398" s="248" t="str">
        <f ca="1">IF(ISERROR($S2398),"",OFFSET('Smelter Reference List'!$H$4,$S2398-4,0))</f>
        <v/>
      </c>
      <c r="J2398" s="248" t="str">
        <f ca="1">IF(ISERROR($S2398),"",OFFSET('Smelter Reference List'!$I$4,$S2398-4,0))</f>
        <v/>
      </c>
      <c r="K2398" s="245"/>
      <c r="L2398" s="245"/>
      <c r="M2398" s="245"/>
      <c r="N2398" s="245"/>
      <c r="O2398" s="245"/>
      <c r="P2398" s="245"/>
      <c r="Q2398" s="246"/>
      <c r="R2398" s="233"/>
      <c r="S2398" s="234" t="e">
        <f>IF(C2398="",NA(),MATCH($B2398&amp;$C2398,'Smelter Reference List'!$J:$J,0))</f>
        <v>#N/A</v>
      </c>
      <c r="T2398" s="235"/>
      <c r="U2398" s="235">
        <f t="shared" ca="1" si="70"/>
        <v>0</v>
      </c>
      <c r="V2398" s="235"/>
      <c r="W2398" s="235"/>
      <c r="Y2398" s="228" t="str">
        <f t="shared" si="71"/>
        <v/>
      </c>
    </row>
    <row r="2399" spans="1:25" s="228" customFormat="1" ht="20.25">
      <c r="A2399" s="257"/>
      <c r="B2399" s="232" t="str">
        <f>IF(LEN(A2399)=0,"",INDEX('Smelter Reference List'!$A:$A,MATCH($A2399,'Smelter Reference List'!$E:$E,0)))</f>
        <v/>
      </c>
      <c r="C2399" s="297" t="str">
        <f>IF(LEN(A2399)=0,"",INDEX('Smelter Reference List'!$C:$C,MATCH($A2399,'Smelter Reference List'!$E:$E,0)))</f>
        <v/>
      </c>
      <c r="D2399" s="161" t="str">
        <f ca="1">IF(ISERROR($S2399),"",OFFSET('Smelter Reference List'!$C$4,$S2399-4,0)&amp;"")</f>
        <v/>
      </c>
      <c r="E2399" s="161" t="str">
        <f ca="1">IF(ISERROR($S2399),"",OFFSET('Smelter Reference List'!$D$4,$S2399-4,0)&amp;"")</f>
        <v/>
      </c>
      <c r="F2399" s="161" t="str">
        <f ca="1">IF(ISERROR($S2399),"",OFFSET('Smelter Reference List'!$E$4,$S2399-4,0))</f>
        <v/>
      </c>
      <c r="G2399" s="161" t="str">
        <f ca="1">IF(C2399=$U$4,"Enter smelter details", IF(ISERROR($S2399),"",OFFSET('Smelter Reference List'!$F$4,$S2399-4,0)))</f>
        <v/>
      </c>
      <c r="H2399" s="247" t="str">
        <f ca="1">IF(ISERROR($S2399),"",OFFSET('Smelter Reference List'!$G$4,$S2399-4,0))</f>
        <v/>
      </c>
      <c r="I2399" s="248" t="str">
        <f ca="1">IF(ISERROR($S2399),"",OFFSET('Smelter Reference List'!$H$4,$S2399-4,0))</f>
        <v/>
      </c>
      <c r="J2399" s="248" t="str">
        <f ca="1">IF(ISERROR($S2399),"",OFFSET('Smelter Reference List'!$I$4,$S2399-4,0))</f>
        <v/>
      </c>
      <c r="K2399" s="245"/>
      <c r="L2399" s="245"/>
      <c r="M2399" s="245"/>
      <c r="N2399" s="245"/>
      <c r="O2399" s="245"/>
      <c r="P2399" s="245"/>
      <c r="Q2399" s="246"/>
      <c r="R2399" s="233"/>
      <c r="S2399" s="234" t="e">
        <f>IF(C2399="",NA(),MATCH($B2399&amp;$C2399,'Smelter Reference List'!$J:$J,0))</f>
        <v>#N/A</v>
      </c>
      <c r="T2399" s="235"/>
      <c r="U2399" s="235">
        <f t="shared" ca="1" si="70"/>
        <v>0</v>
      </c>
      <c r="V2399" s="235"/>
      <c r="W2399" s="235"/>
      <c r="Y2399" s="228" t="str">
        <f t="shared" si="71"/>
        <v/>
      </c>
    </row>
    <row r="2400" spans="1:25" s="228" customFormat="1" ht="20.25">
      <c r="A2400" s="257"/>
      <c r="B2400" s="232" t="str">
        <f>IF(LEN(A2400)=0,"",INDEX('Smelter Reference List'!$A:$A,MATCH($A2400,'Smelter Reference List'!$E:$E,0)))</f>
        <v/>
      </c>
      <c r="C2400" s="297" t="str">
        <f>IF(LEN(A2400)=0,"",INDEX('Smelter Reference List'!$C:$C,MATCH($A2400,'Smelter Reference List'!$E:$E,0)))</f>
        <v/>
      </c>
      <c r="D2400" s="161" t="str">
        <f ca="1">IF(ISERROR($S2400),"",OFFSET('Smelter Reference List'!$C$4,$S2400-4,0)&amp;"")</f>
        <v/>
      </c>
      <c r="E2400" s="161" t="str">
        <f ca="1">IF(ISERROR($S2400),"",OFFSET('Smelter Reference List'!$D$4,$S2400-4,0)&amp;"")</f>
        <v/>
      </c>
      <c r="F2400" s="161" t="str">
        <f ca="1">IF(ISERROR($S2400),"",OFFSET('Smelter Reference List'!$E$4,$S2400-4,0))</f>
        <v/>
      </c>
      <c r="G2400" s="161" t="str">
        <f ca="1">IF(C2400=$U$4,"Enter smelter details", IF(ISERROR($S2400),"",OFFSET('Smelter Reference List'!$F$4,$S2400-4,0)))</f>
        <v/>
      </c>
      <c r="H2400" s="247" t="str">
        <f ca="1">IF(ISERROR($S2400),"",OFFSET('Smelter Reference List'!$G$4,$S2400-4,0))</f>
        <v/>
      </c>
      <c r="I2400" s="248" t="str">
        <f ca="1">IF(ISERROR($S2400),"",OFFSET('Smelter Reference List'!$H$4,$S2400-4,0))</f>
        <v/>
      </c>
      <c r="J2400" s="248" t="str">
        <f ca="1">IF(ISERROR($S2400),"",OFFSET('Smelter Reference List'!$I$4,$S2400-4,0))</f>
        <v/>
      </c>
      <c r="K2400" s="245"/>
      <c r="L2400" s="245"/>
      <c r="M2400" s="245"/>
      <c r="N2400" s="245"/>
      <c r="O2400" s="245"/>
      <c r="P2400" s="245"/>
      <c r="Q2400" s="246"/>
      <c r="R2400" s="233"/>
      <c r="S2400" s="234" t="e">
        <f>IF(C2400="",NA(),MATCH($B2400&amp;$C2400,'Smelter Reference List'!$J:$J,0))</f>
        <v>#N/A</v>
      </c>
      <c r="T2400" s="235"/>
      <c r="U2400" s="235">
        <f t="shared" ca="1" si="70"/>
        <v>0</v>
      </c>
      <c r="V2400" s="235"/>
      <c r="W2400" s="235"/>
      <c r="Y2400" s="228" t="str">
        <f t="shared" si="71"/>
        <v/>
      </c>
    </row>
    <row r="2401" spans="1:25" s="228" customFormat="1" ht="20.25">
      <c r="A2401" s="257"/>
      <c r="B2401" s="232" t="str">
        <f>IF(LEN(A2401)=0,"",INDEX('Smelter Reference List'!$A:$A,MATCH($A2401,'Smelter Reference List'!$E:$E,0)))</f>
        <v/>
      </c>
      <c r="C2401" s="297" t="str">
        <f>IF(LEN(A2401)=0,"",INDEX('Smelter Reference List'!$C:$C,MATCH($A2401,'Smelter Reference List'!$E:$E,0)))</f>
        <v/>
      </c>
      <c r="D2401" s="161" t="str">
        <f ca="1">IF(ISERROR($S2401),"",OFFSET('Smelter Reference List'!$C$4,$S2401-4,0)&amp;"")</f>
        <v/>
      </c>
      <c r="E2401" s="161" t="str">
        <f ca="1">IF(ISERROR($S2401),"",OFFSET('Smelter Reference List'!$D$4,$S2401-4,0)&amp;"")</f>
        <v/>
      </c>
      <c r="F2401" s="161" t="str">
        <f ca="1">IF(ISERROR($S2401),"",OFFSET('Smelter Reference List'!$E$4,$S2401-4,0))</f>
        <v/>
      </c>
      <c r="G2401" s="161" t="str">
        <f ca="1">IF(C2401=$U$4,"Enter smelter details", IF(ISERROR($S2401),"",OFFSET('Smelter Reference List'!$F$4,$S2401-4,0)))</f>
        <v/>
      </c>
      <c r="H2401" s="247" t="str">
        <f ca="1">IF(ISERROR($S2401),"",OFFSET('Smelter Reference List'!$G$4,$S2401-4,0))</f>
        <v/>
      </c>
      <c r="I2401" s="248" t="str">
        <f ca="1">IF(ISERROR($S2401),"",OFFSET('Smelter Reference List'!$H$4,$S2401-4,0))</f>
        <v/>
      </c>
      <c r="J2401" s="248" t="str">
        <f ca="1">IF(ISERROR($S2401),"",OFFSET('Smelter Reference List'!$I$4,$S2401-4,0))</f>
        <v/>
      </c>
      <c r="K2401" s="245"/>
      <c r="L2401" s="245"/>
      <c r="M2401" s="245"/>
      <c r="N2401" s="245"/>
      <c r="O2401" s="245"/>
      <c r="P2401" s="245"/>
      <c r="Q2401" s="246"/>
      <c r="R2401" s="233"/>
      <c r="S2401" s="234" t="e">
        <f>IF(C2401="",NA(),MATCH($B2401&amp;$C2401,'Smelter Reference List'!$J:$J,0))</f>
        <v>#N/A</v>
      </c>
      <c r="T2401" s="235"/>
      <c r="U2401" s="235">
        <f t="shared" ca="1" si="70"/>
        <v>0</v>
      </c>
      <c r="V2401" s="235"/>
      <c r="W2401" s="235"/>
      <c r="Y2401" s="228" t="str">
        <f t="shared" si="71"/>
        <v/>
      </c>
    </row>
    <row r="2402" spans="1:25" s="228" customFormat="1" ht="20.25">
      <c r="A2402" s="257"/>
      <c r="B2402" s="232" t="str">
        <f>IF(LEN(A2402)=0,"",INDEX('Smelter Reference List'!$A:$A,MATCH($A2402,'Smelter Reference List'!$E:$E,0)))</f>
        <v/>
      </c>
      <c r="C2402" s="297" t="str">
        <f>IF(LEN(A2402)=0,"",INDEX('Smelter Reference List'!$C:$C,MATCH($A2402,'Smelter Reference List'!$E:$E,0)))</f>
        <v/>
      </c>
      <c r="D2402" s="161" t="str">
        <f ca="1">IF(ISERROR($S2402),"",OFFSET('Smelter Reference List'!$C$4,$S2402-4,0)&amp;"")</f>
        <v/>
      </c>
      <c r="E2402" s="161" t="str">
        <f ca="1">IF(ISERROR($S2402),"",OFFSET('Smelter Reference List'!$D$4,$S2402-4,0)&amp;"")</f>
        <v/>
      </c>
      <c r="F2402" s="161" t="str">
        <f ca="1">IF(ISERROR($S2402),"",OFFSET('Smelter Reference List'!$E$4,$S2402-4,0))</f>
        <v/>
      </c>
      <c r="G2402" s="161" t="str">
        <f ca="1">IF(C2402=$U$4,"Enter smelter details", IF(ISERROR($S2402),"",OFFSET('Smelter Reference List'!$F$4,$S2402-4,0)))</f>
        <v/>
      </c>
      <c r="H2402" s="247" t="str">
        <f ca="1">IF(ISERROR($S2402),"",OFFSET('Smelter Reference List'!$G$4,$S2402-4,0))</f>
        <v/>
      </c>
      <c r="I2402" s="248" t="str">
        <f ca="1">IF(ISERROR($S2402),"",OFFSET('Smelter Reference List'!$H$4,$S2402-4,0))</f>
        <v/>
      </c>
      <c r="J2402" s="248" t="str">
        <f ca="1">IF(ISERROR($S2402),"",OFFSET('Smelter Reference List'!$I$4,$S2402-4,0))</f>
        <v/>
      </c>
      <c r="K2402" s="245"/>
      <c r="L2402" s="245"/>
      <c r="M2402" s="245"/>
      <c r="N2402" s="245"/>
      <c r="O2402" s="245"/>
      <c r="P2402" s="245"/>
      <c r="Q2402" s="246"/>
      <c r="R2402" s="233"/>
      <c r="S2402" s="234" t="e">
        <f>IF(C2402="",NA(),MATCH($B2402&amp;$C2402,'Smelter Reference List'!$J:$J,0))</f>
        <v>#N/A</v>
      </c>
      <c r="T2402" s="235"/>
      <c r="U2402" s="235">
        <f t="shared" ca="1" si="70"/>
        <v>0</v>
      </c>
      <c r="V2402" s="235"/>
      <c r="W2402" s="235"/>
      <c r="Y2402" s="228" t="str">
        <f t="shared" si="71"/>
        <v/>
      </c>
    </row>
    <row r="2403" spans="1:25" s="228" customFormat="1" ht="20.25">
      <c r="A2403" s="257"/>
      <c r="B2403" s="232" t="str">
        <f>IF(LEN(A2403)=0,"",INDEX('Smelter Reference List'!$A:$A,MATCH($A2403,'Smelter Reference List'!$E:$E,0)))</f>
        <v/>
      </c>
      <c r="C2403" s="297" t="str">
        <f>IF(LEN(A2403)=0,"",INDEX('Smelter Reference List'!$C:$C,MATCH($A2403,'Smelter Reference List'!$E:$E,0)))</f>
        <v/>
      </c>
      <c r="D2403" s="161" t="str">
        <f ca="1">IF(ISERROR($S2403),"",OFFSET('Smelter Reference List'!$C$4,$S2403-4,0)&amp;"")</f>
        <v/>
      </c>
      <c r="E2403" s="161" t="str">
        <f ca="1">IF(ISERROR($S2403),"",OFFSET('Smelter Reference List'!$D$4,$S2403-4,0)&amp;"")</f>
        <v/>
      </c>
      <c r="F2403" s="161" t="str">
        <f ca="1">IF(ISERROR($S2403),"",OFFSET('Smelter Reference List'!$E$4,$S2403-4,0))</f>
        <v/>
      </c>
      <c r="G2403" s="161" t="str">
        <f ca="1">IF(C2403=$U$4,"Enter smelter details", IF(ISERROR($S2403),"",OFFSET('Smelter Reference List'!$F$4,$S2403-4,0)))</f>
        <v/>
      </c>
      <c r="H2403" s="247" t="str">
        <f ca="1">IF(ISERROR($S2403),"",OFFSET('Smelter Reference List'!$G$4,$S2403-4,0))</f>
        <v/>
      </c>
      <c r="I2403" s="248" t="str">
        <f ca="1">IF(ISERROR($S2403),"",OFFSET('Smelter Reference List'!$H$4,$S2403-4,0))</f>
        <v/>
      </c>
      <c r="J2403" s="248" t="str">
        <f ca="1">IF(ISERROR($S2403),"",OFFSET('Smelter Reference List'!$I$4,$S2403-4,0))</f>
        <v/>
      </c>
      <c r="K2403" s="245"/>
      <c r="L2403" s="245"/>
      <c r="M2403" s="245"/>
      <c r="N2403" s="245"/>
      <c r="O2403" s="245"/>
      <c r="P2403" s="245"/>
      <c r="Q2403" s="246"/>
      <c r="R2403" s="233"/>
      <c r="S2403" s="234" t="e">
        <f>IF(C2403="",NA(),MATCH($B2403&amp;$C2403,'Smelter Reference List'!$J:$J,0))</f>
        <v>#N/A</v>
      </c>
      <c r="T2403" s="235"/>
      <c r="U2403" s="235">
        <f t="shared" ca="1" si="70"/>
        <v>0</v>
      </c>
      <c r="V2403" s="235"/>
      <c r="W2403" s="235"/>
      <c r="Y2403" s="228" t="str">
        <f t="shared" si="71"/>
        <v/>
      </c>
    </row>
    <row r="2404" spans="1:25" s="228" customFormat="1" ht="20.25">
      <c r="A2404" s="257"/>
      <c r="B2404" s="232" t="str">
        <f>IF(LEN(A2404)=0,"",INDEX('Smelter Reference List'!$A:$A,MATCH($A2404,'Smelter Reference List'!$E:$E,0)))</f>
        <v/>
      </c>
      <c r="C2404" s="297" t="str">
        <f>IF(LEN(A2404)=0,"",INDEX('Smelter Reference List'!$C:$C,MATCH($A2404,'Smelter Reference List'!$E:$E,0)))</f>
        <v/>
      </c>
      <c r="D2404" s="161" t="str">
        <f ca="1">IF(ISERROR($S2404),"",OFFSET('Smelter Reference List'!$C$4,$S2404-4,0)&amp;"")</f>
        <v/>
      </c>
      <c r="E2404" s="161" t="str">
        <f ca="1">IF(ISERROR($S2404),"",OFFSET('Smelter Reference List'!$D$4,$S2404-4,0)&amp;"")</f>
        <v/>
      </c>
      <c r="F2404" s="161" t="str">
        <f ca="1">IF(ISERROR($S2404),"",OFFSET('Smelter Reference List'!$E$4,$S2404-4,0))</f>
        <v/>
      </c>
      <c r="G2404" s="161" t="str">
        <f ca="1">IF(C2404=$U$4,"Enter smelter details", IF(ISERROR($S2404),"",OFFSET('Smelter Reference List'!$F$4,$S2404-4,0)))</f>
        <v/>
      </c>
      <c r="H2404" s="247" t="str">
        <f ca="1">IF(ISERROR($S2404),"",OFFSET('Smelter Reference List'!$G$4,$S2404-4,0))</f>
        <v/>
      </c>
      <c r="I2404" s="248" t="str">
        <f ca="1">IF(ISERROR($S2404),"",OFFSET('Smelter Reference List'!$H$4,$S2404-4,0))</f>
        <v/>
      </c>
      <c r="J2404" s="248" t="str">
        <f ca="1">IF(ISERROR($S2404),"",OFFSET('Smelter Reference List'!$I$4,$S2404-4,0))</f>
        <v/>
      </c>
      <c r="K2404" s="245"/>
      <c r="L2404" s="245"/>
      <c r="M2404" s="245"/>
      <c r="N2404" s="245"/>
      <c r="O2404" s="245"/>
      <c r="P2404" s="245"/>
      <c r="Q2404" s="246"/>
      <c r="R2404" s="233"/>
      <c r="S2404" s="234" t="e">
        <f>IF(C2404="",NA(),MATCH($B2404&amp;$C2404,'Smelter Reference List'!$J:$J,0))</f>
        <v>#N/A</v>
      </c>
      <c r="T2404" s="235"/>
      <c r="U2404" s="235">
        <f t="shared" ca="1" si="70"/>
        <v>0</v>
      </c>
      <c r="V2404" s="235"/>
      <c r="W2404" s="235"/>
      <c r="Y2404" s="228" t="str">
        <f t="shared" si="71"/>
        <v/>
      </c>
    </row>
    <row r="2405" spans="1:25" s="228" customFormat="1" ht="20.25">
      <c r="A2405" s="257"/>
      <c r="B2405" s="232" t="str">
        <f>IF(LEN(A2405)=0,"",INDEX('Smelter Reference List'!$A:$A,MATCH($A2405,'Smelter Reference List'!$E:$E,0)))</f>
        <v/>
      </c>
      <c r="C2405" s="297" t="str">
        <f>IF(LEN(A2405)=0,"",INDEX('Smelter Reference List'!$C:$C,MATCH($A2405,'Smelter Reference List'!$E:$E,0)))</f>
        <v/>
      </c>
      <c r="D2405" s="161" t="str">
        <f ca="1">IF(ISERROR($S2405),"",OFFSET('Smelter Reference List'!$C$4,$S2405-4,0)&amp;"")</f>
        <v/>
      </c>
      <c r="E2405" s="161" t="str">
        <f ca="1">IF(ISERROR($S2405),"",OFFSET('Smelter Reference List'!$D$4,$S2405-4,0)&amp;"")</f>
        <v/>
      </c>
      <c r="F2405" s="161" t="str">
        <f ca="1">IF(ISERROR($S2405),"",OFFSET('Smelter Reference List'!$E$4,$S2405-4,0))</f>
        <v/>
      </c>
      <c r="G2405" s="161" t="str">
        <f ca="1">IF(C2405=$U$4,"Enter smelter details", IF(ISERROR($S2405),"",OFFSET('Smelter Reference List'!$F$4,$S2405-4,0)))</f>
        <v/>
      </c>
      <c r="H2405" s="247" t="str">
        <f ca="1">IF(ISERROR($S2405),"",OFFSET('Smelter Reference List'!$G$4,$S2405-4,0))</f>
        <v/>
      </c>
      <c r="I2405" s="248" t="str">
        <f ca="1">IF(ISERROR($S2405),"",OFFSET('Smelter Reference List'!$H$4,$S2405-4,0))</f>
        <v/>
      </c>
      <c r="J2405" s="248" t="str">
        <f ca="1">IF(ISERROR($S2405),"",OFFSET('Smelter Reference List'!$I$4,$S2405-4,0))</f>
        <v/>
      </c>
      <c r="K2405" s="245"/>
      <c r="L2405" s="245"/>
      <c r="M2405" s="245"/>
      <c r="N2405" s="245"/>
      <c r="O2405" s="245"/>
      <c r="P2405" s="245"/>
      <c r="Q2405" s="246"/>
      <c r="R2405" s="233"/>
      <c r="S2405" s="234" t="e">
        <f>IF(C2405="",NA(),MATCH($B2405&amp;$C2405,'Smelter Reference List'!$J:$J,0))</f>
        <v>#N/A</v>
      </c>
      <c r="T2405" s="235"/>
      <c r="U2405" s="235">
        <f t="shared" ca="1" si="70"/>
        <v>0</v>
      </c>
      <c r="V2405" s="235"/>
      <c r="W2405" s="235"/>
      <c r="Y2405" s="228" t="str">
        <f t="shared" si="71"/>
        <v/>
      </c>
    </row>
    <row r="2406" spans="1:25" s="228" customFormat="1" ht="20.25">
      <c r="A2406" s="257"/>
      <c r="B2406" s="232" t="str">
        <f>IF(LEN(A2406)=0,"",INDEX('Smelter Reference List'!$A:$A,MATCH($A2406,'Smelter Reference List'!$E:$E,0)))</f>
        <v/>
      </c>
      <c r="C2406" s="297" t="str">
        <f>IF(LEN(A2406)=0,"",INDEX('Smelter Reference List'!$C:$C,MATCH($A2406,'Smelter Reference List'!$E:$E,0)))</f>
        <v/>
      </c>
      <c r="D2406" s="161" t="str">
        <f ca="1">IF(ISERROR($S2406),"",OFFSET('Smelter Reference List'!$C$4,$S2406-4,0)&amp;"")</f>
        <v/>
      </c>
      <c r="E2406" s="161" t="str">
        <f ca="1">IF(ISERROR($S2406),"",OFFSET('Smelter Reference List'!$D$4,$S2406-4,0)&amp;"")</f>
        <v/>
      </c>
      <c r="F2406" s="161" t="str">
        <f ca="1">IF(ISERROR($S2406),"",OFFSET('Smelter Reference List'!$E$4,$S2406-4,0))</f>
        <v/>
      </c>
      <c r="G2406" s="161" t="str">
        <f ca="1">IF(C2406=$U$4,"Enter smelter details", IF(ISERROR($S2406),"",OFFSET('Smelter Reference List'!$F$4,$S2406-4,0)))</f>
        <v/>
      </c>
      <c r="H2406" s="247" t="str">
        <f ca="1">IF(ISERROR($S2406),"",OFFSET('Smelter Reference List'!$G$4,$S2406-4,0))</f>
        <v/>
      </c>
      <c r="I2406" s="248" t="str">
        <f ca="1">IF(ISERROR($S2406),"",OFFSET('Smelter Reference List'!$H$4,$S2406-4,0))</f>
        <v/>
      </c>
      <c r="J2406" s="248" t="str">
        <f ca="1">IF(ISERROR($S2406),"",OFFSET('Smelter Reference List'!$I$4,$S2406-4,0))</f>
        <v/>
      </c>
      <c r="K2406" s="245"/>
      <c r="L2406" s="245"/>
      <c r="M2406" s="245"/>
      <c r="N2406" s="245"/>
      <c r="O2406" s="245"/>
      <c r="P2406" s="245"/>
      <c r="Q2406" s="246"/>
      <c r="R2406" s="233"/>
      <c r="S2406" s="234" t="e">
        <f>IF(C2406="",NA(),MATCH($B2406&amp;$C2406,'Smelter Reference List'!$J:$J,0))</f>
        <v>#N/A</v>
      </c>
      <c r="T2406" s="235"/>
      <c r="U2406" s="235">
        <f t="shared" ca="1" si="70"/>
        <v>0</v>
      </c>
      <c r="V2406" s="235"/>
      <c r="W2406" s="235"/>
      <c r="Y2406" s="228" t="str">
        <f t="shared" si="71"/>
        <v/>
      </c>
    </row>
    <row r="2407" spans="1:25" s="228" customFormat="1" ht="20.25">
      <c r="A2407" s="257"/>
      <c r="B2407" s="232" t="str">
        <f>IF(LEN(A2407)=0,"",INDEX('Smelter Reference List'!$A:$A,MATCH($A2407,'Smelter Reference List'!$E:$E,0)))</f>
        <v/>
      </c>
      <c r="C2407" s="297" t="str">
        <f>IF(LEN(A2407)=0,"",INDEX('Smelter Reference List'!$C:$C,MATCH($A2407,'Smelter Reference List'!$E:$E,0)))</f>
        <v/>
      </c>
      <c r="D2407" s="161" t="str">
        <f ca="1">IF(ISERROR($S2407),"",OFFSET('Smelter Reference List'!$C$4,$S2407-4,0)&amp;"")</f>
        <v/>
      </c>
      <c r="E2407" s="161" t="str">
        <f ca="1">IF(ISERROR($S2407),"",OFFSET('Smelter Reference List'!$D$4,$S2407-4,0)&amp;"")</f>
        <v/>
      </c>
      <c r="F2407" s="161" t="str">
        <f ca="1">IF(ISERROR($S2407),"",OFFSET('Smelter Reference List'!$E$4,$S2407-4,0))</f>
        <v/>
      </c>
      <c r="G2407" s="161" t="str">
        <f ca="1">IF(C2407=$U$4,"Enter smelter details", IF(ISERROR($S2407),"",OFFSET('Smelter Reference List'!$F$4,$S2407-4,0)))</f>
        <v/>
      </c>
      <c r="H2407" s="247" t="str">
        <f ca="1">IF(ISERROR($S2407),"",OFFSET('Smelter Reference List'!$G$4,$S2407-4,0))</f>
        <v/>
      </c>
      <c r="I2407" s="248" t="str">
        <f ca="1">IF(ISERROR($S2407),"",OFFSET('Smelter Reference List'!$H$4,$S2407-4,0))</f>
        <v/>
      </c>
      <c r="J2407" s="248" t="str">
        <f ca="1">IF(ISERROR($S2407),"",OFFSET('Smelter Reference List'!$I$4,$S2407-4,0))</f>
        <v/>
      </c>
      <c r="K2407" s="245"/>
      <c r="L2407" s="245"/>
      <c r="M2407" s="245"/>
      <c r="N2407" s="245"/>
      <c r="O2407" s="245"/>
      <c r="P2407" s="245"/>
      <c r="Q2407" s="246"/>
      <c r="R2407" s="233"/>
      <c r="S2407" s="234" t="e">
        <f>IF(C2407="",NA(),MATCH($B2407&amp;$C2407,'Smelter Reference List'!$J:$J,0))</f>
        <v>#N/A</v>
      </c>
      <c r="T2407" s="235"/>
      <c r="U2407" s="235">
        <f t="shared" ca="1" si="70"/>
        <v>0</v>
      </c>
      <c r="V2407" s="235"/>
      <c r="W2407" s="235"/>
      <c r="Y2407" s="228" t="str">
        <f t="shared" si="71"/>
        <v/>
      </c>
    </row>
    <row r="2408" spans="1:25" s="228" customFormat="1" ht="20.25">
      <c r="A2408" s="257"/>
      <c r="B2408" s="232" t="str">
        <f>IF(LEN(A2408)=0,"",INDEX('Smelter Reference List'!$A:$A,MATCH($A2408,'Smelter Reference List'!$E:$E,0)))</f>
        <v/>
      </c>
      <c r="C2408" s="297" t="str">
        <f>IF(LEN(A2408)=0,"",INDEX('Smelter Reference List'!$C:$C,MATCH($A2408,'Smelter Reference List'!$E:$E,0)))</f>
        <v/>
      </c>
      <c r="D2408" s="161" t="str">
        <f ca="1">IF(ISERROR($S2408),"",OFFSET('Smelter Reference List'!$C$4,$S2408-4,0)&amp;"")</f>
        <v/>
      </c>
      <c r="E2408" s="161" t="str">
        <f ca="1">IF(ISERROR($S2408),"",OFFSET('Smelter Reference List'!$D$4,$S2408-4,0)&amp;"")</f>
        <v/>
      </c>
      <c r="F2408" s="161" t="str">
        <f ca="1">IF(ISERROR($S2408),"",OFFSET('Smelter Reference List'!$E$4,$S2408-4,0))</f>
        <v/>
      </c>
      <c r="G2408" s="161" t="str">
        <f ca="1">IF(C2408=$U$4,"Enter smelter details", IF(ISERROR($S2408),"",OFFSET('Smelter Reference List'!$F$4,$S2408-4,0)))</f>
        <v/>
      </c>
      <c r="H2408" s="247" t="str">
        <f ca="1">IF(ISERROR($S2408),"",OFFSET('Smelter Reference List'!$G$4,$S2408-4,0))</f>
        <v/>
      </c>
      <c r="I2408" s="248" t="str">
        <f ca="1">IF(ISERROR($S2408),"",OFFSET('Smelter Reference List'!$H$4,$S2408-4,0))</f>
        <v/>
      </c>
      <c r="J2408" s="248" t="str">
        <f ca="1">IF(ISERROR($S2408),"",OFFSET('Smelter Reference List'!$I$4,$S2408-4,0))</f>
        <v/>
      </c>
      <c r="K2408" s="245"/>
      <c r="L2408" s="245"/>
      <c r="M2408" s="245"/>
      <c r="N2408" s="245"/>
      <c r="O2408" s="245"/>
      <c r="P2408" s="245"/>
      <c r="Q2408" s="246"/>
      <c r="R2408" s="233"/>
      <c r="S2408" s="234" t="e">
        <f>IF(C2408="",NA(),MATCH($B2408&amp;$C2408,'Smelter Reference List'!$J:$J,0))</f>
        <v>#N/A</v>
      </c>
      <c r="T2408" s="235"/>
      <c r="U2408" s="235">
        <f t="shared" ca="1" si="70"/>
        <v>0</v>
      </c>
      <c r="V2408" s="235"/>
      <c r="W2408" s="235"/>
      <c r="Y2408" s="228" t="str">
        <f t="shared" si="71"/>
        <v/>
      </c>
    </row>
    <row r="2409" spans="1:25" s="228" customFormat="1" ht="20.25">
      <c r="A2409" s="257"/>
      <c r="B2409" s="232" t="str">
        <f>IF(LEN(A2409)=0,"",INDEX('Smelter Reference List'!$A:$A,MATCH($A2409,'Smelter Reference List'!$E:$E,0)))</f>
        <v/>
      </c>
      <c r="C2409" s="297" t="str">
        <f>IF(LEN(A2409)=0,"",INDEX('Smelter Reference List'!$C:$C,MATCH($A2409,'Smelter Reference List'!$E:$E,0)))</f>
        <v/>
      </c>
      <c r="D2409" s="161" t="str">
        <f ca="1">IF(ISERROR($S2409),"",OFFSET('Smelter Reference List'!$C$4,$S2409-4,0)&amp;"")</f>
        <v/>
      </c>
      <c r="E2409" s="161" t="str">
        <f ca="1">IF(ISERROR($S2409),"",OFFSET('Smelter Reference List'!$D$4,$S2409-4,0)&amp;"")</f>
        <v/>
      </c>
      <c r="F2409" s="161" t="str">
        <f ca="1">IF(ISERROR($S2409),"",OFFSET('Smelter Reference List'!$E$4,$S2409-4,0))</f>
        <v/>
      </c>
      <c r="G2409" s="161" t="str">
        <f ca="1">IF(C2409=$U$4,"Enter smelter details", IF(ISERROR($S2409),"",OFFSET('Smelter Reference List'!$F$4,$S2409-4,0)))</f>
        <v/>
      </c>
      <c r="H2409" s="247" t="str">
        <f ca="1">IF(ISERROR($S2409),"",OFFSET('Smelter Reference List'!$G$4,$S2409-4,0))</f>
        <v/>
      </c>
      <c r="I2409" s="248" t="str">
        <f ca="1">IF(ISERROR($S2409),"",OFFSET('Smelter Reference List'!$H$4,$S2409-4,0))</f>
        <v/>
      </c>
      <c r="J2409" s="248" t="str">
        <f ca="1">IF(ISERROR($S2409),"",OFFSET('Smelter Reference List'!$I$4,$S2409-4,0))</f>
        <v/>
      </c>
      <c r="K2409" s="245"/>
      <c r="L2409" s="245"/>
      <c r="M2409" s="245"/>
      <c r="N2409" s="245"/>
      <c r="O2409" s="245"/>
      <c r="P2409" s="245"/>
      <c r="Q2409" s="246"/>
      <c r="R2409" s="233"/>
      <c r="S2409" s="234" t="e">
        <f>IF(C2409="",NA(),MATCH($B2409&amp;$C2409,'Smelter Reference List'!$J:$J,0))</f>
        <v>#N/A</v>
      </c>
      <c r="T2409" s="235"/>
      <c r="U2409" s="235">
        <f t="shared" ca="1" si="70"/>
        <v>0</v>
      </c>
      <c r="V2409" s="235"/>
      <c r="W2409" s="235"/>
      <c r="Y2409" s="228" t="str">
        <f t="shared" si="71"/>
        <v/>
      </c>
    </row>
    <row r="2410" spans="1:25" s="228" customFormat="1" ht="20.25">
      <c r="A2410" s="257"/>
      <c r="B2410" s="232" t="str">
        <f>IF(LEN(A2410)=0,"",INDEX('Smelter Reference List'!$A:$A,MATCH($A2410,'Smelter Reference List'!$E:$E,0)))</f>
        <v/>
      </c>
      <c r="C2410" s="297" t="str">
        <f>IF(LEN(A2410)=0,"",INDEX('Smelter Reference List'!$C:$C,MATCH($A2410,'Smelter Reference List'!$E:$E,0)))</f>
        <v/>
      </c>
      <c r="D2410" s="161" t="str">
        <f ca="1">IF(ISERROR($S2410),"",OFFSET('Smelter Reference List'!$C$4,$S2410-4,0)&amp;"")</f>
        <v/>
      </c>
      <c r="E2410" s="161" t="str">
        <f ca="1">IF(ISERROR($S2410),"",OFFSET('Smelter Reference List'!$D$4,$S2410-4,0)&amp;"")</f>
        <v/>
      </c>
      <c r="F2410" s="161" t="str">
        <f ca="1">IF(ISERROR($S2410),"",OFFSET('Smelter Reference List'!$E$4,$S2410-4,0))</f>
        <v/>
      </c>
      <c r="G2410" s="161" t="str">
        <f ca="1">IF(C2410=$U$4,"Enter smelter details", IF(ISERROR($S2410),"",OFFSET('Smelter Reference List'!$F$4,$S2410-4,0)))</f>
        <v/>
      </c>
      <c r="H2410" s="247" t="str">
        <f ca="1">IF(ISERROR($S2410),"",OFFSET('Smelter Reference List'!$G$4,$S2410-4,0))</f>
        <v/>
      </c>
      <c r="I2410" s="248" t="str">
        <f ca="1">IF(ISERROR($S2410),"",OFFSET('Smelter Reference List'!$H$4,$S2410-4,0))</f>
        <v/>
      </c>
      <c r="J2410" s="248" t="str">
        <f ca="1">IF(ISERROR($S2410),"",OFFSET('Smelter Reference List'!$I$4,$S2410-4,0))</f>
        <v/>
      </c>
      <c r="K2410" s="245"/>
      <c r="L2410" s="245"/>
      <c r="M2410" s="245"/>
      <c r="N2410" s="245"/>
      <c r="O2410" s="245"/>
      <c r="P2410" s="245"/>
      <c r="Q2410" s="246"/>
      <c r="R2410" s="233"/>
      <c r="S2410" s="234" t="e">
        <f>IF(C2410="",NA(),MATCH($B2410&amp;$C2410,'Smelter Reference List'!$J:$J,0))</f>
        <v>#N/A</v>
      </c>
      <c r="T2410" s="235"/>
      <c r="U2410" s="235">
        <f t="shared" ca="1" si="70"/>
        <v>0</v>
      </c>
      <c r="V2410" s="235"/>
      <c r="W2410" s="235"/>
      <c r="Y2410" s="228" t="str">
        <f t="shared" si="71"/>
        <v/>
      </c>
    </row>
    <row r="2411" spans="1:25" s="228" customFormat="1" ht="20.25">
      <c r="A2411" s="257"/>
      <c r="B2411" s="232" t="str">
        <f>IF(LEN(A2411)=0,"",INDEX('Smelter Reference List'!$A:$A,MATCH($A2411,'Smelter Reference List'!$E:$E,0)))</f>
        <v/>
      </c>
      <c r="C2411" s="297" t="str">
        <f>IF(LEN(A2411)=0,"",INDEX('Smelter Reference List'!$C:$C,MATCH($A2411,'Smelter Reference List'!$E:$E,0)))</f>
        <v/>
      </c>
      <c r="D2411" s="161" t="str">
        <f ca="1">IF(ISERROR($S2411),"",OFFSET('Smelter Reference List'!$C$4,$S2411-4,0)&amp;"")</f>
        <v/>
      </c>
      <c r="E2411" s="161" t="str">
        <f ca="1">IF(ISERROR($S2411),"",OFFSET('Smelter Reference List'!$D$4,$S2411-4,0)&amp;"")</f>
        <v/>
      </c>
      <c r="F2411" s="161" t="str">
        <f ca="1">IF(ISERROR($S2411),"",OFFSET('Smelter Reference List'!$E$4,$S2411-4,0))</f>
        <v/>
      </c>
      <c r="G2411" s="161" t="str">
        <f ca="1">IF(C2411=$U$4,"Enter smelter details", IF(ISERROR($S2411),"",OFFSET('Smelter Reference List'!$F$4,$S2411-4,0)))</f>
        <v/>
      </c>
      <c r="H2411" s="247" t="str">
        <f ca="1">IF(ISERROR($S2411),"",OFFSET('Smelter Reference List'!$G$4,$S2411-4,0))</f>
        <v/>
      </c>
      <c r="I2411" s="248" t="str">
        <f ca="1">IF(ISERROR($S2411),"",OFFSET('Smelter Reference List'!$H$4,$S2411-4,0))</f>
        <v/>
      </c>
      <c r="J2411" s="248" t="str">
        <f ca="1">IF(ISERROR($S2411),"",OFFSET('Smelter Reference List'!$I$4,$S2411-4,0))</f>
        <v/>
      </c>
      <c r="K2411" s="245"/>
      <c r="L2411" s="245"/>
      <c r="M2411" s="245"/>
      <c r="N2411" s="245"/>
      <c r="O2411" s="245"/>
      <c r="P2411" s="245"/>
      <c r="Q2411" s="246"/>
      <c r="R2411" s="233"/>
      <c r="S2411" s="234" t="e">
        <f>IF(C2411="",NA(),MATCH($B2411&amp;$C2411,'Smelter Reference List'!$J:$J,0))</f>
        <v>#N/A</v>
      </c>
      <c r="T2411" s="235"/>
      <c r="U2411" s="235">
        <f t="shared" ca="1" si="70"/>
        <v>0</v>
      </c>
      <c r="V2411" s="235"/>
      <c r="W2411" s="235"/>
      <c r="Y2411" s="228" t="str">
        <f t="shared" si="71"/>
        <v/>
      </c>
    </row>
    <row r="2412" spans="1:25" s="228" customFormat="1" ht="20.25">
      <c r="A2412" s="257"/>
      <c r="B2412" s="232" t="str">
        <f>IF(LEN(A2412)=0,"",INDEX('Smelter Reference List'!$A:$A,MATCH($A2412,'Smelter Reference List'!$E:$E,0)))</f>
        <v/>
      </c>
      <c r="C2412" s="297" t="str">
        <f>IF(LEN(A2412)=0,"",INDEX('Smelter Reference List'!$C:$C,MATCH($A2412,'Smelter Reference List'!$E:$E,0)))</f>
        <v/>
      </c>
      <c r="D2412" s="161" t="str">
        <f ca="1">IF(ISERROR($S2412),"",OFFSET('Smelter Reference List'!$C$4,$S2412-4,0)&amp;"")</f>
        <v/>
      </c>
      <c r="E2412" s="161" t="str">
        <f ca="1">IF(ISERROR($S2412),"",OFFSET('Smelter Reference List'!$D$4,$S2412-4,0)&amp;"")</f>
        <v/>
      </c>
      <c r="F2412" s="161" t="str">
        <f ca="1">IF(ISERROR($S2412),"",OFFSET('Smelter Reference List'!$E$4,$S2412-4,0))</f>
        <v/>
      </c>
      <c r="G2412" s="161" t="str">
        <f ca="1">IF(C2412=$U$4,"Enter smelter details", IF(ISERROR($S2412),"",OFFSET('Smelter Reference List'!$F$4,$S2412-4,0)))</f>
        <v/>
      </c>
      <c r="H2412" s="247" t="str">
        <f ca="1">IF(ISERROR($S2412),"",OFFSET('Smelter Reference List'!$G$4,$S2412-4,0))</f>
        <v/>
      </c>
      <c r="I2412" s="248" t="str">
        <f ca="1">IF(ISERROR($S2412),"",OFFSET('Smelter Reference List'!$H$4,$S2412-4,0))</f>
        <v/>
      </c>
      <c r="J2412" s="248" t="str">
        <f ca="1">IF(ISERROR($S2412),"",OFFSET('Smelter Reference List'!$I$4,$S2412-4,0))</f>
        <v/>
      </c>
      <c r="K2412" s="245"/>
      <c r="L2412" s="245"/>
      <c r="M2412" s="245"/>
      <c r="N2412" s="245"/>
      <c r="O2412" s="245"/>
      <c r="P2412" s="245"/>
      <c r="Q2412" s="246"/>
      <c r="R2412" s="233"/>
      <c r="S2412" s="234" t="e">
        <f>IF(C2412="",NA(),MATCH($B2412&amp;$C2412,'Smelter Reference List'!$J:$J,0))</f>
        <v>#N/A</v>
      </c>
      <c r="T2412" s="235"/>
      <c r="U2412" s="235">
        <f t="shared" ca="1" si="70"/>
        <v>0</v>
      </c>
      <c r="V2412" s="235"/>
      <c r="W2412" s="235"/>
      <c r="Y2412" s="228" t="str">
        <f t="shared" si="71"/>
        <v/>
      </c>
    </row>
    <row r="2413" spans="1:25" s="228" customFormat="1" ht="20.25">
      <c r="A2413" s="257"/>
      <c r="B2413" s="232" t="str">
        <f>IF(LEN(A2413)=0,"",INDEX('Smelter Reference List'!$A:$A,MATCH($A2413,'Smelter Reference List'!$E:$E,0)))</f>
        <v/>
      </c>
      <c r="C2413" s="297" t="str">
        <f>IF(LEN(A2413)=0,"",INDEX('Smelter Reference List'!$C:$C,MATCH($A2413,'Smelter Reference List'!$E:$E,0)))</f>
        <v/>
      </c>
      <c r="D2413" s="161" t="str">
        <f ca="1">IF(ISERROR($S2413),"",OFFSET('Smelter Reference List'!$C$4,$S2413-4,0)&amp;"")</f>
        <v/>
      </c>
      <c r="E2413" s="161" t="str">
        <f ca="1">IF(ISERROR($S2413),"",OFFSET('Smelter Reference List'!$D$4,$S2413-4,0)&amp;"")</f>
        <v/>
      </c>
      <c r="F2413" s="161" t="str">
        <f ca="1">IF(ISERROR($S2413),"",OFFSET('Smelter Reference List'!$E$4,$S2413-4,0))</f>
        <v/>
      </c>
      <c r="G2413" s="161" t="str">
        <f ca="1">IF(C2413=$U$4,"Enter smelter details", IF(ISERROR($S2413),"",OFFSET('Smelter Reference List'!$F$4,$S2413-4,0)))</f>
        <v/>
      </c>
      <c r="H2413" s="247" t="str">
        <f ca="1">IF(ISERROR($S2413),"",OFFSET('Smelter Reference List'!$G$4,$S2413-4,0))</f>
        <v/>
      </c>
      <c r="I2413" s="248" t="str">
        <f ca="1">IF(ISERROR($S2413),"",OFFSET('Smelter Reference List'!$H$4,$S2413-4,0))</f>
        <v/>
      </c>
      <c r="J2413" s="248" t="str">
        <f ca="1">IF(ISERROR($S2413),"",OFFSET('Smelter Reference List'!$I$4,$S2413-4,0))</f>
        <v/>
      </c>
      <c r="K2413" s="245"/>
      <c r="L2413" s="245"/>
      <c r="M2413" s="245"/>
      <c r="N2413" s="245"/>
      <c r="O2413" s="245"/>
      <c r="P2413" s="245"/>
      <c r="Q2413" s="246"/>
      <c r="R2413" s="233"/>
      <c r="S2413" s="234" t="e">
        <f>IF(C2413="",NA(),MATCH($B2413&amp;$C2413,'Smelter Reference List'!$J:$J,0))</f>
        <v>#N/A</v>
      </c>
      <c r="T2413" s="235"/>
      <c r="U2413" s="235">
        <f t="shared" ca="1" si="70"/>
        <v>0</v>
      </c>
      <c r="V2413" s="235"/>
      <c r="W2413" s="235"/>
      <c r="Y2413" s="228" t="str">
        <f t="shared" si="71"/>
        <v/>
      </c>
    </row>
    <row r="2414" spans="1:25" s="228" customFormat="1" ht="20.25">
      <c r="A2414" s="257"/>
      <c r="B2414" s="232" t="str">
        <f>IF(LEN(A2414)=0,"",INDEX('Smelter Reference List'!$A:$A,MATCH($A2414,'Smelter Reference List'!$E:$E,0)))</f>
        <v/>
      </c>
      <c r="C2414" s="297" t="str">
        <f>IF(LEN(A2414)=0,"",INDEX('Smelter Reference List'!$C:$C,MATCH($A2414,'Smelter Reference List'!$E:$E,0)))</f>
        <v/>
      </c>
      <c r="D2414" s="161" t="str">
        <f ca="1">IF(ISERROR($S2414),"",OFFSET('Smelter Reference List'!$C$4,$S2414-4,0)&amp;"")</f>
        <v/>
      </c>
      <c r="E2414" s="161" t="str">
        <f ca="1">IF(ISERROR($S2414),"",OFFSET('Smelter Reference List'!$D$4,$S2414-4,0)&amp;"")</f>
        <v/>
      </c>
      <c r="F2414" s="161" t="str">
        <f ca="1">IF(ISERROR($S2414),"",OFFSET('Smelter Reference List'!$E$4,$S2414-4,0))</f>
        <v/>
      </c>
      <c r="G2414" s="161" t="str">
        <f ca="1">IF(C2414=$U$4,"Enter smelter details", IF(ISERROR($S2414),"",OFFSET('Smelter Reference List'!$F$4,$S2414-4,0)))</f>
        <v/>
      </c>
      <c r="H2414" s="247" t="str">
        <f ca="1">IF(ISERROR($S2414),"",OFFSET('Smelter Reference List'!$G$4,$S2414-4,0))</f>
        <v/>
      </c>
      <c r="I2414" s="248" t="str">
        <f ca="1">IF(ISERROR($S2414),"",OFFSET('Smelter Reference List'!$H$4,$S2414-4,0))</f>
        <v/>
      </c>
      <c r="J2414" s="248" t="str">
        <f ca="1">IF(ISERROR($S2414),"",OFFSET('Smelter Reference List'!$I$4,$S2414-4,0))</f>
        <v/>
      </c>
      <c r="K2414" s="245"/>
      <c r="L2414" s="245"/>
      <c r="M2414" s="245"/>
      <c r="N2414" s="245"/>
      <c r="O2414" s="245"/>
      <c r="P2414" s="245"/>
      <c r="Q2414" s="246"/>
      <c r="R2414" s="233"/>
      <c r="S2414" s="234" t="e">
        <f>IF(C2414="",NA(),MATCH($B2414&amp;$C2414,'Smelter Reference List'!$J:$J,0))</f>
        <v>#N/A</v>
      </c>
      <c r="T2414" s="235"/>
      <c r="U2414" s="235">
        <f t="shared" ca="1" si="70"/>
        <v>0</v>
      </c>
      <c r="V2414" s="235"/>
      <c r="W2414" s="235"/>
      <c r="Y2414" s="228" t="str">
        <f t="shared" si="71"/>
        <v/>
      </c>
    </row>
    <row r="2415" spans="1:25" s="228" customFormat="1" ht="20.25">
      <c r="A2415" s="257"/>
      <c r="B2415" s="232" t="str">
        <f>IF(LEN(A2415)=0,"",INDEX('Smelter Reference List'!$A:$A,MATCH($A2415,'Smelter Reference List'!$E:$E,0)))</f>
        <v/>
      </c>
      <c r="C2415" s="297" t="str">
        <f>IF(LEN(A2415)=0,"",INDEX('Smelter Reference List'!$C:$C,MATCH($A2415,'Smelter Reference List'!$E:$E,0)))</f>
        <v/>
      </c>
      <c r="D2415" s="161" t="str">
        <f ca="1">IF(ISERROR($S2415),"",OFFSET('Smelter Reference List'!$C$4,$S2415-4,0)&amp;"")</f>
        <v/>
      </c>
      <c r="E2415" s="161" t="str">
        <f ca="1">IF(ISERROR($S2415),"",OFFSET('Smelter Reference List'!$D$4,$S2415-4,0)&amp;"")</f>
        <v/>
      </c>
      <c r="F2415" s="161" t="str">
        <f ca="1">IF(ISERROR($S2415),"",OFFSET('Smelter Reference List'!$E$4,$S2415-4,0))</f>
        <v/>
      </c>
      <c r="G2415" s="161" t="str">
        <f ca="1">IF(C2415=$U$4,"Enter smelter details", IF(ISERROR($S2415),"",OFFSET('Smelter Reference List'!$F$4,$S2415-4,0)))</f>
        <v/>
      </c>
      <c r="H2415" s="247" t="str">
        <f ca="1">IF(ISERROR($S2415),"",OFFSET('Smelter Reference List'!$G$4,$S2415-4,0))</f>
        <v/>
      </c>
      <c r="I2415" s="248" t="str">
        <f ca="1">IF(ISERROR($S2415),"",OFFSET('Smelter Reference List'!$H$4,$S2415-4,0))</f>
        <v/>
      </c>
      <c r="J2415" s="248" t="str">
        <f ca="1">IF(ISERROR($S2415),"",OFFSET('Smelter Reference List'!$I$4,$S2415-4,0))</f>
        <v/>
      </c>
      <c r="K2415" s="245"/>
      <c r="L2415" s="245"/>
      <c r="M2415" s="245"/>
      <c r="N2415" s="245"/>
      <c r="O2415" s="245"/>
      <c r="P2415" s="245"/>
      <c r="Q2415" s="246"/>
      <c r="R2415" s="233"/>
      <c r="S2415" s="234" t="e">
        <f>IF(C2415="",NA(),MATCH($B2415&amp;$C2415,'Smelter Reference List'!$J:$J,0))</f>
        <v>#N/A</v>
      </c>
      <c r="T2415" s="235"/>
      <c r="U2415" s="235">
        <f t="shared" ca="1" si="70"/>
        <v>0</v>
      </c>
      <c r="V2415" s="235"/>
      <c r="W2415" s="235"/>
      <c r="Y2415" s="228" t="str">
        <f t="shared" si="71"/>
        <v/>
      </c>
    </row>
    <row r="2416" spans="1:25" s="228" customFormat="1" ht="20.25">
      <c r="A2416" s="257"/>
      <c r="B2416" s="232" t="str">
        <f>IF(LEN(A2416)=0,"",INDEX('Smelter Reference List'!$A:$A,MATCH($A2416,'Smelter Reference List'!$E:$E,0)))</f>
        <v/>
      </c>
      <c r="C2416" s="297" t="str">
        <f>IF(LEN(A2416)=0,"",INDEX('Smelter Reference List'!$C:$C,MATCH($A2416,'Smelter Reference List'!$E:$E,0)))</f>
        <v/>
      </c>
      <c r="D2416" s="161" t="str">
        <f ca="1">IF(ISERROR($S2416),"",OFFSET('Smelter Reference List'!$C$4,$S2416-4,0)&amp;"")</f>
        <v/>
      </c>
      <c r="E2416" s="161" t="str">
        <f ca="1">IF(ISERROR($S2416),"",OFFSET('Smelter Reference List'!$D$4,$S2416-4,0)&amp;"")</f>
        <v/>
      </c>
      <c r="F2416" s="161" t="str">
        <f ca="1">IF(ISERROR($S2416),"",OFFSET('Smelter Reference List'!$E$4,$S2416-4,0))</f>
        <v/>
      </c>
      <c r="G2416" s="161" t="str">
        <f ca="1">IF(C2416=$U$4,"Enter smelter details", IF(ISERROR($S2416),"",OFFSET('Smelter Reference List'!$F$4,$S2416-4,0)))</f>
        <v/>
      </c>
      <c r="H2416" s="247" t="str">
        <f ca="1">IF(ISERROR($S2416),"",OFFSET('Smelter Reference List'!$G$4,$S2416-4,0))</f>
        <v/>
      </c>
      <c r="I2416" s="248" t="str">
        <f ca="1">IF(ISERROR($S2416),"",OFFSET('Smelter Reference List'!$H$4,$S2416-4,0))</f>
        <v/>
      </c>
      <c r="J2416" s="248" t="str">
        <f ca="1">IF(ISERROR($S2416),"",OFFSET('Smelter Reference List'!$I$4,$S2416-4,0))</f>
        <v/>
      </c>
      <c r="K2416" s="245"/>
      <c r="L2416" s="245"/>
      <c r="M2416" s="245"/>
      <c r="N2416" s="245"/>
      <c r="O2416" s="245"/>
      <c r="P2416" s="245"/>
      <c r="Q2416" s="246"/>
      <c r="R2416" s="233"/>
      <c r="S2416" s="234" t="e">
        <f>IF(C2416="",NA(),MATCH($B2416&amp;$C2416,'Smelter Reference List'!$J:$J,0))</f>
        <v>#N/A</v>
      </c>
      <c r="T2416" s="235"/>
      <c r="U2416" s="235">
        <f t="shared" ca="1" si="70"/>
        <v>0</v>
      </c>
      <c r="V2416" s="235"/>
      <c r="W2416" s="235"/>
      <c r="Y2416" s="228" t="str">
        <f t="shared" si="71"/>
        <v/>
      </c>
    </row>
    <row r="2417" spans="1:25" s="228" customFormat="1" ht="20.25">
      <c r="A2417" s="257"/>
      <c r="B2417" s="232" t="str">
        <f>IF(LEN(A2417)=0,"",INDEX('Smelter Reference List'!$A:$A,MATCH($A2417,'Smelter Reference List'!$E:$E,0)))</f>
        <v/>
      </c>
      <c r="C2417" s="297" t="str">
        <f>IF(LEN(A2417)=0,"",INDEX('Smelter Reference List'!$C:$C,MATCH($A2417,'Smelter Reference List'!$E:$E,0)))</f>
        <v/>
      </c>
      <c r="D2417" s="161" t="str">
        <f ca="1">IF(ISERROR($S2417),"",OFFSET('Smelter Reference List'!$C$4,$S2417-4,0)&amp;"")</f>
        <v/>
      </c>
      <c r="E2417" s="161" t="str">
        <f ca="1">IF(ISERROR($S2417),"",OFFSET('Smelter Reference List'!$D$4,$S2417-4,0)&amp;"")</f>
        <v/>
      </c>
      <c r="F2417" s="161" t="str">
        <f ca="1">IF(ISERROR($S2417),"",OFFSET('Smelter Reference List'!$E$4,$S2417-4,0))</f>
        <v/>
      </c>
      <c r="G2417" s="161" t="str">
        <f ca="1">IF(C2417=$U$4,"Enter smelter details", IF(ISERROR($S2417),"",OFFSET('Smelter Reference List'!$F$4,$S2417-4,0)))</f>
        <v/>
      </c>
      <c r="H2417" s="247" t="str">
        <f ca="1">IF(ISERROR($S2417),"",OFFSET('Smelter Reference List'!$G$4,$S2417-4,0))</f>
        <v/>
      </c>
      <c r="I2417" s="248" t="str">
        <f ca="1">IF(ISERROR($S2417),"",OFFSET('Smelter Reference List'!$H$4,$S2417-4,0))</f>
        <v/>
      </c>
      <c r="J2417" s="248" t="str">
        <f ca="1">IF(ISERROR($S2417),"",OFFSET('Smelter Reference List'!$I$4,$S2417-4,0))</f>
        <v/>
      </c>
      <c r="K2417" s="245"/>
      <c r="L2417" s="245"/>
      <c r="M2417" s="245"/>
      <c r="N2417" s="245"/>
      <c r="O2417" s="245"/>
      <c r="P2417" s="245"/>
      <c r="Q2417" s="246"/>
      <c r="R2417" s="233"/>
      <c r="S2417" s="234" t="e">
        <f>IF(C2417="",NA(),MATCH($B2417&amp;$C2417,'Smelter Reference List'!$J:$J,0))</f>
        <v>#N/A</v>
      </c>
      <c r="T2417" s="235"/>
      <c r="U2417" s="235">
        <f t="shared" ca="1" si="70"/>
        <v>0</v>
      </c>
      <c r="V2417" s="235"/>
      <c r="W2417" s="235"/>
      <c r="Y2417" s="228" t="str">
        <f t="shared" si="71"/>
        <v/>
      </c>
    </row>
    <row r="2418" spans="1:25" s="228" customFormat="1" ht="20.25">
      <c r="A2418" s="257"/>
      <c r="B2418" s="232" t="str">
        <f>IF(LEN(A2418)=0,"",INDEX('Smelter Reference List'!$A:$A,MATCH($A2418,'Smelter Reference List'!$E:$E,0)))</f>
        <v/>
      </c>
      <c r="C2418" s="297" t="str">
        <f>IF(LEN(A2418)=0,"",INDEX('Smelter Reference List'!$C:$C,MATCH($A2418,'Smelter Reference List'!$E:$E,0)))</f>
        <v/>
      </c>
      <c r="D2418" s="161" t="str">
        <f ca="1">IF(ISERROR($S2418),"",OFFSET('Smelter Reference List'!$C$4,$S2418-4,0)&amp;"")</f>
        <v/>
      </c>
      <c r="E2418" s="161" t="str">
        <f ca="1">IF(ISERROR($S2418),"",OFFSET('Smelter Reference List'!$D$4,$S2418-4,0)&amp;"")</f>
        <v/>
      </c>
      <c r="F2418" s="161" t="str">
        <f ca="1">IF(ISERROR($S2418),"",OFFSET('Smelter Reference List'!$E$4,$S2418-4,0))</f>
        <v/>
      </c>
      <c r="G2418" s="161" t="str">
        <f ca="1">IF(C2418=$U$4,"Enter smelter details", IF(ISERROR($S2418),"",OFFSET('Smelter Reference List'!$F$4,$S2418-4,0)))</f>
        <v/>
      </c>
      <c r="H2418" s="247" t="str">
        <f ca="1">IF(ISERROR($S2418),"",OFFSET('Smelter Reference List'!$G$4,$S2418-4,0))</f>
        <v/>
      </c>
      <c r="I2418" s="248" t="str">
        <f ca="1">IF(ISERROR($S2418),"",OFFSET('Smelter Reference List'!$H$4,$S2418-4,0))</f>
        <v/>
      </c>
      <c r="J2418" s="248" t="str">
        <f ca="1">IF(ISERROR($S2418),"",OFFSET('Smelter Reference List'!$I$4,$S2418-4,0))</f>
        <v/>
      </c>
      <c r="K2418" s="245"/>
      <c r="L2418" s="245"/>
      <c r="M2418" s="245"/>
      <c r="N2418" s="245"/>
      <c r="O2418" s="245"/>
      <c r="P2418" s="245"/>
      <c r="Q2418" s="246"/>
      <c r="R2418" s="233"/>
      <c r="S2418" s="234" t="e">
        <f>IF(C2418="",NA(),MATCH($B2418&amp;$C2418,'Smelter Reference List'!$J:$J,0))</f>
        <v>#N/A</v>
      </c>
      <c r="T2418" s="235"/>
      <c r="U2418" s="235">
        <f t="shared" ca="1" si="70"/>
        <v>0</v>
      </c>
      <c r="V2418" s="235"/>
      <c r="W2418" s="235"/>
      <c r="Y2418" s="228" t="str">
        <f t="shared" si="71"/>
        <v/>
      </c>
    </row>
    <row r="2419" spans="1:25" s="228" customFormat="1" ht="20.25">
      <c r="A2419" s="257"/>
      <c r="B2419" s="232" t="str">
        <f>IF(LEN(A2419)=0,"",INDEX('Smelter Reference List'!$A:$A,MATCH($A2419,'Smelter Reference List'!$E:$E,0)))</f>
        <v/>
      </c>
      <c r="C2419" s="297" t="str">
        <f>IF(LEN(A2419)=0,"",INDEX('Smelter Reference List'!$C:$C,MATCH($A2419,'Smelter Reference List'!$E:$E,0)))</f>
        <v/>
      </c>
      <c r="D2419" s="161" t="str">
        <f ca="1">IF(ISERROR($S2419),"",OFFSET('Smelter Reference List'!$C$4,$S2419-4,0)&amp;"")</f>
        <v/>
      </c>
      <c r="E2419" s="161" t="str">
        <f ca="1">IF(ISERROR($S2419),"",OFFSET('Smelter Reference List'!$D$4,$S2419-4,0)&amp;"")</f>
        <v/>
      </c>
      <c r="F2419" s="161" t="str">
        <f ca="1">IF(ISERROR($S2419),"",OFFSET('Smelter Reference List'!$E$4,$S2419-4,0))</f>
        <v/>
      </c>
      <c r="G2419" s="161" t="str">
        <f ca="1">IF(C2419=$U$4,"Enter smelter details", IF(ISERROR($S2419),"",OFFSET('Smelter Reference List'!$F$4,$S2419-4,0)))</f>
        <v/>
      </c>
      <c r="H2419" s="247" t="str">
        <f ca="1">IF(ISERROR($S2419),"",OFFSET('Smelter Reference List'!$G$4,$S2419-4,0))</f>
        <v/>
      </c>
      <c r="I2419" s="248" t="str">
        <f ca="1">IF(ISERROR($S2419),"",OFFSET('Smelter Reference List'!$H$4,$S2419-4,0))</f>
        <v/>
      </c>
      <c r="J2419" s="248" t="str">
        <f ca="1">IF(ISERROR($S2419),"",OFFSET('Smelter Reference List'!$I$4,$S2419-4,0))</f>
        <v/>
      </c>
      <c r="K2419" s="245"/>
      <c r="L2419" s="245"/>
      <c r="M2419" s="245"/>
      <c r="N2419" s="245"/>
      <c r="O2419" s="245"/>
      <c r="P2419" s="245"/>
      <c r="Q2419" s="246"/>
      <c r="R2419" s="233"/>
      <c r="S2419" s="234" t="e">
        <f>IF(C2419="",NA(),MATCH($B2419&amp;$C2419,'Smelter Reference List'!$J:$J,0))</f>
        <v>#N/A</v>
      </c>
      <c r="T2419" s="235"/>
      <c r="U2419" s="235">
        <f t="shared" ca="1" si="70"/>
        <v>0</v>
      </c>
      <c r="V2419" s="235"/>
      <c r="W2419" s="235"/>
      <c r="Y2419" s="228" t="str">
        <f t="shared" si="71"/>
        <v/>
      </c>
    </row>
    <row r="2420" spans="1:25" s="228" customFormat="1" ht="20.25">
      <c r="A2420" s="257"/>
      <c r="B2420" s="232" t="str">
        <f>IF(LEN(A2420)=0,"",INDEX('Smelter Reference List'!$A:$A,MATCH($A2420,'Smelter Reference List'!$E:$E,0)))</f>
        <v/>
      </c>
      <c r="C2420" s="297" t="str">
        <f>IF(LEN(A2420)=0,"",INDEX('Smelter Reference List'!$C:$C,MATCH($A2420,'Smelter Reference List'!$E:$E,0)))</f>
        <v/>
      </c>
      <c r="D2420" s="161" t="str">
        <f ca="1">IF(ISERROR($S2420),"",OFFSET('Smelter Reference List'!$C$4,$S2420-4,0)&amp;"")</f>
        <v/>
      </c>
      <c r="E2420" s="161" t="str">
        <f ca="1">IF(ISERROR($S2420),"",OFFSET('Smelter Reference List'!$D$4,$S2420-4,0)&amp;"")</f>
        <v/>
      </c>
      <c r="F2420" s="161" t="str">
        <f ca="1">IF(ISERROR($S2420),"",OFFSET('Smelter Reference List'!$E$4,$S2420-4,0))</f>
        <v/>
      </c>
      <c r="G2420" s="161" t="str">
        <f ca="1">IF(C2420=$U$4,"Enter smelter details", IF(ISERROR($S2420),"",OFFSET('Smelter Reference List'!$F$4,$S2420-4,0)))</f>
        <v/>
      </c>
      <c r="H2420" s="247" t="str">
        <f ca="1">IF(ISERROR($S2420),"",OFFSET('Smelter Reference List'!$G$4,$S2420-4,0))</f>
        <v/>
      </c>
      <c r="I2420" s="248" t="str">
        <f ca="1">IF(ISERROR($S2420),"",OFFSET('Smelter Reference List'!$H$4,$S2420-4,0))</f>
        <v/>
      </c>
      <c r="J2420" s="248" t="str">
        <f ca="1">IF(ISERROR($S2420),"",OFFSET('Smelter Reference List'!$I$4,$S2420-4,0))</f>
        <v/>
      </c>
      <c r="K2420" s="245"/>
      <c r="L2420" s="245"/>
      <c r="M2420" s="245"/>
      <c r="N2420" s="245"/>
      <c r="O2420" s="245"/>
      <c r="P2420" s="245"/>
      <c r="Q2420" s="246"/>
      <c r="R2420" s="233"/>
      <c r="S2420" s="234" t="e">
        <f>IF(C2420="",NA(),MATCH($B2420&amp;$C2420,'Smelter Reference List'!$J:$J,0))</f>
        <v>#N/A</v>
      </c>
      <c r="T2420" s="235"/>
      <c r="U2420" s="235">
        <f t="shared" ca="1" si="70"/>
        <v>0</v>
      </c>
      <c r="V2420" s="235"/>
      <c r="W2420" s="235"/>
      <c r="Y2420" s="228" t="str">
        <f t="shared" si="71"/>
        <v/>
      </c>
    </row>
    <row r="2421" spans="1:25" s="228" customFormat="1" ht="20.25">
      <c r="A2421" s="257"/>
      <c r="B2421" s="232" t="str">
        <f>IF(LEN(A2421)=0,"",INDEX('Smelter Reference List'!$A:$A,MATCH($A2421,'Smelter Reference List'!$E:$E,0)))</f>
        <v/>
      </c>
      <c r="C2421" s="297" t="str">
        <f>IF(LEN(A2421)=0,"",INDEX('Smelter Reference List'!$C:$C,MATCH($A2421,'Smelter Reference List'!$E:$E,0)))</f>
        <v/>
      </c>
      <c r="D2421" s="161" t="str">
        <f ca="1">IF(ISERROR($S2421),"",OFFSET('Smelter Reference List'!$C$4,$S2421-4,0)&amp;"")</f>
        <v/>
      </c>
      <c r="E2421" s="161" t="str">
        <f ca="1">IF(ISERROR($S2421),"",OFFSET('Smelter Reference List'!$D$4,$S2421-4,0)&amp;"")</f>
        <v/>
      </c>
      <c r="F2421" s="161" t="str">
        <f ca="1">IF(ISERROR($S2421),"",OFFSET('Smelter Reference List'!$E$4,$S2421-4,0))</f>
        <v/>
      </c>
      <c r="G2421" s="161" t="str">
        <f ca="1">IF(C2421=$U$4,"Enter smelter details", IF(ISERROR($S2421),"",OFFSET('Smelter Reference List'!$F$4,$S2421-4,0)))</f>
        <v/>
      </c>
      <c r="H2421" s="247" t="str">
        <f ca="1">IF(ISERROR($S2421),"",OFFSET('Smelter Reference List'!$G$4,$S2421-4,0))</f>
        <v/>
      </c>
      <c r="I2421" s="248" t="str">
        <f ca="1">IF(ISERROR($S2421),"",OFFSET('Smelter Reference List'!$H$4,$S2421-4,0))</f>
        <v/>
      </c>
      <c r="J2421" s="248" t="str">
        <f ca="1">IF(ISERROR($S2421),"",OFFSET('Smelter Reference List'!$I$4,$S2421-4,0))</f>
        <v/>
      </c>
      <c r="K2421" s="245"/>
      <c r="L2421" s="245"/>
      <c r="M2421" s="245"/>
      <c r="N2421" s="245"/>
      <c r="O2421" s="245"/>
      <c r="P2421" s="245"/>
      <c r="Q2421" s="246"/>
      <c r="R2421" s="233"/>
      <c r="S2421" s="234" t="e">
        <f>IF(C2421="",NA(),MATCH($B2421&amp;$C2421,'Smelter Reference List'!$J:$J,0))</f>
        <v>#N/A</v>
      </c>
      <c r="T2421" s="235"/>
      <c r="U2421" s="235">
        <f t="shared" ca="1" si="70"/>
        <v>0</v>
      </c>
      <c r="V2421" s="235"/>
      <c r="W2421" s="235"/>
      <c r="Y2421" s="228" t="str">
        <f t="shared" si="71"/>
        <v/>
      </c>
    </row>
    <row r="2422" spans="1:25" s="228" customFormat="1" ht="20.25">
      <c r="A2422" s="257"/>
      <c r="B2422" s="232" t="str">
        <f>IF(LEN(A2422)=0,"",INDEX('Smelter Reference List'!$A:$A,MATCH($A2422,'Smelter Reference List'!$E:$E,0)))</f>
        <v/>
      </c>
      <c r="C2422" s="297" t="str">
        <f>IF(LEN(A2422)=0,"",INDEX('Smelter Reference List'!$C:$C,MATCH($A2422,'Smelter Reference List'!$E:$E,0)))</f>
        <v/>
      </c>
      <c r="D2422" s="161" t="str">
        <f ca="1">IF(ISERROR($S2422),"",OFFSET('Smelter Reference List'!$C$4,$S2422-4,0)&amp;"")</f>
        <v/>
      </c>
      <c r="E2422" s="161" t="str">
        <f ca="1">IF(ISERROR($S2422),"",OFFSET('Smelter Reference List'!$D$4,$S2422-4,0)&amp;"")</f>
        <v/>
      </c>
      <c r="F2422" s="161" t="str">
        <f ca="1">IF(ISERROR($S2422),"",OFFSET('Smelter Reference List'!$E$4,$S2422-4,0))</f>
        <v/>
      </c>
      <c r="G2422" s="161" t="str">
        <f ca="1">IF(C2422=$U$4,"Enter smelter details", IF(ISERROR($S2422),"",OFFSET('Smelter Reference List'!$F$4,$S2422-4,0)))</f>
        <v/>
      </c>
      <c r="H2422" s="247" t="str">
        <f ca="1">IF(ISERROR($S2422),"",OFFSET('Smelter Reference List'!$G$4,$S2422-4,0))</f>
        <v/>
      </c>
      <c r="I2422" s="248" t="str">
        <f ca="1">IF(ISERROR($S2422),"",OFFSET('Smelter Reference List'!$H$4,$S2422-4,0))</f>
        <v/>
      </c>
      <c r="J2422" s="248" t="str">
        <f ca="1">IF(ISERROR($S2422),"",OFFSET('Smelter Reference List'!$I$4,$S2422-4,0))</f>
        <v/>
      </c>
      <c r="K2422" s="245"/>
      <c r="L2422" s="245"/>
      <c r="M2422" s="245"/>
      <c r="N2422" s="245"/>
      <c r="O2422" s="245"/>
      <c r="P2422" s="245"/>
      <c r="Q2422" s="246"/>
      <c r="R2422" s="233"/>
      <c r="S2422" s="234" t="e">
        <f>IF(C2422="",NA(),MATCH($B2422&amp;$C2422,'Smelter Reference List'!$J:$J,0))</f>
        <v>#N/A</v>
      </c>
      <c r="T2422" s="235"/>
      <c r="U2422" s="235">
        <f t="shared" ca="1" si="70"/>
        <v>0</v>
      </c>
      <c r="V2422" s="235"/>
      <c r="W2422" s="235"/>
      <c r="Y2422" s="228" t="str">
        <f t="shared" si="71"/>
        <v/>
      </c>
    </row>
    <row r="2423" spans="1:25" s="228" customFormat="1" ht="20.25">
      <c r="A2423" s="257"/>
      <c r="B2423" s="232" t="str">
        <f>IF(LEN(A2423)=0,"",INDEX('Smelter Reference List'!$A:$A,MATCH($A2423,'Smelter Reference List'!$E:$E,0)))</f>
        <v/>
      </c>
      <c r="C2423" s="297" t="str">
        <f>IF(LEN(A2423)=0,"",INDEX('Smelter Reference List'!$C:$C,MATCH($A2423,'Smelter Reference List'!$E:$E,0)))</f>
        <v/>
      </c>
      <c r="D2423" s="161" t="str">
        <f ca="1">IF(ISERROR($S2423),"",OFFSET('Smelter Reference List'!$C$4,$S2423-4,0)&amp;"")</f>
        <v/>
      </c>
      <c r="E2423" s="161" t="str">
        <f ca="1">IF(ISERROR($S2423),"",OFFSET('Smelter Reference List'!$D$4,$S2423-4,0)&amp;"")</f>
        <v/>
      </c>
      <c r="F2423" s="161" t="str">
        <f ca="1">IF(ISERROR($S2423),"",OFFSET('Smelter Reference List'!$E$4,$S2423-4,0))</f>
        <v/>
      </c>
      <c r="G2423" s="161" t="str">
        <f ca="1">IF(C2423=$U$4,"Enter smelter details", IF(ISERROR($S2423),"",OFFSET('Smelter Reference List'!$F$4,$S2423-4,0)))</f>
        <v/>
      </c>
      <c r="H2423" s="247" t="str">
        <f ca="1">IF(ISERROR($S2423),"",OFFSET('Smelter Reference List'!$G$4,$S2423-4,0))</f>
        <v/>
      </c>
      <c r="I2423" s="248" t="str">
        <f ca="1">IF(ISERROR($S2423),"",OFFSET('Smelter Reference List'!$H$4,$S2423-4,0))</f>
        <v/>
      </c>
      <c r="J2423" s="248" t="str">
        <f ca="1">IF(ISERROR($S2423),"",OFFSET('Smelter Reference List'!$I$4,$S2423-4,0))</f>
        <v/>
      </c>
      <c r="K2423" s="245"/>
      <c r="L2423" s="245"/>
      <c r="M2423" s="245"/>
      <c r="N2423" s="245"/>
      <c r="O2423" s="245"/>
      <c r="P2423" s="245"/>
      <c r="Q2423" s="246"/>
      <c r="R2423" s="233"/>
      <c r="S2423" s="234" t="e">
        <f>IF(C2423="",NA(),MATCH($B2423&amp;$C2423,'Smelter Reference List'!$J:$J,0))</f>
        <v>#N/A</v>
      </c>
      <c r="T2423" s="235"/>
      <c r="U2423" s="235">
        <f t="shared" ca="1" si="70"/>
        <v>0</v>
      </c>
      <c r="V2423" s="235"/>
      <c r="W2423" s="235"/>
      <c r="Y2423" s="228" t="str">
        <f t="shared" si="71"/>
        <v/>
      </c>
    </row>
    <row r="2424" spans="1:25" s="228" customFormat="1" ht="20.25">
      <c r="A2424" s="257"/>
      <c r="B2424" s="232" t="str">
        <f>IF(LEN(A2424)=0,"",INDEX('Smelter Reference List'!$A:$A,MATCH($A2424,'Smelter Reference List'!$E:$E,0)))</f>
        <v/>
      </c>
      <c r="C2424" s="297" t="str">
        <f>IF(LEN(A2424)=0,"",INDEX('Smelter Reference List'!$C:$C,MATCH($A2424,'Smelter Reference List'!$E:$E,0)))</f>
        <v/>
      </c>
      <c r="D2424" s="161" t="str">
        <f ca="1">IF(ISERROR($S2424),"",OFFSET('Smelter Reference List'!$C$4,$S2424-4,0)&amp;"")</f>
        <v/>
      </c>
      <c r="E2424" s="161" t="str">
        <f ca="1">IF(ISERROR($S2424),"",OFFSET('Smelter Reference List'!$D$4,$S2424-4,0)&amp;"")</f>
        <v/>
      </c>
      <c r="F2424" s="161" t="str">
        <f ca="1">IF(ISERROR($S2424),"",OFFSET('Smelter Reference List'!$E$4,$S2424-4,0))</f>
        <v/>
      </c>
      <c r="G2424" s="161" t="str">
        <f ca="1">IF(C2424=$U$4,"Enter smelter details", IF(ISERROR($S2424),"",OFFSET('Smelter Reference List'!$F$4,$S2424-4,0)))</f>
        <v/>
      </c>
      <c r="H2424" s="247" t="str">
        <f ca="1">IF(ISERROR($S2424),"",OFFSET('Smelter Reference List'!$G$4,$S2424-4,0))</f>
        <v/>
      </c>
      <c r="I2424" s="248" t="str">
        <f ca="1">IF(ISERROR($S2424),"",OFFSET('Smelter Reference List'!$H$4,$S2424-4,0))</f>
        <v/>
      </c>
      <c r="J2424" s="248" t="str">
        <f ca="1">IF(ISERROR($S2424),"",OFFSET('Smelter Reference List'!$I$4,$S2424-4,0))</f>
        <v/>
      </c>
      <c r="K2424" s="245"/>
      <c r="L2424" s="245"/>
      <c r="M2424" s="245"/>
      <c r="N2424" s="245"/>
      <c r="O2424" s="245"/>
      <c r="P2424" s="245"/>
      <c r="Q2424" s="246"/>
      <c r="R2424" s="233"/>
      <c r="S2424" s="234" t="e">
        <f>IF(C2424="",NA(),MATCH($B2424&amp;$C2424,'Smelter Reference List'!$J:$J,0))</f>
        <v>#N/A</v>
      </c>
      <c r="T2424" s="235"/>
      <c r="U2424" s="235">
        <f t="shared" ca="1" si="70"/>
        <v>0</v>
      </c>
      <c r="V2424" s="235"/>
      <c r="W2424" s="235"/>
      <c r="Y2424" s="228" t="str">
        <f t="shared" si="71"/>
        <v/>
      </c>
    </row>
    <row r="2425" spans="1:25" s="228" customFormat="1" ht="20.25">
      <c r="A2425" s="257"/>
      <c r="B2425" s="232" t="str">
        <f>IF(LEN(A2425)=0,"",INDEX('Smelter Reference List'!$A:$A,MATCH($A2425,'Smelter Reference List'!$E:$E,0)))</f>
        <v/>
      </c>
      <c r="C2425" s="297" t="str">
        <f>IF(LEN(A2425)=0,"",INDEX('Smelter Reference List'!$C:$C,MATCH($A2425,'Smelter Reference List'!$E:$E,0)))</f>
        <v/>
      </c>
      <c r="D2425" s="161" t="str">
        <f ca="1">IF(ISERROR($S2425),"",OFFSET('Smelter Reference List'!$C$4,$S2425-4,0)&amp;"")</f>
        <v/>
      </c>
      <c r="E2425" s="161" t="str">
        <f ca="1">IF(ISERROR($S2425),"",OFFSET('Smelter Reference List'!$D$4,$S2425-4,0)&amp;"")</f>
        <v/>
      </c>
      <c r="F2425" s="161" t="str">
        <f ca="1">IF(ISERROR($S2425),"",OFFSET('Smelter Reference List'!$E$4,$S2425-4,0))</f>
        <v/>
      </c>
      <c r="G2425" s="161" t="str">
        <f ca="1">IF(C2425=$U$4,"Enter smelter details", IF(ISERROR($S2425),"",OFFSET('Smelter Reference List'!$F$4,$S2425-4,0)))</f>
        <v/>
      </c>
      <c r="H2425" s="247" t="str">
        <f ca="1">IF(ISERROR($S2425),"",OFFSET('Smelter Reference List'!$G$4,$S2425-4,0))</f>
        <v/>
      </c>
      <c r="I2425" s="248" t="str">
        <f ca="1">IF(ISERROR($S2425),"",OFFSET('Smelter Reference List'!$H$4,$S2425-4,0))</f>
        <v/>
      </c>
      <c r="J2425" s="248" t="str">
        <f ca="1">IF(ISERROR($S2425),"",OFFSET('Smelter Reference List'!$I$4,$S2425-4,0))</f>
        <v/>
      </c>
      <c r="K2425" s="245"/>
      <c r="L2425" s="245"/>
      <c r="M2425" s="245"/>
      <c r="N2425" s="245"/>
      <c r="O2425" s="245"/>
      <c r="P2425" s="245"/>
      <c r="Q2425" s="246"/>
      <c r="R2425" s="233"/>
      <c r="S2425" s="234" t="e">
        <f>IF(C2425="",NA(),MATCH($B2425&amp;$C2425,'Smelter Reference List'!$J:$J,0))</f>
        <v>#N/A</v>
      </c>
      <c r="T2425" s="235"/>
      <c r="U2425" s="235">
        <f t="shared" ca="1" si="70"/>
        <v>0</v>
      </c>
      <c r="V2425" s="235"/>
      <c r="W2425" s="235"/>
      <c r="Y2425" s="228" t="str">
        <f t="shared" si="71"/>
        <v/>
      </c>
    </row>
    <row r="2426" spans="1:25" s="228" customFormat="1" ht="20.25">
      <c r="A2426" s="257"/>
      <c r="B2426" s="232" t="str">
        <f>IF(LEN(A2426)=0,"",INDEX('Smelter Reference List'!$A:$A,MATCH($A2426,'Smelter Reference List'!$E:$E,0)))</f>
        <v/>
      </c>
      <c r="C2426" s="297" t="str">
        <f>IF(LEN(A2426)=0,"",INDEX('Smelter Reference List'!$C:$C,MATCH($A2426,'Smelter Reference List'!$E:$E,0)))</f>
        <v/>
      </c>
      <c r="D2426" s="161" t="str">
        <f ca="1">IF(ISERROR($S2426),"",OFFSET('Smelter Reference List'!$C$4,$S2426-4,0)&amp;"")</f>
        <v/>
      </c>
      <c r="E2426" s="161" t="str">
        <f ca="1">IF(ISERROR($S2426),"",OFFSET('Smelter Reference List'!$D$4,$S2426-4,0)&amp;"")</f>
        <v/>
      </c>
      <c r="F2426" s="161" t="str">
        <f ca="1">IF(ISERROR($S2426),"",OFFSET('Smelter Reference List'!$E$4,$S2426-4,0))</f>
        <v/>
      </c>
      <c r="G2426" s="161" t="str">
        <f ca="1">IF(C2426=$U$4,"Enter smelter details", IF(ISERROR($S2426),"",OFFSET('Smelter Reference List'!$F$4,$S2426-4,0)))</f>
        <v/>
      </c>
      <c r="H2426" s="247" t="str">
        <f ca="1">IF(ISERROR($S2426),"",OFFSET('Smelter Reference List'!$G$4,$S2426-4,0))</f>
        <v/>
      </c>
      <c r="I2426" s="248" t="str">
        <f ca="1">IF(ISERROR($S2426),"",OFFSET('Smelter Reference List'!$H$4,$S2426-4,0))</f>
        <v/>
      </c>
      <c r="J2426" s="248" t="str">
        <f ca="1">IF(ISERROR($S2426),"",OFFSET('Smelter Reference List'!$I$4,$S2426-4,0))</f>
        <v/>
      </c>
      <c r="K2426" s="245"/>
      <c r="L2426" s="245"/>
      <c r="M2426" s="245"/>
      <c r="N2426" s="245"/>
      <c r="O2426" s="245"/>
      <c r="P2426" s="245"/>
      <c r="Q2426" s="246"/>
      <c r="R2426" s="233"/>
      <c r="S2426" s="234" t="e">
        <f>IF(C2426="",NA(),MATCH($B2426&amp;$C2426,'Smelter Reference List'!$J:$J,0))</f>
        <v>#N/A</v>
      </c>
      <c r="T2426" s="235"/>
      <c r="U2426" s="235">
        <f t="shared" ca="1" si="70"/>
        <v>0</v>
      </c>
      <c r="V2426" s="235"/>
      <c r="W2426" s="235"/>
      <c r="Y2426" s="228" t="str">
        <f t="shared" si="71"/>
        <v/>
      </c>
    </row>
    <row r="2427" spans="1:25" s="228" customFormat="1" ht="20.25">
      <c r="A2427" s="257"/>
      <c r="B2427" s="232" t="str">
        <f>IF(LEN(A2427)=0,"",INDEX('Smelter Reference List'!$A:$A,MATCH($A2427,'Smelter Reference List'!$E:$E,0)))</f>
        <v/>
      </c>
      <c r="C2427" s="297" t="str">
        <f>IF(LEN(A2427)=0,"",INDEX('Smelter Reference List'!$C:$C,MATCH($A2427,'Smelter Reference List'!$E:$E,0)))</f>
        <v/>
      </c>
      <c r="D2427" s="161" t="str">
        <f ca="1">IF(ISERROR($S2427),"",OFFSET('Smelter Reference List'!$C$4,$S2427-4,0)&amp;"")</f>
        <v/>
      </c>
      <c r="E2427" s="161" t="str">
        <f ca="1">IF(ISERROR($S2427),"",OFFSET('Smelter Reference List'!$D$4,$S2427-4,0)&amp;"")</f>
        <v/>
      </c>
      <c r="F2427" s="161" t="str">
        <f ca="1">IF(ISERROR($S2427),"",OFFSET('Smelter Reference List'!$E$4,$S2427-4,0))</f>
        <v/>
      </c>
      <c r="G2427" s="161" t="str">
        <f ca="1">IF(C2427=$U$4,"Enter smelter details", IF(ISERROR($S2427),"",OFFSET('Smelter Reference List'!$F$4,$S2427-4,0)))</f>
        <v/>
      </c>
      <c r="H2427" s="247" t="str">
        <f ca="1">IF(ISERROR($S2427),"",OFFSET('Smelter Reference List'!$G$4,$S2427-4,0))</f>
        <v/>
      </c>
      <c r="I2427" s="248" t="str">
        <f ca="1">IF(ISERROR($S2427),"",OFFSET('Smelter Reference List'!$H$4,$S2427-4,0))</f>
        <v/>
      </c>
      <c r="J2427" s="248" t="str">
        <f ca="1">IF(ISERROR($S2427),"",OFFSET('Smelter Reference List'!$I$4,$S2427-4,0))</f>
        <v/>
      </c>
      <c r="K2427" s="245"/>
      <c r="L2427" s="245"/>
      <c r="M2427" s="245"/>
      <c r="N2427" s="245"/>
      <c r="O2427" s="245"/>
      <c r="P2427" s="245"/>
      <c r="Q2427" s="246"/>
      <c r="R2427" s="233"/>
      <c r="S2427" s="234" t="e">
        <f>IF(C2427="",NA(),MATCH($B2427&amp;$C2427,'Smelter Reference List'!$J:$J,0))</f>
        <v>#N/A</v>
      </c>
      <c r="T2427" s="235"/>
      <c r="U2427" s="235">
        <f t="shared" ca="1" si="70"/>
        <v>0</v>
      </c>
      <c r="V2427" s="235"/>
      <c r="W2427" s="235"/>
      <c r="Y2427" s="228" t="str">
        <f t="shared" si="71"/>
        <v/>
      </c>
    </row>
    <row r="2428" spans="1:25" s="228" customFormat="1" ht="20.25">
      <c r="A2428" s="257"/>
      <c r="B2428" s="232" t="str">
        <f>IF(LEN(A2428)=0,"",INDEX('Smelter Reference List'!$A:$A,MATCH($A2428,'Smelter Reference List'!$E:$E,0)))</f>
        <v/>
      </c>
      <c r="C2428" s="297" t="str">
        <f>IF(LEN(A2428)=0,"",INDEX('Smelter Reference List'!$C:$C,MATCH($A2428,'Smelter Reference List'!$E:$E,0)))</f>
        <v/>
      </c>
      <c r="D2428" s="161" t="str">
        <f ca="1">IF(ISERROR($S2428),"",OFFSET('Smelter Reference List'!$C$4,$S2428-4,0)&amp;"")</f>
        <v/>
      </c>
      <c r="E2428" s="161" t="str">
        <f ca="1">IF(ISERROR($S2428),"",OFFSET('Smelter Reference List'!$D$4,$S2428-4,0)&amp;"")</f>
        <v/>
      </c>
      <c r="F2428" s="161" t="str">
        <f ca="1">IF(ISERROR($S2428),"",OFFSET('Smelter Reference List'!$E$4,$S2428-4,0))</f>
        <v/>
      </c>
      <c r="G2428" s="161" t="str">
        <f ca="1">IF(C2428=$U$4,"Enter smelter details", IF(ISERROR($S2428),"",OFFSET('Smelter Reference List'!$F$4,$S2428-4,0)))</f>
        <v/>
      </c>
      <c r="H2428" s="247" t="str">
        <f ca="1">IF(ISERROR($S2428),"",OFFSET('Smelter Reference List'!$G$4,$S2428-4,0))</f>
        <v/>
      </c>
      <c r="I2428" s="248" t="str">
        <f ca="1">IF(ISERROR($S2428),"",OFFSET('Smelter Reference List'!$H$4,$S2428-4,0))</f>
        <v/>
      </c>
      <c r="J2428" s="248" t="str">
        <f ca="1">IF(ISERROR($S2428),"",OFFSET('Smelter Reference List'!$I$4,$S2428-4,0))</f>
        <v/>
      </c>
      <c r="K2428" s="245"/>
      <c r="L2428" s="245"/>
      <c r="M2428" s="245"/>
      <c r="N2428" s="245"/>
      <c r="O2428" s="245"/>
      <c r="P2428" s="245"/>
      <c r="Q2428" s="246"/>
      <c r="R2428" s="233"/>
      <c r="S2428" s="234" t="e">
        <f>IF(C2428="",NA(),MATCH($B2428&amp;$C2428,'Smelter Reference List'!$J:$J,0))</f>
        <v>#N/A</v>
      </c>
      <c r="T2428" s="235"/>
      <c r="U2428" s="235">
        <f t="shared" ca="1" si="70"/>
        <v>0</v>
      </c>
      <c r="V2428" s="235"/>
      <c r="W2428" s="235"/>
      <c r="Y2428" s="228" t="str">
        <f t="shared" si="71"/>
        <v/>
      </c>
    </row>
    <row r="2429" spans="1:25" s="228" customFormat="1" ht="20.25">
      <c r="A2429" s="257"/>
      <c r="B2429" s="232" t="str">
        <f>IF(LEN(A2429)=0,"",INDEX('Smelter Reference List'!$A:$A,MATCH($A2429,'Smelter Reference List'!$E:$E,0)))</f>
        <v/>
      </c>
      <c r="C2429" s="297" t="str">
        <f>IF(LEN(A2429)=0,"",INDEX('Smelter Reference List'!$C:$C,MATCH($A2429,'Smelter Reference List'!$E:$E,0)))</f>
        <v/>
      </c>
      <c r="D2429" s="161" t="str">
        <f ca="1">IF(ISERROR($S2429),"",OFFSET('Smelter Reference List'!$C$4,$S2429-4,0)&amp;"")</f>
        <v/>
      </c>
      <c r="E2429" s="161" t="str">
        <f ca="1">IF(ISERROR($S2429),"",OFFSET('Smelter Reference List'!$D$4,$S2429-4,0)&amp;"")</f>
        <v/>
      </c>
      <c r="F2429" s="161" t="str">
        <f ca="1">IF(ISERROR($S2429),"",OFFSET('Smelter Reference List'!$E$4,$S2429-4,0))</f>
        <v/>
      </c>
      <c r="G2429" s="161" t="str">
        <f ca="1">IF(C2429=$U$4,"Enter smelter details", IF(ISERROR($S2429),"",OFFSET('Smelter Reference List'!$F$4,$S2429-4,0)))</f>
        <v/>
      </c>
      <c r="H2429" s="247" t="str">
        <f ca="1">IF(ISERROR($S2429),"",OFFSET('Smelter Reference List'!$G$4,$S2429-4,0))</f>
        <v/>
      </c>
      <c r="I2429" s="248" t="str">
        <f ca="1">IF(ISERROR($S2429),"",OFFSET('Smelter Reference List'!$H$4,$S2429-4,0))</f>
        <v/>
      </c>
      <c r="J2429" s="248" t="str">
        <f ca="1">IF(ISERROR($S2429),"",OFFSET('Smelter Reference List'!$I$4,$S2429-4,0))</f>
        <v/>
      </c>
      <c r="K2429" s="245"/>
      <c r="L2429" s="245"/>
      <c r="M2429" s="245"/>
      <c r="N2429" s="245"/>
      <c r="O2429" s="245"/>
      <c r="P2429" s="245"/>
      <c r="Q2429" s="246"/>
      <c r="R2429" s="233"/>
      <c r="S2429" s="234" t="e">
        <f>IF(C2429="",NA(),MATCH($B2429&amp;$C2429,'Smelter Reference List'!$J:$J,0))</f>
        <v>#N/A</v>
      </c>
      <c r="T2429" s="235"/>
      <c r="U2429" s="235">
        <f t="shared" ca="1" si="70"/>
        <v>0</v>
      </c>
      <c r="V2429" s="235"/>
      <c r="W2429" s="235"/>
      <c r="Y2429" s="228" t="str">
        <f t="shared" si="71"/>
        <v/>
      </c>
    </row>
    <row r="2430" spans="1:25" s="228" customFormat="1" ht="20.25">
      <c r="A2430" s="257"/>
      <c r="B2430" s="232" t="str">
        <f>IF(LEN(A2430)=0,"",INDEX('Smelter Reference List'!$A:$A,MATCH($A2430,'Smelter Reference List'!$E:$E,0)))</f>
        <v/>
      </c>
      <c r="C2430" s="297" t="str">
        <f>IF(LEN(A2430)=0,"",INDEX('Smelter Reference List'!$C:$C,MATCH($A2430,'Smelter Reference List'!$E:$E,0)))</f>
        <v/>
      </c>
      <c r="D2430" s="161" t="str">
        <f ca="1">IF(ISERROR($S2430),"",OFFSET('Smelter Reference List'!$C$4,$S2430-4,0)&amp;"")</f>
        <v/>
      </c>
      <c r="E2430" s="161" t="str">
        <f ca="1">IF(ISERROR($S2430),"",OFFSET('Smelter Reference List'!$D$4,$S2430-4,0)&amp;"")</f>
        <v/>
      </c>
      <c r="F2430" s="161" t="str">
        <f ca="1">IF(ISERROR($S2430),"",OFFSET('Smelter Reference List'!$E$4,$S2430-4,0))</f>
        <v/>
      </c>
      <c r="G2430" s="161" t="str">
        <f ca="1">IF(C2430=$U$4,"Enter smelter details", IF(ISERROR($S2430),"",OFFSET('Smelter Reference List'!$F$4,$S2430-4,0)))</f>
        <v/>
      </c>
      <c r="H2430" s="247" t="str">
        <f ca="1">IF(ISERROR($S2430),"",OFFSET('Smelter Reference List'!$G$4,$S2430-4,0))</f>
        <v/>
      </c>
      <c r="I2430" s="248" t="str">
        <f ca="1">IF(ISERROR($S2430),"",OFFSET('Smelter Reference List'!$H$4,$S2430-4,0))</f>
        <v/>
      </c>
      <c r="J2430" s="248" t="str">
        <f ca="1">IF(ISERROR($S2430),"",OFFSET('Smelter Reference List'!$I$4,$S2430-4,0))</f>
        <v/>
      </c>
      <c r="K2430" s="245"/>
      <c r="L2430" s="245"/>
      <c r="M2430" s="245"/>
      <c r="N2430" s="245"/>
      <c r="O2430" s="245"/>
      <c r="P2430" s="245"/>
      <c r="Q2430" s="246"/>
      <c r="R2430" s="233"/>
      <c r="S2430" s="234" t="e">
        <f>IF(C2430="",NA(),MATCH($B2430&amp;$C2430,'Smelter Reference List'!$J:$J,0))</f>
        <v>#N/A</v>
      </c>
      <c r="T2430" s="235"/>
      <c r="U2430" s="235">
        <f t="shared" ca="1" si="70"/>
        <v>0</v>
      </c>
      <c r="V2430" s="235"/>
      <c r="W2430" s="235"/>
      <c r="Y2430" s="228" t="str">
        <f t="shared" si="71"/>
        <v/>
      </c>
    </row>
    <row r="2431" spans="1:25" s="228" customFormat="1" ht="20.25">
      <c r="A2431" s="257"/>
      <c r="B2431" s="232" t="str">
        <f>IF(LEN(A2431)=0,"",INDEX('Smelter Reference List'!$A:$A,MATCH($A2431,'Smelter Reference List'!$E:$E,0)))</f>
        <v/>
      </c>
      <c r="C2431" s="297" t="str">
        <f>IF(LEN(A2431)=0,"",INDEX('Smelter Reference List'!$C:$C,MATCH($A2431,'Smelter Reference List'!$E:$E,0)))</f>
        <v/>
      </c>
      <c r="D2431" s="161" t="str">
        <f ca="1">IF(ISERROR($S2431),"",OFFSET('Smelter Reference List'!$C$4,$S2431-4,0)&amp;"")</f>
        <v/>
      </c>
      <c r="E2431" s="161" t="str">
        <f ca="1">IF(ISERROR($S2431),"",OFFSET('Smelter Reference List'!$D$4,$S2431-4,0)&amp;"")</f>
        <v/>
      </c>
      <c r="F2431" s="161" t="str">
        <f ca="1">IF(ISERROR($S2431),"",OFFSET('Smelter Reference List'!$E$4,$S2431-4,0))</f>
        <v/>
      </c>
      <c r="G2431" s="161" t="str">
        <f ca="1">IF(C2431=$U$4,"Enter smelter details", IF(ISERROR($S2431),"",OFFSET('Smelter Reference List'!$F$4,$S2431-4,0)))</f>
        <v/>
      </c>
      <c r="H2431" s="247" t="str">
        <f ca="1">IF(ISERROR($S2431),"",OFFSET('Smelter Reference List'!$G$4,$S2431-4,0))</f>
        <v/>
      </c>
      <c r="I2431" s="248" t="str">
        <f ca="1">IF(ISERROR($S2431),"",OFFSET('Smelter Reference List'!$H$4,$S2431-4,0))</f>
        <v/>
      </c>
      <c r="J2431" s="248" t="str">
        <f ca="1">IF(ISERROR($S2431),"",OFFSET('Smelter Reference List'!$I$4,$S2431-4,0))</f>
        <v/>
      </c>
      <c r="K2431" s="245"/>
      <c r="L2431" s="245"/>
      <c r="M2431" s="245"/>
      <c r="N2431" s="245"/>
      <c r="O2431" s="245"/>
      <c r="P2431" s="245"/>
      <c r="Q2431" s="246"/>
      <c r="R2431" s="233"/>
      <c r="S2431" s="234" t="e">
        <f>IF(C2431="",NA(),MATCH($B2431&amp;$C2431,'Smelter Reference List'!$J:$J,0))</f>
        <v>#N/A</v>
      </c>
      <c r="T2431" s="235"/>
      <c r="U2431" s="235">
        <f t="shared" ca="1" si="70"/>
        <v>0</v>
      </c>
      <c r="V2431" s="235"/>
      <c r="W2431" s="235"/>
      <c r="Y2431" s="228" t="str">
        <f t="shared" si="71"/>
        <v/>
      </c>
    </row>
    <row r="2432" spans="1:25" s="228" customFormat="1" ht="20.25">
      <c r="A2432" s="257"/>
      <c r="B2432" s="232" t="str">
        <f>IF(LEN(A2432)=0,"",INDEX('Smelter Reference List'!$A:$A,MATCH($A2432,'Smelter Reference List'!$E:$E,0)))</f>
        <v/>
      </c>
      <c r="C2432" s="297" t="str">
        <f>IF(LEN(A2432)=0,"",INDEX('Smelter Reference List'!$C:$C,MATCH($A2432,'Smelter Reference List'!$E:$E,0)))</f>
        <v/>
      </c>
      <c r="D2432" s="161" t="str">
        <f ca="1">IF(ISERROR($S2432),"",OFFSET('Smelter Reference List'!$C$4,$S2432-4,0)&amp;"")</f>
        <v/>
      </c>
      <c r="E2432" s="161" t="str">
        <f ca="1">IF(ISERROR($S2432),"",OFFSET('Smelter Reference List'!$D$4,$S2432-4,0)&amp;"")</f>
        <v/>
      </c>
      <c r="F2432" s="161" t="str">
        <f ca="1">IF(ISERROR($S2432),"",OFFSET('Smelter Reference List'!$E$4,$S2432-4,0))</f>
        <v/>
      </c>
      <c r="G2432" s="161" t="str">
        <f ca="1">IF(C2432=$U$4,"Enter smelter details", IF(ISERROR($S2432),"",OFFSET('Smelter Reference List'!$F$4,$S2432-4,0)))</f>
        <v/>
      </c>
      <c r="H2432" s="247" t="str">
        <f ca="1">IF(ISERROR($S2432),"",OFFSET('Smelter Reference List'!$G$4,$S2432-4,0))</f>
        <v/>
      </c>
      <c r="I2432" s="248" t="str">
        <f ca="1">IF(ISERROR($S2432),"",OFFSET('Smelter Reference List'!$H$4,$S2432-4,0))</f>
        <v/>
      </c>
      <c r="J2432" s="248" t="str">
        <f ca="1">IF(ISERROR($S2432),"",OFFSET('Smelter Reference List'!$I$4,$S2432-4,0))</f>
        <v/>
      </c>
      <c r="K2432" s="245"/>
      <c r="L2432" s="245"/>
      <c r="M2432" s="245"/>
      <c r="N2432" s="245"/>
      <c r="O2432" s="245"/>
      <c r="P2432" s="245"/>
      <c r="Q2432" s="246"/>
      <c r="R2432" s="233"/>
      <c r="S2432" s="234" t="e">
        <f>IF(C2432="",NA(),MATCH($B2432&amp;$C2432,'Smelter Reference List'!$J:$J,0))</f>
        <v>#N/A</v>
      </c>
      <c r="T2432" s="235"/>
      <c r="U2432" s="235">
        <f t="shared" ca="1" si="70"/>
        <v>0</v>
      </c>
      <c r="V2432" s="235"/>
      <c r="W2432" s="235"/>
      <c r="Y2432" s="228" t="str">
        <f t="shared" si="71"/>
        <v/>
      </c>
    </row>
    <row r="2433" spans="1:25" s="228" customFormat="1" ht="20.25">
      <c r="A2433" s="257"/>
      <c r="B2433" s="232" t="str">
        <f>IF(LEN(A2433)=0,"",INDEX('Smelter Reference List'!$A:$A,MATCH($A2433,'Smelter Reference List'!$E:$E,0)))</f>
        <v/>
      </c>
      <c r="C2433" s="297" t="str">
        <f>IF(LEN(A2433)=0,"",INDEX('Smelter Reference List'!$C:$C,MATCH($A2433,'Smelter Reference List'!$E:$E,0)))</f>
        <v/>
      </c>
      <c r="D2433" s="161" t="str">
        <f ca="1">IF(ISERROR($S2433),"",OFFSET('Smelter Reference List'!$C$4,$S2433-4,0)&amp;"")</f>
        <v/>
      </c>
      <c r="E2433" s="161" t="str">
        <f ca="1">IF(ISERROR($S2433),"",OFFSET('Smelter Reference List'!$D$4,$S2433-4,0)&amp;"")</f>
        <v/>
      </c>
      <c r="F2433" s="161" t="str">
        <f ca="1">IF(ISERROR($S2433),"",OFFSET('Smelter Reference List'!$E$4,$S2433-4,0))</f>
        <v/>
      </c>
      <c r="G2433" s="161" t="str">
        <f ca="1">IF(C2433=$U$4,"Enter smelter details", IF(ISERROR($S2433),"",OFFSET('Smelter Reference List'!$F$4,$S2433-4,0)))</f>
        <v/>
      </c>
      <c r="H2433" s="247" t="str">
        <f ca="1">IF(ISERROR($S2433),"",OFFSET('Smelter Reference List'!$G$4,$S2433-4,0))</f>
        <v/>
      </c>
      <c r="I2433" s="248" t="str">
        <f ca="1">IF(ISERROR($S2433),"",OFFSET('Smelter Reference List'!$H$4,$S2433-4,0))</f>
        <v/>
      </c>
      <c r="J2433" s="248" t="str">
        <f ca="1">IF(ISERROR($S2433),"",OFFSET('Smelter Reference List'!$I$4,$S2433-4,0))</f>
        <v/>
      </c>
      <c r="K2433" s="245"/>
      <c r="L2433" s="245"/>
      <c r="M2433" s="245"/>
      <c r="N2433" s="245"/>
      <c r="O2433" s="245"/>
      <c r="P2433" s="245"/>
      <c r="Q2433" s="246"/>
      <c r="R2433" s="233"/>
      <c r="S2433" s="234" t="e">
        <f>IF(C2433="",NA(),MATCH($B2433&amp;$C2433,'Smelter Reference List'!$J:$J,0))</f>
        <v>#N/A</v>
      </c>
      <c r="T2433" s="235"/>
      <c r="U2433" s="235">
        <f t="shared" ca="1" si="70"/>
        <v>0</v>
      </c>
      <c r="V2433" s="235"/>
      <c r="W2433" s="235"/>
      <c r="Y2433" s="228" t="str">
        <f t="shared" si="71"/>
        <v/>
      </c>
    </row>
    <row r="2434" spans="1:25" s="228" customFormat="1" ht="20.25">
      <c r="A2434" s="257"/>
      <c r="B2434" s="232" t="str">
        <f>IF(LEN(A2434)=0,"",INDEX('Smelter Reference List'!$A:$A,MATCH($A2434,'Smelter Reference List'!$E:$E,0)))</f>
        <v/>
      </c>
      <c r="C2434" s="297" t="str">
        <f>IF(LEN(A2434)=0,"",INDEX('Smelter Reference List'!$C:$C,MATCH($A2434,'Smelter Reference List'!$E:$E,0)))</f>
        <v/>
      </c>
      <c r="D2434" s="161" t="str">
        <f ca="1">IF(ISERROR($S2434),"",OFFSET('Smelter Reference List'!$C$4,$S2434-4,0)&amp;"")</f>
        <v/>
      </c>
      <c r="E2434" s="161" t="str">
        <f ca="1">IF(ISERROR($S2434),"",OFFSET('Smelter Reference List'!$D$4,$S2434-4,0)&amp;"")</f>
        <v/>
      </c>
      <c r="F2434" s="161" t="str">
        <f ca="1">IF(ISERROR($S2434),"",OFFSET('Smelter Reference List'!$E$4,$S2434-4,0))</f>
        <v/>
      </c>
      <c r="G2434" s="161" t="str">
        <f ca="1">IF(C2434=$U$4,"Enter smelter details", IF(ISERROR($S2434),"",OFFSET('Smelter Reference List'!$F$4,$S2434-4,0)))</f>
        <v/>
      </c>
      <c r="H2434" s="247" t="str">
        <f ca="1">IF(ISERROR($S2434),"",OFFSET('Smelter Reference List'!$G$4,$S2434-4,0))</f>
        <v/>
      </c>
      <c r="I2434" s="248" t="str">
        <f ca="1">IF(ISERROR($S2434),"",OFFSET('Smelter Reference List'!$H$4,$S2434-4,0))</f>
        <v/>
      </c>
      <c r="J2434" s="248" t="str">
        <f ca="1">IF(ISERROR($S2434),"",OFFSET('Smelter Reference List'!$I$4,$S2434-4,0))</f>
        <v/>
      </c>
      <c r="K2434" s="245"/>
      <c r="L2434" s="245"/>
      <c r="M2434" s="245"/>
      <c r="N2434" s="245"/>
      <c r="O2434" s="245"/>
      <c r="P2434" s="245"/>
      <c r="Q2434" s="246"/>
      <c r="R2434" s="233"/>
      <c r="S2434" s="234" t="e">
        <f>IF(C2434="",NA(),MATCH($B2434&amp;$C2434,'Smelter Reference List'!$J:$J,0))</f>
        <v>#N/A</v>
      </c>
      <c r="T2434" s="235"/>
      <c r="U2434" s="235">
        <f t="shared" ca="1" si="70"/>
        <v>0</v>
      </c>
      <c r="V2434" s="235"/>
      <c r="W2434" s="235"/>
      <c r="Y2434" s="228" t="str">
        <f t="shared" si="71"/>
        <v/>
      </c>
    </row>
    <row r="2435" spans="1:25" s="228" customFormat="1" ht="20.25">
      <c r="A2435" s="257"/>
      <c r="B2435" s="232" t="str">
        <f>IF(LEN(A2435)=0,"",INDEX('Smelter Reference List'!$A:$A,MATCH($A2435,'Smelter Reference List'!$E:$E,0)))</f>
        <v/>
      </c>
      <c r="C2435" s="297" t="str">
        <f>IF(LEN(A2435)=0,"",INDEX('Smelter Reference List'!$C:$C,MATCH($A2435,'Smelter Reference List'!$E:$E,0)))</f>
        <v/>
      </c>
      <c r="D2435" s="161" t="str">
        <f ca="1">IF(ISERROR($S2435),"",OFFSET('Smelter Reference List'!$C$4,$S2435-4,0)&amp;"")</f>
        <v/>
      </c>
      <c r="E2435" s="161" t="str">
        <f ca="1">IF(ISERROR($S2435),"",OFFSET('Smelter Reference List'!$D$4,$S2435-4,0)&amp;"")</f>
        <v/>
      </c>
      <c r="F2435" s="161" t="str">
        <f ca="1">IF(ISERROR($S2435),"",OFFSET('Smelter Reference List'!$E$4,$S2435-4,0))</f>
        <v/>
      </c>
      <c r="G2435" s="161" t="str">
        <f ca="1">IF(C2435=$U$4,"Enter smelter details", IF(ISERROR($S2435),"",OFFSET('Smelter Reference List'!$F$4,$S2435-4,0)))</f>
        <v/>
      </c>
      <c r="H2435" s="247" t="str">
        <f ca="1">IF(ISERROR($S2435),"",OFFSET('Smelter Reference List'!$G$4,$S2435-4,0))</f>
        <v/>
      </c>
      <c r="I2435" s="248" t="str">
        <f ca="1">IF(ISERROR($S2435),"",OFFSET('Smelter Reference List'!$H$4,$S2435-4,0))</f>
        <v/>
      </c>
      <c r="J2435" s="248" t="str">
        <f ca="1">IF(ISERROR($S2435),"",OFFSET('Smelter Reference List'!$I$4,$S2435-4,0))</f>
        <v/>
      </c>
      <c r="K2435" s="245"/>
      <c r="L2435" s="245"/>
      <c r="M2435" s="245"/>
      <c r="N2435" s="245"/>
      <c r="O2435" s="245"/>
      <c r="P2435" s="245"/>
      <c r="Q2435" s="246"/>
      <c r="R2435" s="233"/>
      <c r="S2435" s="234" t="e">
        <f>IF(C2435="",NA(),MATCH($B2435&amp;$C2435,'Smelter Reference List'!$J:$J,0))</f>
        <v>#N/A</v>
      </c>
      <c r="T2435" s="235"/>
      <c r="U2435" s="235">
        <f t="shared" ca="1" si="70"/>
        <v>0</v>
      </c>
      <c r="V2435" s="235"/>
      <c r="W2435" s="235"/>
      <c r="Y2435" s="228" t="str">
        <f t="shared" si="71"/>
        <v/>
      </c>
    </row>
    <row r="2436" spans="1:25" s="228" customFormat="1" ht="20.25">
      <c r="A2436" s="257"/>
      <c r="B2436" s="232" t="str">
        <f>IF(LEN(A2436)=0,"",INDEX('Smelter Reference List'!$A:$A,MATCH($A2436,'Smelter Reference List'!$E:$E,0)))</f>
        <v/>
      </c>
      <c r="C2436" s="297" t="str">
        <f>IF(LEN(A2436)=0,"",INDEX('Smelter Reference List'!$C:$C,MATCH($A2436,'Smelter Reference List'!$E:$E,0)))</f>
        <v/>
      </c>
      <c r="D2436" s="161" t="str">
        <f ca="1">IF(ISERROR($S2436),"",OFFSET('Smelter Reference List'!$C$4,$S2436-4,0)&amp;"")</f>
        <v/>
      </c>
      <c r="E2436" s="161" t="str">
        <f ca="1">IF(ISERROR($S2436),"",OFFSET('Smelter Reference List'!$D$4,$S2436-4,0)&amp;"")</f>
        <v/>
      </c>
      <c r="F2436" s="161" t="str">
        <f ca="1">IF(ISERROR($S2436),"",OFFSET('Smelter Reference List'!$E$4,$S2436-4,0))</f>
        <v/>
      </c>
      <c r="G2436" s="161" t="str">
        <f ca="1">IF(C2436=$U$4,"Enter smelter details", IF(ISERROR($S2436),"",OFFSET('Smelter Reference List'!$F$4,$S2436-4,0)))</f>
        <v/>
      </c>
      <c r="H2436" s="247" t="str">
        <f ca="1">IF(ISERROR($S2436),"",OFFSET('Smelter Reference List'!$G$4,$S2436-4,0))</f>
        <v/>
      </c>
      <c r="I2436" s="248" t="str">
        <f ca="1">IF(ISERROR($S2436),"",OFFSET('Smelter Reference List'!$H$4,$S2436-4,0))</f>
        <v/>
      </c>
      <c r="J2436" s="248" t="str">
        <f ca="1">IF(ISERROR($S2436),"",OFFSET('Smelter Reference List'!$I$4,$S2436-4,0))</f>
        <v/>
      </c>
      <c r="K2436" s="245"/>
      <c r="L2436" s="245"/>
      <c r="M2436" s="245"/>
      <c r="N2436" s="245"/>
      <c r="O2436" s="245"/>
      <c r="P2436" s="245"/>
      <c r="Q2436" s="246"/>
      <c r="R2436" s="233"/>
      <c r="S2436" s="234" t="e">
        <f>IF(C2436="",NA(),MATCH($B2436&amp;$C2436,'Smelter Reference List'!$J:$J,0))</f>
        <v>#N/A</v>
      </c>
      <c r="T2436" s="235"/>
      <c r="U2436" s="235">
        <f t="shared" ca="1" si="70"/>
        <v>0</v>
      </c>
      <c r="V2436" s="235"/>
      <c r="W2436" s="235"/>
      <c r="Y2436" s="228" t="str">
        <f t="shared" si="71"/>
        <v/>
      </c>
    </row>
    <row r="2437" spans="1:25" s="228" customFormat="1" ht="20.25">
      <c r="A2437" s="257"/>
      <c r="B2437" s="232" t="str">
        <f>IF(LEN(A2437)=0,"",INDEX('Smelter Reference List'!$A:$A,MATCH($A2437,'Smelter Reference List'!$E:$E,0)))</f>
        <v/>
      </c>
      <c r="C2437" s="297" t="str">
        <f>IF(LEN(A2437)=0,"",INDEX('Smelter Reference List'!$C:$C,MATCH($A2437,'Smelter Reference List'!$E:$E,0)))</f>
        <v/>
      </c>
      <c r="D2437" s="161" t="str">
        <f ca="1">IF(ISERROR($S2437),"",OFFSET('Smelter Reference List'!$C$4,$S2437-4,0)&amp;"")</f>
        <v/>
      </c>
      <c r="E2437" s="161" t="str">
        <f ca="1">IF(ISERROR($S2437),"",OFFSET('Smelter Reference List'!$D$4,$S2437-4,0)&amp;"")</f>
        <v/>
      </c>
      <c r="F2437" s="161" t="str">
        <f ca="1">IF(ISERROR($S2437),"",OFFSET('Smelter Reference List'!$E$4,$S2437-4,0))</f>
        <v/>
      </c>
      <c r="G2437" s="161" t="str">
        <f ca="1">IF(C2437=$U$4,"Enter smelter details", IF(ISERROR($S2437),"",OFFSET('Smelter Reference List'!$F$4,$S2437-4,0)))</f>
        <v/>
      </c>
      <c r="H2437" s="247" t="str">
        <f ca="1">IF(ISERROR($S2437),"",OFFSET('Smelter Reference List'!$G$4,$S2437-4,0))</f>
        <v/>
      </c>
      <c r="I2437" s="248" t="str">
        <f ca="1">IF(ISERROR($S2437),"",OFFSET('Smelter Reference List'!$H$4,$S2437-4,0))</f>
        <v/>
      </c>
      <c r="J2437" s="248" t="str">
        <f ca="1">IF(ISERROR($S2437),"",OFFSET('Smelter Reference List'!$I$4,$S2437-4,0))</f>
        <v/>
      </c>
      <c r="K2437" s="245"/>
      <c r="L2437" s="245"/>
      <c r="M2437" s="245"/>
      <c r="N2437" s="245"/>
      <c r="O2437" s="245"/>
      <c r="P2437" s="245"/>
      <c r="Q2437" s="246"/>
      <c r="R2437" s="233"/>
      <c r="S2437" s="234" t="e">
        <f>IF(C2437="",NA(),MATCH($B2437&amp;$C2437,'Smelter Reference List'!$J:$J,0))</f>
        <v>#N/A</v>
      </c>
      <c r="T2437" s="235"/>
      <c r="U2437" s="235">
        <f t="shared" ca="1" si="70"/>
        <v>0</v>
      </c>
      <c r="V2437" s="235"/>
      <c r="W2437" s="235"/>
      <c r="Y2437" s="228" t="str">
        <f t="shared" si="71"/>
        <v/>
      </c>
    </row>
    <row r="2438" spans="1:25" s="228" customFormat="1" ht="20.25">
      <c r="A2438" s="257"/>
      <c r="B2438" s="232" t="str">
        <f>IF(LEN(A2438)=0,"",INDEX('Smelter Reference List'!$A:$A,MATCH($A2438,'Smelter Reference List'!$E:$E,0)))</f>
        <v/>
      </c>
      <c r="C2438" s="297" t="str">
        <f>IF(LEN(A2438)=0,"",INDEX('Smelter Reference List'!$C:$C,MATCH($A2438,'Smelter Reference List'!$E:$E,0)))</f>
        <v/>
      </c>
      <c r="D2438" s="161" t="str">
        <f ca="1">IF(ISERROR($S2438),"",OFFSET('Smelter Reference List'!$C$4,$S2438-4,0)&amp;"")</f>
        <v/>
      </c>
      <c r="E2438" s="161" t="str">
        <f ca="1">IF(ISERROR($S2438),"",OFFSET('Smelter Reference List'!$D$4,$S2438-4,0)&amp;"")</f>
        <v/>
      </c>
      <c r="F2438" s="161" t="str">
        <f ca="1">IF(ISERROR($S2438),"",OFFSET('Smelter Reference List'!$E$4,$S2438-4,0))</f>
        <v/>
      </c>
      <c r="G2438" s="161" t="str">
        <f ca="1">IF(C2438=$U$4,"Enter smelter details", IF(ISERROR($S2438),"",OFFSET('Smelter Reference List'!$F$4,$S2438-4,0)))</f>
        <v/>
      </c>
      <c r="H2438" s="247" t="str">
        <f ca="1">IF(ISERROR($S2438),"",OFFSET('Smelter Reference List'!$G$4,$S2438-4,0))</f>
        <v/>
      </c>
      <c r="I2438" s="248" t="str">
        <f ca="1">IF(ISERROR($S2438),"",OFFSET('Smelter Reference List'!$H$4,$S2438-4,0))</f>
        <v/>
      </c>
      <c r="J2438" s="248" t="str">
        <f ca="1">IF(ISERROR($S2438),"",OFFSET('Smelter Reference List'!$I$4,$S2438-4,0))</f>
        <v/>
      </c>
      <c r="K2438" s="245"/>
      <c r="L2438" s="245"/>
      <c r="M2438" s="245"/>
      <c r="N2438" s="245"/>
      <c r="O2438" s="245"/>
      <c r="P2438" s="245"/>
      <c r="Q2438" s="246"/>
      <c r="R2438" s="233"/>
      <c r="S2438" s="234" t="e">
        <f>IF(C2438="",NA(),MATCH($B2438&amp;$C2438,'Smelter Reference List'!$J:$J,0))</f>
        <v>#N/A</v>
      </c>
      <c r="T2438" s="235"/>
      <c r="U2438" s="235">
        <f t="shared" ref="U2438:U2501" ca="1" si="72">IF(AND(C2438="Smelter not listed",OR(LEN(D2438)=0,LEN(E2438)=0)),1,0)</f>
        <v>0</v>
      </c>
      <c r="V2438" s="235"/>
      <c r="W2438" s="235"/>
      <c r="Y2438" s="228" t="str">
        <f t="shared" ref="Y2438:Y2501" si="73">B2438&amp;C2438</f>
        <v/>
      </c>
    </row>
    <row r="2439" spans="1:25" s="228" customFormat="1" ht="20.25">
      <c r="A2439" s="257"/>
      <c r="B2439" s="232" t="str">
        <f>IF(LEN(A2439)=0,"",INDEX('Smelter Reference List'!$A:$A,MATCH($A2439,'Smelter Reference List'!$E:$E,0)))</f>
        <v/>
      </c>
      <c r="C2439" s="297" t="str">
        <f>IF(LEN(A2439)=0,"",INDEX('Smelter Reference List'!$C:$C,MATCH($A2439,'Smelter Reference List'!$E:$E,0)))</f>
        <v/>
      </c>
      <c r="D2439" s="161" t="str">
        <f ca="1">IF(ISERROR($S2439),"",OFFSET('Smelter Reference List'!$C$4,$S2439-4,0)&amp;"")</f>
        <v/>
      </c>
      <c r="E2439" s="161" t="str">
        <f ca="1">IF(ISERROR($S2439),"",OFFSET('Smelter Reference List'!$D$4,$S2439-4,0)&amp;"")</f>
        <v/>
      </c>
      <c r="F2439" s="161" t="str">
        <f ca="1">IF(ISERROR($S2439),"",OFFSET('Smelter Reference List'!$E$4,$S2439-4,0))</f>
        <v/>
      </c>
      <c r="G2439" s="161" t="str">
        <f ca="1">IF(C2439=$U$4,"Enter smelter details", IF(ISERROR($S2439),"",OFFSET('Smelter Reference List'!$F$4,$S2439-4,0)))</f>
        <v/>
      </c>
      <c r="H2439" s="247" t="str">
        <f ca="1">IF(ISERROR($S2439),"",OFFSET('Smelter Reference List'!$G$4,$S2439-4,0))</f>
        <v/>
      </c>
      <c r="I2439" s="248" t="str">
        <f ca="1">IF(ISERROR($S2439),"",OFFSET('Smelter Reference List'!$H$4,$S2439-4,0))</f>
        <v/>
      </c>
      <c r="J2439" s="248" t="str">
        <f ca="1">IF(ISERROR($S2439),"",OFFSET('Smelter Reference List'!$I$4,$S2439-4,0))</f>
        <v/>
      </c>
      <c r="K2439" s="245"/>
      <c r="L2439" s="245"/>
      <c r="M2439" s="245"/>
      <c r="N2439" s="245"/>
      <c r="O2439" s="245"/>
      <c r="P2439" s="245"/>
      <c r="Q2439" s="246"/>
      <c r="R2439" s="233"/>
      <c r="S2439" s="234" t="e">
        <f>IF(C2439="",NA(),MATCH($B2439&amp;$C2439,'Smelter Reference List'!$J:$J,0))</f>
        <v>#N/A</v>
      </c>
      <c r="T2439" s="235"/>
      <c r="U2439" s="235">
        <f t="shared" ca="1" si="72"/>
        <v>0</v>
      </c>
      <c r="V2439" s="235"/>
      <c r="W2439" s="235"/>
      <c r="Y2439" s="228" t="str">
        <f t="shared" si="73"/>
        <v/>
      </c>
    </row>
    <row r="2440" spans="1:25" s="228" customFormat="1" ht="20.25">
      <c r="A2440" s="257"/>
      <c r="B2440" s="232" t="str">
        <f>IF(LEN(A2440)=0,"",INDEX('Smelter Reference List'!$A:$A,MATCH($A2440,'Smelter Reference List'!$E:$E,0)))</f>
        <v/>
      </c>
      <c r="C2440" s="297" t="str">
        <f>IF(LEN(A2440)=0,"",INDEX('Smelter Reference List'!$C:$C,MATCH($A2440,'Smelter Reference List'!$E:$E,0)))</f>
        <v/>
      </c>
      <c r="D2440" s="161" t="str">
        <f ca="1">IF(ISERROR($S2440),"",OFFSET('Smelter Reference List'!$C$4,$S2440-4,0)&amp;"")</f>
        <v/>
      </c>
      <c r="E2440" s="161" t="str">
        <f ca="1">IF(ISERROR($S2440),"",OFFSET('Smelter Reference List'!$D$4,$S2440-4,0)&amp;"")</f>
        <v/>
      </c>
      <c r="F2440" s="161" t="str">
        <f ca="1">IF(ISERROR($S2440),"",OFFSET('Smelter Reference List'!$E$4,$S2440-4,0))</f>
        <v/>
      </c>
      <c r="G2440" s="161" t="str">
        <f ca="1">IF(C2440=$U$4,"Enter smelter details", IF(ISERROR($S2440),"",OFFSET('Smelter Reference List'!$F$4,$S2440-4,0)))</f>
        <v/>
      </c>
      <c r="H2440" s="247" t="str">
        <f ca="1">IF(ISERROR($S2440),"",OFFSET('Smelter Reference List'!$G$4,$S2440-4,0))</f>
        <v/>
      </c>
      <c r="I2440" s="248" t="str">
        <f ca="1">IF(ISERROR($S2440),"",OFFSET('Smelter Reference List'!$H$4,$S2440-4,0))</f>
        <v/>
      </c>
      <c r="J2440" s="248" t="str">
        <f ca="1">IF(ISERROR($S2440),"",OFFSET('Smelter Reference List'!$I$4,$S2440-4,0))</f>
        <v/>
      </c>
      <c r="K2440" s="245"/>
      <c r="L2440" s="245"/>
      <c r="M2440" s="245"/>
      <c r="N2440" s="245"/>
      <c r="O2440" s="245"/>
      <c r="P2440" s="245"/>
      <c r="Q2440" s="246"/>
      <c r="R2440" s="233"/>
      <c r="S2440" s="234" t="e">
        <f>IF(C2440="",NA(),MATCH($B2440&amp;$C2440,'Smelter Reference List'!$J:$J,0))</f>
        <v>#N/A</v>
      </c>
      <c r="T2440" s="235"/>
      <c r="U2440" s="235">
        <f t="shared" ca="1" si="72"/>
        <v>0</v>
      </c>
      <c r="V2440" s="235"/>
      <c r="W2440" s="235"/>
      <c r="Y2440" s="228" t="str">
        <f t="shared" si="73"/>
        <v/>
      </c>
    </row>
    <row r="2441" spans="1:25" s="228" customFormat="1" ht="20.25">
      <c r="A2441" s="257"/>
      <c r="B2441" s="232" t="str">
        <f>IF(LEN(A2441)=0,"",INDEX('Smelter Reference List'!$A:$A,MATCH($A2441,'Smelter Reference List'!$E:$E,0)))</f>
        <v/>
      </c>
      <c r="C2441" s="297" t="str">
        <f>IF(LEN(A2441)=0,"",INDEX('Smelter Reference List'!$C:$C,MATCH($A2441,'Smelter Reference List'!$E:$E,0)))</f>
        <v/>
      </c>
      <c r="D2441" s="161" t="str">
        <f ca="1">IF(ISERROR($S2441),"",OFFSET('Smelter Reference List'!$C$4,$S2441-4,0)&amp;"")</f>
        <v/>
      </c>
      <c r="E2441" s="161" t="str">
        <f ca="1">IF(ISERROR($S2441),"",OFFSET('Smelter Reference List'!$D$4,$S2441-4,0)&amp;"")</f>
        <v/>
      </c>
      <c r="F2441" s="161" t="str">
        <f ca="1">IF(ISERROR($S2441),"",OFFSET('Smelter Reference List'!$E$4,$S2441-4,0))</f>
        <v/>
      </c>
      <c r="G2441" s="161" t="str">
        <f ca="1">IF(C2441=$U$4,"Enter smelter details", IF(ISERROR($S2441),"",OFFSET('Smelter Reference List'!$F$4,$S2441-4,0)))</f>
        <v/>
      </c>
      <c r="H2441" s="247" t="str">
        <f ca="1">IF(ISERROR($S2441),"",OFFSET('Smelter Reference List'!$G$4,$S2441-4,0))</f>
        <v/>
      </c>
      <c r="I2441" s="248" t="str">
        <f ca="1">IF(ISERROR($S2441),"",OFFSET('Smelter Reference List'!$H$4,$S2441-4,0))</f>
        <v/>
      </c>
      <c r="J2441" s="248" t="str">
        <f ca="1">IF(ISERROR($S2441),"",OFFSET('Smelter Reference List'!$I$4,$S2441-4,0))</f>
        <v/>
      </c>
      <c r="K2441" s="245"/>
      <c r="L2441" s="245"/>
      <c r="M2441" s="245"/>
      <c r="N2441" s="245"/>
      <c r="O2441" s="245"/>
      <c r="P2441" s="245"/>
      <c r="Q2441" s="246"/>
      <c r="R2441" s="233"/>
      <c r="S2441" s="234" t="e">
        <f>IF(C2441="",NA(),MATCH($B2441&amp;$C2441,'Smelter Reference List'!$J:$J,0))</f>
        <v>#N/A</v>
      </c>
      <c r="T2441" s="235"/>
      <c r="U2441" s="235">
        <f t="shared" ca="1" si="72"/>
        <v>0</v>
      </c>
      <c r="V2441" s="235"/>
      <c r="W2441" s="235"/>
      <c r="Y2441" s="228" t="str">
        <f t="shared" si="73"/>
        <v/>
      </c>
    </row>
    <row r="2442" spans="1:25" s="228" customFormat="1" ht="20.25">
      <c r="A2442" s="257"/>
      <c r="B2442" s="232" t="str">
        <f>IF(LEN(A2442)=0,"",INDEX('Smelter Reference List'!$A:$A,MATCH($A2442,'Smelter Reference List'!$E:$E,0)))</f>
        <v/>
      </c>
      <c r="C2442" s="297" t="str">
        <f>IF(LEN(A2442)=0,"",INDEX('Smelter Reference List'!$C:$C,MATCH($A2442,'Smelter Reference List'!$E:$E,0)))</f>
        <v/>
      </c>
      <c r="D2442" s="161" t="str">
        <f ca="1">IF(ISERROR($S2442),"",OFFSET('Smelter Reference List'!$C$4,$S2442-4,0)&amp;"")</f>
        <v/>
      </c>
      <c r="E2442" s="161" t="str">
        <f ca="1">IF(ISERROR($S2442),"",OFFSET('Smelter Reference List'!$D$4,$S2442-4,0)&amp;"")</f>
        <v/>
      </c>
      <c r="F2442" s="161" t="str">
        <f ca="1">IF(ISERROR($S2442),"",OFFSET('Smelter Reference List'!$E$4,$S2442-4,0))</f>
        <v/>
      </c>
      <c r="G2442" s="161" t="str">
        <f ca="1">IF(C2442=$U$4,"Enter smelter details", IF(ISERROR($S2442),"",OFFSET('Smelter Reference List'!$F$4,$S2442-4,0)))</f>
        <v/>
      </c>
      <c r="H2442" s="247" t="str">
        <f ca="1">IF(ISERROR($S2442),"",OFFSET('Smelter Reference List'!$G$4,$S2442-4,0))</f>
        <v/>
      </c>
      <c r="I2442" s="248" t="str">
        <f ca="1">IF(ISERROR($S2442),"",OFFSET('Smelter Reference List'!$H$4,$S2442-4,0))</f>
        <v/>
      </c>
      <c r="J2442" s="248" t="str">
        <f ca="1">IF(ISERROR($S2442),"",OFFSET('Smelter Reference List'!$I$4,$S2442-4,0))</f>
        <v/>
      </c>
      <c r="K2442" s="245"/>
      <c r="L2442" s="245"/>
      <c r="M2442" s="245"/>
      <c r="N2442" s="245"/>
      <c r="O2442" s="245"/>
      <c r="P2442" s="245"/>
      <c r="Q2442" s="246"/>
      <c r="R2442" s="233"/>
      <c r="S2442" s="234" t="e">
        <f>IF(C2442="",NA(),MATCH($B2442&amp;$C2442,'Smelter Reference List'!$J:$J,0))</f>
        <v>#N/A</v>
      </c>
      <c r="T2442" s="235"/>
      <c r="U2442" s="235">
        <f t="shared" ca="1" si="72"/>
        <v>0</v>
      </c>
      <c r="V2442" s="235"/>
      <c r="W2442" s="235"/>
      <c r="Y2442" s="228" t="str">
        <f t="shared" si="73"/>
        <v/>
      </c>
    </row>
    <row r="2443" spans="1:25" s="228" customFormat="1" ht="20.25">
      <c r="A2443" s="257"/>
      <c r="B2443" s="232" t="str">
        <f>IF(LEN(A2443)=0,"",INDEX('Smelter Reference List'!$A:$A,MATCH($A2443,'Smelter Reference List'!$E:$E,0)))</f>
        <v/>
      </c>
      <c r="C2443" s="297" t="str">
        <f>IF(LEN(A2443)=0,"",INDEX('Smelter Reference List'!$C:$C,MATCH($A2443,'Smelter Reference List'!$E:$E,0)))</f>
        <v/>
      </c>
      <c r="D2443" s="161" t="str">
        <f ca="1">IF(ISERROR($S2443),"",OFFSET('Smelter Reference List'!$C$4,$S2443-4,0)&amp;"")</f>
        <v/>
      </c>
      <c r="E2443" s="161" t="str">
        <f ca="1">IF(ISERROR($S2443),"",OFFSET('Smelter Reference List'!$D$4,$S2443-4,0)&amp;"")</f>
        <v/>
      </c>
      <c r="F2443" s="161" t="str">
        <f ca="1">IF(ISERROR($S2443),"",OFFSET('Smelter Reference List'!$E$4,$S2443-4,0))</f>
        <v/>
      </c>
      <c r="G2443" s="161" t="str">
        <f ca="1">IF(C2443=$U$4,"Enter smelter details", IF(ISERROR($S2443),"",OFFSET('Smelter Reference List'!$F$4,$S2443-4,0)))</f>
        <v/>
      </c>
      <c r="H2443" s="247" t="str">
        <f ca="1">IF(ISERROR($S2443),"",OFFSET('Smelter Reference List'!$G$4,$S2443-4,0))</f>
        <v/>
      </c>
      <c r="I2443" s="248" t="str">
        <f ca="1">IF(ISERROR($S2443),"",OFFSET('Smelter Reference List'!$H$4,$S2443-4,0))</f>
        <v/>
      </c>
      <c r="J2443" s="248" t="str">
        <f ca="1">IF(ISERROR($S2443),"",OFFSET('Smelter Reference List'!$I$4,$S2443-4,0))</f>
        <v/>
      </c>
      <c r="K2443" s="245"/>
      <c r="L2443" s="245"/>
      <c r="M2443" s="245"/>
      <c r="N2443" s="245"/>
      <c r="O2443" s="245"/>
      <c r="P2443" s="245"/>
      <c r="Q2443" s="246"/>
      <c r="R2443" s="233"/>
      <c r="S2443" s="234" t="e">
        <f>IF(C2443="",NA(),MATCH($B2443&amp;$C2443,'Smelter Reference List'!$J:$J,0))</f>
        <v>#N/A</v>
      </c>
      <c r="T2443" s="235"/>
      <c r="U2443" s="235">
        <f t="shared" ca="1" si="72"/>
        <v>0</v>
      </c>
      <c r="V2443" s="235"/>
      <c r="W2443" s="235"/>
      <c r="Y2443" s="228" t="str">
        <f t="shared" si="73"/>
        <v/>
      </c>
    </row>
    <row r="2444" spans="1:25" s="228" customFormat="1" ht="20.25">
      <c r="A2444" s="257"/>
      <c r="B2444" s="232" t="str">
        <f>IF(LEN(A2444)=0,"",INDEX('Smelter Reference List'!$A:$A,MATCH($A2444,'Smelter Reference List'!$E:$E,0)))</f>
        <v/>
      </c>
      <c r="C2444" s="297" t="str">
        <f>IF(LEN(A2444)=0,"",INDEX('Smelter Reference List'!$C:$C,MATCH($A2444,'Smelter Reference List'!$E:$E,0)))</f>
        <v/>
      </c>
      <c r="D2444" s="161" t="str">
        <f ca="1">IF(ISERROR($S2444),"",OFFSET('Smelter Reference List'!$C$4,$S2444-4,0)&amp;"")</f>
        <v/>
      </c>
      <c r="E2444" s="161" t="str">
        <f ca="1">IF(ISERROR($S2444),"",OFFSET('Smelter Reference List'!$D$4,$S2444-4,0)&amp;"")</f>
        <v/>
      </c>
      <c r="F2444" s="161" t="str">
        <f ca="1">IF(ISERROR($S2444),"",OFFSET('Smelter Reference List'!$E$4,$S2444-4,0))</f>
        <v/>
      </c>
      <c r="G2444" s="161" t="str">
        <f ca="1">IF(C2444=$U$4,"Enter smelter details", IF(ISERROR($S2444),"",OFFSET('Smelter Reference List'!$F$4,$S2444-4,0)))</f>
        <v/>
      </c>
      <c r="H2444" s="247" t="str">
        <f ca="1">IF(ISERROR($S2444),"",OFFSET('Smelter Reference List'!$G$4,$S2444-4,0))</f>
        <v/>
      </c>
      <c r="I2444" s="248" t="str">
        <f ca="1">IF(ISERROR($S2444),"",OFFSET('Smelter Reference List'!$H$4,$S2444-4,0))</f>
        <v/>
      </c>
      <c r="J2444" s="248" t="str">
        <f ca="1">IF(ISERROR($S2444),"",OFFSET('Smelter Reference List'!$I$4,$S2444-4,0))</f>
        <v/>
      </c>
      <c r="K2444" s="245"/>
      <c r="L2444" s="245"/>
      <c r="M2444" s="245"/>
      <c r="N2444" s="245"/>
      <c r="O2444" s="245"/>
      <c r="P2444" s="245"/>
      <c r="Q2444" s="246"/>
      <c r="R2444" s="233"/>
      <c r="S2444" s="234" t="e">
        <f>IF(C2444="",NA(),MATCH($B2444&amp;$C2444,'Smelter Reference List'!$J:$J,0))</f>
        <v>#N/A</v>
      </c>
      <c r="T2444" s="235"/>
      <c r="U2444" s="235">
        <f t="shared" ca="1" si="72"/>
        <v>0</v>
      </c>
      <c r="V2444" s="235"/>
      <c r="W2444" s="235"/>
      <c r="Y2444" s="228" t="str">
        <f t="shared" si="73"/>
        <v/>
      </c>
    </row>
    <row r="2445" spans="1:25" s="228" customFormat="1" ht="20.25">
      <c r="A2445" s="257"/>
      <c r="B2445" s="232" t="str">
        <f>IF(LEN(A2445)=0,"",INDEX('Smelter Reference List'!$A:$A,MATCH($A2445,'Smelter Reference List'!$E:$E,0)))</f>
        <v/>
      </c>
      <c r="C2445" s="297" t="str">
        <f>IF(LEN(A2445)=0,"",INDEX('Smelter Reference List'!$C:$C,MATCH($A2445,'Smelter Reference List'!$E:$E,0)))</f>
        <v/>
      </c>
      <c r="D2445" s="161" t="str">
        <f ca="1">IF(ISERROR($S2445),"",OFFSET('Smelter Reference List'!$C$4,$S2445-4,0)&amp;"")</f>
        <v/>
      </c>
      <c r="E2445" s="161" t="str">
        <f ca="1">IF(ISERROR($S2445),"",OFFSET('Smelter Reference List'!$D$4,$S2445-4,0)&amp;"")</f>
        <v/>
      </c>
      <c r="F2445" s="161" t="str">
        <f ca="1">IF(ISERROR($S2445),"",OFFSET('Smelter Reference List'!$E$4,$S2445-4,0))</f>
        <v/>
      </c>
      <c r="G2445" s="161" t="str">
        <f ca="1">IF(C2445=$U$4,"Enter smelter details", IF(ISERROR($S2445),"",OFFSET('Smelter Reference List'!$F$4,$S2445-4,0)))</f>
        <v/>
      </c>
      <c r="H2445" s="247" t="str">
        <f ca="1">IF(ISERROR($S2445),"",OFFSET('Smelter Reference List'!$G$4,$S2445-4,0))</f>
        <v/>
      </c>
      <c r="I2445" s="248" t="str">
        <f ca="1">IF(ISERROR($S2445),"",OFFSET('Smelter Reference List'!$H$4,$S2445-4,0))</f>
        <v/>
      </c>
      <c r="J2445" s="248" t="str">
        <f ca="1">IF(ISERROR($S2445),"",OFFSET('Smelter Reference List'!$I$4,$S2445-4,0))</f>
        <v/>
      </c>
      <c r="K2445" s="245"/>
      <c r="L2445" s="245"/>
      <c r="M2445" s="245"/>
      <c r="N2445" s="245"/>
      <c r="O2445" s="245"/>
      <c r="P2445" s="245"/>
      <c r="Q2445" s="246"/>
      <c r="R2445" s="233"/>
      <c r="S2445" s="234" t="e">
        <f>IF(C2445="",NA(),MATCH($B2445&amp;$C2445,'Smelter Reference List'!$J:$J,0))</f>
        <v>#N/A</v>
      </c>
      <c r="T2445" s="235"/>
      <c r="U2445" s="235">
        <f t="shared" ca="1" si="72"/>
        <v>0</v>
      </c>
      <c r="V2445" s="235"/>
      <c r="W2445" s="235"/>
      <c r="Y2445" s="228" t="str">
        <f t="shared" si="73"/>
        <v/>
      </c>
    </row>
    <row r="2446" spans="1:25" s="228" customFormat="1" ht="20.25">
      <c r="A2446" s="257"/>
      <c r="B2446" s="232" t="str">
        <f>IF(LEN(A2446)=0,"",INDEX('Smelter Reference List'!$A:$A,MATCH($A2446,'Smelter Reference List'!$E:$E,0)))</f>
        <v/>
      </c>
      <c r="C2446" s="297" t="str">
        <f>IF(LEN(A2446)=0,"",INDEX('Smelter Reference List'!$C:$C,MATCH($A2446,'Smelter Reference List'!$E:$E,0)))</f>
        <v/>
      </c>
      <c r="D2446" s="161" t="str">
        <f ca="1">IF(ISERROR($S2446),"",OFFSET('Smelter Reference List'!$C$4,$S2446-4,0)&amp;"")</f>
        <v/>
      </c>
      <c r="E2446" s="161" t="str">
        <f ca="1">IF(ISERROR($S2446),"",OFFSET('Smelter Reference List'!$D$4,$S2446-4,0)&amp;"")</f>
        <v/>
      </c>
      <c r="F2446" s="161" t="str">
        <f ca="1">IF(ISERROR($S2446),"",OFFSET('Smelter Reference List'!$E$4,$S2446-4,0))</f>
        <v/>
      </c>
      <c r="G2446" s="161" t="str">
        <f ca="1">IF(C2446=$U$4,"Enter smelter details", IF(ISERROR($S2446),"",OFFSET('Smelter Reference List'!$F$4,$S2446-4,0)))</f>
        <v/>
      </c>
      <c r="H2446" s="247" t="str">
        <f ca="1">IF(ISERROR($S2446),"",OFFSET('Smelter Reference List'!$G$4,$S2446-4,0))</f>
        <v/>
      </c>
      <c r="I2446" s="248" t="str">
        <f ca="1">IF(ISERROR($S2446),"",OFFSET('Smelter Reference List'!$H$4,$S2446-4,0))</f>
        <v/>
      </c>
      <c r="J2446" s="248" t="str">
        <f ca="1">IF(ISERROR($S2446),"",OFFSET('Smelter Reference List'!$I$4,$S2446-4,0))</f>
        <v/>
      </c>
      <c r="K2446" s="245"/>
      <c r="L2446" s="245"/>
      <c r="M2446" s="245"/>
      <c r="N2446" s="245"/>
      <c r="O2446" s="245"/>
      <c r="P2446" s="245"/>
      <c r="Q2446" s="246"/>
      <c r="R2446" s="233"/>
      <c r="S2446" s="234" t="e">
        <f>IF(C2446="",NA(),MATCH($B2446&amp;$C2446,'Smelter Reference List'!$J:$J,0))</f>
        <v>#N/A</v>
      </c>
      <c r="T2446" s="235"/>
      <c r="U2446" s="235">
        <f t="shared" ca="1" si="72"/>
        <v>0</v>
      </c>
      <c r="V2446" s="235"/>
      <c r="W2446" s="235"/>
      <c r="Y2446" s="228" t="str">
        <f t="shared" si="73"/>
        <v/>
      </c>
    </row>
    <row r="2447" spans="1:25" s="228" customFormat="1" ht="20.25">
      <c r="A2447" s="257"/>
      <c r="B2447" s="232" t="str">
        <f>IF(LEN(A2447)=0,"",INDEX('Smelter Reference List'!$A:$A,MATCH($A2447,'Smelter Reference List'!$E:$E,0)))</f>
        <v/>
      </c>
      <c r="C2447" s="297" t="str">
        <f>IF(LEN(A2447)=0,"",INDEX('Smelter Reference List'!$C:$C,MATCH($A2447,'Smelter Reference List'!$E:$E,0)))</f>
        <v/>
      </c>
      <c r="D2447" s="161" t="str">
        <f ca="1">IF(ISERROR($S2447),"",OFFSET('Smelter Reference List'!$C$4,$S2447-4,0)&amp;"")</f>
        <v/>
      </c>
      <c r="E2447" s="161" t="str">
        <f ca="1">IF(ISERROR($S2447),"",OFFSET('Smelter Reference List'!$D$4,$S2447-4,0)&amp;"")</f>
        <v/>
      </c>
      <c r="F2447" s="161" t="str">
        <f ca="1">IF(ISERROR($S2447),"",OFFSET('Smelter Reference List'!$E$4,$S2447-4,0))</f>
        <v/>
      </c>
      <c r="G2447" s="161" t="str">
        <f ca="1">IF(C2447=$U$4,"Enter smelter details", IF(ISERROR($S2447),"",OFFSET('Smelter Reference List'!$F$4,$S2447-4,0)))</f>
        <v/>
      </c>
      <c r="H2447" s="247" t="str">
        <f ca="1">IF(ISERROR($S2447),"",OFFSET('Smelter Reference List'!$G$4,$S2447-4,0))</f>
        <v/>
      </c>
      <c r="I2447" s="248" t="str">
        <f ca="1">IF(ISERROR($S2447),"",OFFSET('Smelter Reference List'!$H$4,$S2447-4,0))</f>
        <v/>
      </c>
      <c r="J2447" s="248" t="str">
        <f ca="1">IF(ISERROR($S2447),"",OFFSET('Smelter Reference List'!$I$4,$S2447-4,0))</f>
        <v/>
      </c>
      <c r="K2447" s="245"/>
      <c r="L2447" s="245"/>
      <c r="M2447" s="245"/>
      <c r="N2447" s="245"/>
      <c r="O2447" s="245"/>
      <c r="P2447" s="245"/>
      <c r="Q2447" s="246"/>
      <c r="R2447" s="233"/>
      <c r="S2447" s="234" t="e">
        <f>IF(C2447="",NA(),MATCH($B2447&amp;$C2447,'Smelter Reference List'!$J:$J,0))</f>
        <v>#N/A</v>
      </c>
      <c r="T2447" s="235"/>
      <c r="U2447" s="235">
        <f t="shared" ca="1" si="72"/>
        <v>0</v>
      </c>
      <c r="V2447" s="235"/>
      <c r="W2447" s="235"/>
      <c r="Y2447" s="228" t="str">
        <f t="shared" si="73"/>
        <v/>
      </c>
    </row>
    <row r="2448" spans="1:25" s="228" customFormat="1" ht="20.25">
      <c r="A2448" s="257"/>
      <c r="B2448" s="232" t="str">
        <f>IF(LEN(A2448)=0,"",INDEX('Smelter Reference List'!$A:$A,MATCH($A2448,'Smelter Reference List'!$E:$E,0)))</f>
        <v/>
      </c>
      <c r="C2448" s="297" t="str">
        <f>IF(LEN(A2448)=0,"",INDEX('Smelter Reference List'!$C:$C,MATCH($A2448,'Smelter Reference List'!$E:$E,0)))</f>
        <v/>
      </c>
      <c r="D2448" s="161" t="str">
        <f ca="1">IF(ISERROR($S2448),"",OFFSET('Smelter Reference List'!$C$4,$S2448-4,0)&amp;"")</f>
        <v/>
      </c>
      <c r="E2448" s="161" t="str">
        <f ca="1">IF(ISERROR($S2448),"",OFFSET('Smelter Reference List'!$D$4,$S2448-4,0)&amp;"")</f>
        <v/>
      </c>
      <c r="F2448" s="161" t="str">
        <f ca="1">IF(ISERROR($S2448),"",OFFSET('Smelter Reference List'!$E$4,$S2448-4,0))</f>
        <v/>
      </c>
      <c r="G2448" s="161" t="str">
        <f ca="1">IF(C2448=$U$4,"Enter smelter details", IF(ISERROR($S2448),"",OFFSET('Smelter Reference List'!$F$4,$S2448-4,0)))</f>
        <v/>
      </c>
      <c r="H2448" s="247" t="str">
        <f ca="1">IF(ISERROR($S2448),"",OFFSET('Smelter Reference List'!$G$4,$S2448-4,0))</f>
        <v/>
      </c>
      <c r="I2448" s="248" t="str">
        <f ca="1">IF(ISERROR($S2448),"",OFFSET('Smelter Reference List'!$H$4,$S2448-4,0))</f>
        <v/>
      </c>
      <c r="J2448" s="248" t="str">
        <f ca="1">IF(ISERROR($S2448),"",OFFSET('Smelter Reference List'!$I$4,$S2448-4,0))</f>
        <v/>
      </c>
      <c r="K2448" s="245"/>
      <c r="L2448" s="245"/>
      <c r="M2448" s="245"/>
      <c r="N2448" s="245"/>
      <c r="O2448" s="245"/>
      <c r="P2448" s="245"/>
      <c r="Q2448" s="246"/>
      <c r="R2448" s="233"/>
      <c r="S2448" s="234" t="e">
        <f>IF(C2448="",NA(),MATCH($B2448&amp;$C2448,'Smelter Reference List'!$J:$J,0))</f>
        <v>#N/A</v>
      </c>
      <c r="T2448" s="235"/>
      <c r="U2448" s="235">
        <f t="shared" ca="1" si="72"/>
        <v>0</v>
      </c>
      <c r="V2448" s="235"/>
      <c r="W2448" s="235"/>
      <c r="Y2448" s="228" t="str">
        <f t="shared" si="73"/>
        <v/>
      </c>
    </row>
    <row r="2449" spans="1:25" s="228" customFormat="1" ht="20.25">
      <c r="A2449" s="257"/>
      <c r="B2449" s="232" t="str">
        <f>IF(LEN(A2449)=0,"",INDEX('Smelter Reference List'!$A:$A,MATCH($A2449,'Smelter Reference List'!$E:$E,0)))</f>
        <v/>
      </c>
      <c r="C2449" s="297" t="str">
        <f>IF(LEN(A2449)=0,"",INDEX('Smelter Reference List'!$C:$C,MATCH($A2449,'Smelter Reference List'!$E:$E,0)))</f>
        <v/>
      </c>
      <c r="D2449" s="161" t="str">
        <f ca="1">IF(ISERROR($S2449),"",OFFSET('Smelter Reference List'!$C$4,$S2449-4,0)&amp;"")</f>
        <v/>
      </c>
      <c r="E2449" s="161" t="str">
        <f ca="1">IF(ISERROR($S2449),"",OFFSET('Smelter Reference List'!$D$4,$S2449-4,0)&amp;"")</f>
        <v/>
      </c>
      <c r="F2449" s="161" t="str">
        <f ca="1">IF(ISERROR($S2449),"",OFFSET('Smelter Reference List'!$E$4,$S2449-4,0))</f>
        <v/>
      </c>
      <c r="G2449" s="161" t="str">
        <f ca="1">IF(C2449=$U$4,"Enter smelter details", IF(ISERROR($S2449),"",OFFSET('Smelter Reference List'!$F$4,$S2449-4,0)))</f>
        <v/>
      </c>
      <c r="H2449" s="247" t="str">
        <f ca="1">IF(ISERROR($S2449),"",OFFSET('Smelter Reference List'!$G$4,$S2449-4,0))</f>
        <v/>
      </c>
      <c r="I2449" s="248" t="str">
        <f ca="1">IF(ISERROR($S2449),"",OFFSET('Smelter Reference List'!$H$4,$S2449-4,0))</f>
        <v/>
      </c>
      <c r="J2449" s="248" t="str">
        <f ca="1">IF(ISERROR($S2449),"",OFFSET('Smelter Reference List'!$I$4,$S2449-4,0))</f>
        <v/>
      </c>
      <c r="K2449" s="245"/>
      <c r="L2449" s="245"/>
      <c r="M2449" s="245"/>
      <c r="N2449" s="245"/>
      <c r="O2449" s="245"/>
      <c r="P2449" s="245"/>
      <c r="Q2449" s="246"/>
      <c r="R2449" s="233"/>
      <c r="S2449" s="234" t="e">
        <f>IF(C2449="",NA(),MATCH($B2449&amp;$C2449,'Smelter Reference List'!$J:$J,0))</f>
        <v>#N/A</v>
      </c>
      <c r="T2449" s="235"/>
      <c r="U2449" s="235">
        <f t="shared" ca="1" si="72"/>
        <v>0</v>
      </c>
      <c r="V2449" s="235"/>
      <c r="W2449" s="235"/>
      <c r="Y2449" s="228" t="str">
        <f t="shared" si="73"/>
        <v/>
      </c>
    </row>
    <row r="2450" spans="1:25" s="228" customFormat="1" ht="20.25">
      <c r="A2450" s="257"/>
      <c r="B2450" s="232" t="str">
        <f>IF(LEN(A2450)=0,"",INDEX('Smelter Reference List'!$A:$A,MATCH($A2450,'Smelter Reference List'!$E:$E,0)))</f>
        <v/>
      </c>
      <c r="C2450" s="297" t="str">
        <f>IF(LEN(A2450)=0,"",INDEX('Smelter Reference List'!$C:$C,MATCH($A2450,'Smelter Reference List'!$E:$E,0)))</f>
        <v/>
      </c>
      <c r="D2450" s="161" t="str">
        <f ca="1">IF(ISERROR($S2450),"",OFFSET('Smelter Reference List'!$C$4,$S2450-4,0)&amp;"")</f>
        <v/>
      </c>
      <c r="E2450" s="161" t="str">
        <f ca="1">IF(ISERROR($S2450),"",OFFSET('Smelter Reference List'!$D$4,$S2450-4,0)&amp;"")</f>
        <v/>
      </c>
      <c r="F2450" s="161" t="str">
        <f ca="1">IF(ISERROR($S2450),"",OFFSET('Smelter Reference List'!$E$4,$S2450-4,0))</f>
        <v/>
      </c>
      <c r="G2450" s="161" t="str">
        <f ca="1">IF(C2450=$U$4,"Enter smelter details", IF(ISERROR($S2450),"",OFFSET('Smelter Reference List'!$F$4,$S2450-4,0)))</f>
        <v/>
      </c>
      <c r="H2450" s="247" t="str">
        <f ca="1">IF(ISERROR($S2450),"",OFFSET('Smelter Reference List'!$G$4,$S2450-4,0))</f>
        <v/>
      </c>
      <c r="I2450" s="248" t="str">
        <f ca="1">IF(ISERROR($S2450),"",OFFSET('Smelter Reference List'!$H$4,$S2450-4,0))</f>
        <v/>
      </c>
      <c r="J2450" s="248" t="str">
        <f ca="1">IF(ISERROR($S2450),"",OFFSET('Smelter Reference List'!$I$4,$S2450-4,0))</f>
        <v/>
      </c>
      <c r="K2450" s="245"/>
      <c r="L2450" s="245"/>
      <c r="M2450" s="245"/>
      <c r="N2450" s="245"/>
      <c r="O2450" s="245"/>
      <c r="P2450" s="245"/>
      <c r="Q2450" s="246"/>
      <c r="R2450" s="233"/>
      <c r="S2450" s="234" t="e">
        <f>IF(C2450="",NA(),MATCH($B2450&amp;$C2450,'Smelter Reference List'!$J:$J,0))</f>
        <v>#N/A</v>
      </c>
      <c r="T2450" s="235"/>
      <c r="U2450" s="235">
        <f t="shared" ca="1" si="72"/>
        <v>0</v>
      </c>
      <c r="V2450" s="235"/>
      <c r="W2450" s="235"/>
      <c r="Y2450" s="228" t="str">
        <f t="shared" si="73"/>
        <v/>
      </c>
    </row>
    <row r="2451" spans="1:25" s="228" customFormat="1" ht="20.25">
      <c r="A2451" s="257"/>
      <c r="B2451" s="232" t="str">
        <f>IF(LEN(A2451)=0,"",INDEX('Smelter Reference List'!$A:$A,MATCH($A2451,'Smelter Reference List'!$E:$E,0)))</f>
        <v/>
      </c>
      <c r="C2451" s="297" t="str">
        <f>IF(LEN(A2451)=0,"",INDEX('Smelter Reference List'!$C:$C,MATCH($A2451,'Smelter Reference List'!$E:$E,0)))</f>
        <v/>
      </c>
      <c r="D2451" s="161" t="str">
        <f ca="1">IF(ISERROR($S2451),"",OFFSET('Smelter Reference List'!$C$4,$S2451-4,0)&amp;"")</f>
        <v/>
      </c>
      <c r="E2451" s="161" t="str">
        <f ca="1">IF(ISERROR($S2451),"",OFFSET('Smelter Reference List'!$D$4,$S2451-4,0)&amp;"")</f>
        <v/>
      </c>
      <c r="F2451" s="161" t="str">
        <f ca="1">IF(ISERROR($S2451),"",OFFSET('Smelter Reference List'!$E$4,$S2451-4,0))</f>
        <v/>
      </c>
      <c r="G2451" s="161" t="str">
        <f ca="1">IF(C2451=$U$4,"Enter smelter details", IF(ISERROR($S2451),"",OFFSET('Smelter Reference List'!$F$4,$S2451-4,0)))</f>
        <v/>
      </c>
      <c r="H2451" s="247" t="str">
        <f ca="1">IF(ISERROR($S2451),"",OFFSET('Smelter Reference List'!$G$4,$S2451-4,0))</f>
        <v/>
      </c>
      <c r="I2451" s="248" t="str">
        <f ca="1">IF(ISERROR($S2451),"",OFFSET('Smelter Reference List'!$H$4,$S2451-4,0))</f>
        <v/>
      </c>
      <c r="J2451" s="248" t="str">
        <f ca="1">IF(ISERROR($S2451),"",OFFSET('Smelter Reference List'!$I$4,$S2451-4,0))</f>
        <v/>
      </c>
      <c r="K2451" s="245"/>
      <c r="L2451" s="245"/>
      <c r="M2451" s="245"/>
      <c r="N2451" s="245"/>
      <c r="O2451" s="245"/>
      <c r="P2451" s="245"/>
      <c r="Q2451" s="246"/>
      <c r="R2451" s="233"/>
      <c r="S2451" s="234" t="e">
        <f>IF(C2451="",NA(),MATCH($B2451&amp;$C2451,'Smelter Reference List'!$J:$J,0))</f>
        <v>#N/A</v>
      </c>
      <c r="T2451" s="235"/>
      <c r="U2451" s="235">
        <f t="shared" ca="1" si="72"/>
        <v>0</v>
      </c>
      <c r="V2451" s="235"/>
      <c r="W2451" s="235"/>
      <c r="Y2451" s="228" t="str">
        <f t="shared" si="73"/>
        <v/>
      </c>
    </row>
    <row r="2452" spans="1:25" s="228" customFormat="1" ht="20.25">
      <c r="A2452" s="257"/>
      <c r="B2452" s="232" t="str">
        <f>IF(LEN(A2452)=0,"",INDEX('Smelter Reference List'!$A:$A,MATCH($A2452,'Smelter Reference List'!$E:$E,0)))</f>
        <v/>
      </c>
      <c r="C2452" s="297" t="str">
        <f>IF(LEN(A2452)=0,"",INDEX('Smelter Reference List'!$C:$C,MATCH($A2452,'Smelter Reference List'!$E:$E,0)))</f>
        <v/>
      </c>
      <c r="D2452" s="161" t="str">
        <f ca="1">IF(ISERROR($S2452),"",OFFSET('Smelter Reference List'!$C$4,$S2452-4,0)&amp;"")</f>
        <v/>
      </c>
      <c r="E2452" s="161" t="str">
        <f ca="1">IF(ISERROR($S2452),"",OFFSET('Smelter Reference List'!$D$4,$S2452-4,0)&amp;"")</f>
        <v/>
      </c>
      <c r="F2452" s="161" t="str">
        <f ca="1">IF(ISERROR($S2452),"",OFFSET('Smelter Reference List'!$E$4,$S2452-4,0))</f>
        <v/>
      </c>
      <c r="G2452" s="161" t="str">
        <f ca="1">IF(C2452=$U$4,"Enter smelter details", IF(ISERROR($S2452),"",OFFSET('Smelter Reference List'!$F$4,$S2452-4,0)))</f>
        <v/>
      </c>
      <c r="H2452" s="247" t="str">
        <f ca="1">IF(ISERROR($S2452),"",OFFSET('Smelter Reference List'!$G$4,$S2452-4,0))</f>
        <v/>
      </c>
      <c r="I2452" s="248" t="str">
        <f ca="1">IF(ISERROR($S2452),"",OFFSET('Smelter Reference List'!$H$4,$S2452-4,0))</f>
        <v/>
      </c>
      <c r="J2452" s="248" t="str">
        <f ca="1">IF(ISERROR($S2452),"",OFFSET('Smelter Reference List'!$I$4,$S2452-4,0))</f>
        <v/>
      </c>
      <c r="K2452" s="245"/>
      <c r="L2452" s="245"/>
      <c r="M2452" s="245"/>
      <c r="N2452" s="245"/>
      <c r="O2452" s="245"/>
      <c r="P2452" s="245"/>
      <c r="Q2452" s="246"/>
      <c r="R2452" s="233"/>
      <c r="S2452" s="234" t="e">
        <f>IF(C2452="",NA(),MATCH($B2452&amp;$C2452,'Smelter Reference List'!$J:$J,0))</f>
        <v>#N/A</v>
      </c>
      <c r="T2452" s="235"/>
      <c r="U2452" s="235">
        <f t="shared" ca="1" si="72"/>
        <v>0</v>
      </c>
      <c r="V2452" s="235"/>
      <c r="W2452" s="235"/>
      <c r="Y2452" s="228" t="str">
        <f t="shared" si="73"/>
        <v/>
      </c>
    </row>
    <row r="2453" spans="1:25" s="228" customFormat="1" ht="20.25">
      <c r="A2453" s="257"/>
      <c r="B2453" s="232" t="str">
        <f>IF(LEN(A2453)=0,"",INDEX('Smelter Reference List'!$A:$A,MATCH($A2453,'Smelter Reference List'!$E:$E,0)))</f>
        <v/>
      </c>
      <c r="C2453" s="297" t="str">
        <f>IF(LEN(A2453)=0,"",INDEX('Smelter Reference List'!$C:$C,MATCH($A2453,'Smelter Reference List'!$E:$E,0)))</f>
        <v/>
      </c>
      <c r="D2453" s="161" t="str">
        <f ca="1">IF(ISERROR($S2453),"",OFFSET('Smelter Reference List'!$C$4,$S2453-4,0)&amp;"")</f>
        <v/>
      </c>
      <c r="E2453" s="161" t="str">
        <f ca="1">IF(ISERROR($S2453),"",OFFSET('Smelter Reference List'!$D$4,$S2453-4,0)&amp;"")</f>
        <v/>
      </c>
      <c r="F2453" s="161" t="str">
        <f ca="1">IF(ISERROR($S2453),"",OFFSET('Smelter Reference List'!$E$4,$S2453-4,0))</f>
        <v/>
      </c>
      <c r="G2453" s="161" t="str">
        <f ca="1">IF(C2453=$U$4,"Enter smelter details", IF(ISERROR($S2453),"",OFFSET('Smelter Reference List'!$F$4,$S2453-4,0)))</f>
        <v/>
      </c>
      <c r="H2453" s="247" t="str">
        <f ca="1">IF(ISERROR($S2453),"",OFFSET('Smelter Reference List'!$G$4,$S2453-4,0))</f>
        <v/>
      </c>
      <c r="I2453" s="248" t="str">
        <f ca="1">IF(ISERROR($S2453),"",OFFSET('Smelter Reference List'!$H$4,$S2453-4,0))</f>
        <v/>
      </c>
      <c r="J2453" s="248" t="str">
        <f ca="1">IF(ISERROR($S2453),"",OFFSET('Smelter Reference List'!$I$4,$S2453-4,0))</f>
        <v/>
      </c>
      <c r="K2453" s="245"/>
      <c r="L2453" s="245"/>
      <c r="M2453" s="245"/>
      <c r="N2453" s="245"/>
      <c r="O2453" s="245"/>
      <c r="P2453" s="245"/>
      <c r="Q2453" s="246"/>
      <c r="R2453" s="233"/>
      <c r="S2453" s="234" t="e">
        <f>IF(C2453="",NA(),MATCH($B2453&amp;$C2453,'Smelter Reference List'!$J:$J,0))</f>
        <v>#N/A</v>
      </c>
      <c r="T2453" s="235"/>
      <c r="U2453" s="235">
        <f t="shared" ca="1" si="72"/>
        <v>0</v>
      </c>
      <c r="V2453" s="235"/>
      <c r="W2453" s="235"/>
      <c r="Y2453" s="228" t="str">
        <f t="shared" si="73"/>
        <v/>
      </c>
    </row>
    <row r="2454" spans="1:25" s="228" customFormat="1" ht="20.25">
      <c r="A2454" s="257"/>
      <c r="B2454" s="232" t="str">
        <f>IF(LEN(A2454)=0,"",INDEX('Smelter Reference List'!$A:$A,MATCH($A2454,'Smelter Reference List'!$E:$E,0)))</f>
        <v/>
      </c>
      <c r="C2454" s="297" t="str">
        <f>IF(LEN(A2454)=0,"",INDEX('Smelter Reference List'!$C:$C,MATCH($A2454,'Smelter Reference List'!$E:$E,0)))</f>
        <v/>
      </c>
      <c r="D2454" s="161" t="str">
        <f ca="1">IF(ISERROR($S2454),"",OFFSET('Smelter Reference List'!$C$4,$S2454-4,0)&amp;"")</f>
        <v/>
      </c>
      <c r="E2454" s="161" t="str">
        <f ca="1">IF(ISERROR($S2454),"",OFFSET('Smelter Reference List'!$D$4,$S2454-4,0)&amp;"")</f>
        <v/>
      </c>
      <c r="F2454" s="161" t="str">
        <f ca="1">IF(ISERROR($S2454),"",OFFSET('Smelter Reference List'!$E$4,$S2454-4,0))</f>
        <v/>
      </c>
      <c r="G2454" s="161" t="str">
        <f ca="1">IF(C2454=$U$4,"Enter smelter details", IF(ISERROR($S2454),"",OFFSET('Smelter Reference List'!$F$4,$S2454-4,0)))</f>
        <v/>
      </c>
      <c r="H2454" s="247" t="str">
        <f ca="1">IF(ISERROR($S2454),"",OFFSET('Smelter Reference List'!$G$4,$S2454-4,0))</f>
        <v/>
      </c>
      <c r="I2454" s="248" t="str">
        <f ca="1">IF(ISERROR($S2454),"",OFFSET('Smelter Reference List'!$H$4,$S2454-4,0))</f>
        <v/>
      </c>
      <c r="J2454" s="248" t="str">
        <f ca="1">IF(ISERROR($S2454),"",OFFSET('Smelter Reference List'!$I$4,$S2454-4,0))</f>
        <v/>
      </c>
      <c r="K2454" s="245"/>
      <c r="L2454" s="245"/>
      <c r="M2454" s="245"/>
      <c r="N2454" s="245"/>
      <c r="O2454" s="245"/>
      <c r="P2454" s="245"/>
      <c r="Q2454" s="246"/>
      <c r="R2454" s="233"/>
      <c r="S2454" s="234" t="e">
        <f>IF(C2454="",NA(),MATCH($B2454&amp;$C2454,'Smelter Reference List'!$J:$J,0))</f>
        <v>#N/A</v>
      </c>
      <c r="T2454" s="235"/>
      <c r="U2454" s="235">
        <f t="shared" ca="1" si="72"/>
        <v>0</v>
      </c>
      <c r="V2454" s="235"/>
      <c r="W2454" s="235"/>
      <c r="Y2454" s="228" t="str">
        <f t="shared" si="73"/>
        <v/>
      </c>
    </row>
    <row r="2455" spans="1:25" s="228" customFormat="1" ht="20.25">
      <c r="A2455" s="257"/>
      <c r="B2455" s="232" t="str">
        <f>IF(LEN(A2455)=0,"",INDEX('Smelter Reference List'!$A:$A,MATCH($A2455,'Smelter Reference List'!$E:$E,0)))</f>
        <v/>
      </c>
      <c r="C2455" s="297" t="str">
        <f>IF(LEN(A2455)=0,"",INDEX('Smelter Reference List'!$C:$C,MATCH($A2455,'Smelter Reference List'!$E:$E,0)))</f>
        <v/>
      </c>
      <c r="D2455" s="161" t="str">
        <f ca="1">IF(ISERROR($S2455),"",OFFSET('Smelter Reference List'!$C$4,$S2455-4,0)&amp;"")</f>
        <v/>
      </c>
      <c r="E2455" s="161" t="str">
        <f ca="1">IF(ISERROR($S2455),"",OFFSET('Smelter Reference List'!$D$4,$S2455-4,0)&amp;"")</f>
        <v/>
      </c>
      <c r="F2455" s="161" t="str">
        <f ca="1">IF(ISERROR($S2455),"",OFFSET('Smelter Reference List'!$E$4,$S2455-4,0))</f>
        <v/>
      </c>
      <c r="G2455" s="161" t="str">
        <f ca="1">IF(C2455=$U$4,"Enter smelter details", IF(ISERROR($S2455),"",OFFSET('Smelter Reference List'!$F$4,$S2455-4,0)))</f>
        <v/>
      </c>
      <c r="H2455" s="247" t="str">
        <f ca="1">IF(ISERROR($S2455),"",OFFSET('Smelter Reference List'!$G$4,$S2455-4,0))</f>
        <v/>
      </c>
      <c r="I2455" s="248" t="str">
        <f ca="1">IF(ISERROR($S2455),"",OFFSET('Smelter Reference List'!$H$4,$S2455-4,0))</f>
        <v/>
      </c>
      <c r="J2455" s="248" t="str">
        <f ca="1">IF(ISERROR($S2455),"",OFFSET('Smelter Reference List'!$I$4,$S2455-4,0))</f>
        <v/>
      </c>
      <c r="K2455" s="245"/>
      <c r="L2455" s="245"/>
      <c r="M2455" s="245"/>
      <c r="N2455" s="245"/>
      <c r="O2455" s="245"/>
      <c r="P2455" s="245"/>
      <c r="Q2455" s="246"/>
      <c r="R2455" s="233"/>
      <c r="S2455" s="234" t="e">
        <f>IF(C2455="",NA(),MATCH($B2455&amp;$C2455,'Smelter Reference List'!$J:$J,0))</f>
        <v>#N/A</v>
      </c>
      <c r="T2455" s="235"/>
      <c r="U2455" s="235">
        <f t="shared" ca="1" si="72"/>
        <v>0</v>
      </c>
      <c r="V2455" s="235"/>
      <c r="W2455" s="235"/>
      <c r="Y2455" s="228" t="str">
        <f t="shared" si="73"/>
        <v/>
      </c>
    </row>
    <row r="2456" spans="1:25" s="228" customFormat="1" ht="20.25">
      <c r="A2456" s="257"/>
      <c r="B2456" s="232" t="str">
        <f>IF(LEN(A2456)=0,"",INDEX('Smelter Reference List'!$A:$A,MATCH($A2456,'Smelter Reference List'!$E:$E,0)))</f>
        <v/>
      </c>
      <c r="C2456" s="297" t="str">
        <f>IF(LEN(A2456)=0,"",INDEX('Smelter Reference List'!$C:$C,MATCH($A2456,'Smelter Reference List'!$E:$E,0)))</f>
        <v/>
      </c>
      <c r="D2456" s="161" t="str">
        <f ca="1">IF(ISERROR($S2456),"",OFFSET('Smelter Reference List'!$C$4,$S2456-4,0)&amp;"")</f>
        <v/>
      </c>
      <c r="E2456" s="161" t="str">
        <f ca="1">IF(ISERROR($S2456),"",OFFSET('Smelter Reference List'!$D$4,$S2456-4,0)&amp;"")</f>
        <v/>
      </c>
      <c r="F2456" s="161" t="str">
        <f ca="1">IF(ISERROR($S2456),"",OFFSET('Smelter Reference List'!$E$4,$S2456-4,0))</f>
        <v/>
      </c>
      <c r="G2456" s="161" t="str">
        <f ca="1">IF(C2456=$U$4,"Enter smelter details", IF(ISERROR($S2456),"",OFFSET('Smelter Reference List'!$F$4,$S2456-4,0)))</f>
        <v/>
      </c>
      <c r="H2456" s="247" t="str">
        <f ca="1">IF(ISERROR($S2456),"",OFFSET('Smelter Reference List'!$G$4,$S2456-4,0))</f>
        <v/>
      </c>
      <c r="I2456" s="248" t="str">
        <f ca="1">IF(ISERROR($S2456),"",OFFSET('Smelter Reference List'!$H$4,$S2456-4,0))</f>
        <v/>
      </c>
      <c r="J2456" s="248" t="str">
        <f ca="1">IF(ISERROR($S2456),"",OFFSET('Smelter Reference List'!$I$4,$S2456-4,0))</f>
        <v/>
      </c>
      <c r="K2456" s="245"/>
      <c r="L2456" s="245"/>
      <c r="M2456" s="245"/>
      <c r="N2456" s="245"/>
      <c r="O2456" s="245"/>
      <c r="P2456" s="245"/>
      <c r="Q2456" s="246"/>
      <c r="R2456" s="233"/>
      <c r="S2456" s="234" t="e">
        <f>IF(C2456="",NA(),MATCH($B2456&amp;$C2456,'Smelter Reference List'!$J:$J,0))</f>
        <v>#N/A</v>
      </c>
      <c r="T2456" s="235"/>
      <c r="U2456" s="235">
        <f t="shared" ca="1" si="72"/>
        <v>0</v>
      </c>
      <c r="V2456" s="235"/>
      <c r="W2456" s="235"/>
      <c r="Y2456" s="228" t="str">
        <f t="shared" si="73"/>
        <v/>
      </c>
    </row>
    <row r="2457" spans="1:25" s="228" customFormat="1" ht="20.25">
      <c r="A2457" s="257"/>
      <c r="B2457" s="232" t="str">
        <f>IF(LEN(A2457)=0,"",INDEX('Smelter Reference List'!$A:$A,MATCH($A2457,'Smelter Reference List'!$E:$E,0)))</f>
        <v/>
      </c>
      <c r="C2457" s="297" t="str">
        <f>IF(LEN(A2457)=0,"",INDEX('Smelter Reference List'!$C:$C,MATCH($A2457,'Smelter Reference List'!$E:$E,0)))</f>
        <v/>
      </c>
      <c r="D2457" s="161" t="str">
        <f ca="1">IF(ISERROR($S2457),"",OFFSET('Smelter Reference List'!$C$4,$S2457-4,0)&amp;"")</f>
        <v/>
      </c>
      <c r="E2457" s="161" t="str">
        <f ca="1">IF(ISERROR($S2457),"",OFFSET('Smelter Reference List'!$D$4,$S2457-4,0)&amp;"")</f>
        <v/>
      </c>
      <c r="F2457" s="161" t="str">
        <f ca="1">IF(ISERROR($S2457),"",OFFSET('Smelter Reference List'!$E$4,$S2457-4,0))</f>
        <v/>
      </c>
      <c r="G2457" s="161" t="str">
        <f ca="1">IF(C2457=$U$4,"Enter smelter details", IF(ISERROR($S2457),"",OFFSET('Smelter Reference List'!$F$4,$S2457-4,0)))</f>
        <v/>
      </c>
      <c r="H2457" s="247" t="str">
        <f ca="1">IF(ISERROR($S2457),"",OFFSET('Smelter Reference List'!$G$4,$S2457-4,0))</f>
        <v/>
      </c>
      <c r="I2457" s="248" t="str">
        <f ca="1">IF(ISERROR($S2457),"",OFFSET('Smelter Reference List'!$H$4,$S2457-4,0))</f>
        <v/>
      </c>
      <c r="J2457" s="248" t="str">
        <f ca="1">IF(ISERROR($S2457),"",OFFSET('Smelter Reference List'!$I$4,$S2457-4,0))</f>
        <v/>
      </c>
      <c r="K2457" s="245"/>
      <c r="L2457" s="245"/>
      <c r="M2457" s="245"/>
      <c r="N2457" s="245"/>
      <c r="O2457" s="245"/>
      <c r="P2457" s="245"/>
      <c r="Q2457" s="246"/>
      <c r="R2457" s="233"/>
      <c r="S2457" s="234" t="e">
        <f>IF(C2457="",NA(),MATCH($B2457&amp;$C2457,'Smelter Reference List'!$J:$J,0))</f>
        <v>#N/A</v>
      </c>
      <c r="T2457" s="235"/>
      <c r="U2457" s="235">
        <f t="shared" ca="1" si="72"/>
        <v>0</v>
      </c>
      <c r="V2457" s="235"/>
      <c r="W2457" s="235"/>
      <c r="Y2457" s="228" t="str">
        <f t="shared" si="73"/>
        <v/>
      </c>
    </row>
    <row r="2458" spans="1:25" s="228" customFormat="1" ht="20.25">
      <c r="A2458" s="257"/>
      <c r="B2458" s="232" t="str">
        <f>IF(LEN(A2458)=0,"",INDEX('Smelter Reference List'!$A:$A,MATCH($A2458,'Smelter Reference List'!$E:$E,0)))</f>
        <v/>
      </c>
      <c r="C2458" s="297" t="str">
        <f>IF(LEN(A2458)=0,"",INDEX('Smelter Reference List'!$C:$C,MATCH($A2458,'Smelter Reference List'!$E:$E,0)))</f>
        <v/>
      </c>
      <c r="D2458" s="161" t="str">
        <f ca="1">IF(ISERROR($S2458),"",OFFSET('Smelter Reference List'!$C$4,$S2458-4,0)&amp;"")</f>
        <v/>
      </c>
      <c r="E2458" s="161" t="str">
        <f ca="1">IF(ISERROR($S2458),"",OFFSET('Smelter Reference List'!$D$4,$S2458-4,0)&amp;"")</f>
        <v/>
      </c>
      <c r="F2458" s="161" t="str">
        <f ca="1">IF(ISERROR($S2458),"",OFFSET('Smelter Reference List'!$E$4,$S2458-4,0))</f>
        <v/>
      </c>
      <c r="G2458" s="161" t="str">
        <f ca="1">IF(C2458=$U$4,"Enter smelter details", IF(ISERROR($S2458),"",OFFSET('Smelter Reference List'!$F$4,$S2458-4,0)))</f>
        <v/>
      </c>
      <c r="H2458" s="247" t="str">
        <f ca="1">IF(ISERROR($S2458),"",OFFSET('Smelter Reference List'!$G$4,$S2458-4,0))</f>
        <v/>
      </c>
      <c r="I2458" s="248" t="str">
        <f ca="1">IF(ISERROR($S2458),"",OFFSET('Smelter Reference List'!$H$4,$S2458-4,0))</f>
        <v/>
      </c>
      <c r="J2458" s="248" t="str">
        <f ca="1">IF(ISERROR($S2458),"",OFFSET('Smelter Reference List'!$I$4,$S2458-4,0))</f>
        <v/>
      </c>
      <c r="K2458" s="245"/>
      <c r="L2458" s="245"/>
      <c r="M2458" s="245"/>
      <c r="N2458" s="245"/>
      <c r="O2458" s="245"/>
      <c r="P2458" s="245"/>
      <c r="Q2458" s="246"/>
      <c r="R2458" s="233"/>
      <c r="S2458" s="234" t="e">
        <f>IF(C2458="",NA(),MATCH($B2458&amp;$C2458,'Smelter Reference List'!$J:$J,0))</f>
        <v>#N/A</v>
      </c>
      <c r="T2458" s="235"/>
      <c r="U2458" s="235">
        <f t="shared" ca="1" si="72"/>
        <v>0</v>
      </c>
      <c r="V2458" s="235"/>
      <c r="W2458" s="235"/>
      <c r="Y2458" s="228" t="str">
        <f t="shared" si="73"/>
        <v/>
      </c>
    </row>
    <row r="2459" spans="1:25" s="228" customFormat="1" ht="20.25">
      <c r="A2459" s="257"/>
      <c r="B2459" s="232" t="str">
        <f>IF(LEN(A2459)=0,"",INDEX('Smelter Reference List'!$A:$A,MATCH($A2459,'Smelter Reference List'!$E:$E,0)))</f>
        <v/>
      </c>
      <c r="C2459" s="297" t="str">
        <f>IF(LEN(A2459)=0,"",INDEX('Smelter Reference List'!$C:$C,MATCH($A2459,'Smelter Reference List'!$E:$E,0)))</f>
        <v/>
      </c>
      <c r="D2459" s="161" t="str">
        <f ca="1">IF(ISERROR($S2459),"",OFFSET('Smelter Reference List'!$C$4,$S2459-4,0)&amp;"")</f>
        <v/>
      </c>
      <c r="E2459" s="161" t="str">
        <f ca="1">IF(ISERROR($S2459),"",OFFSET('Smelter Reference List'!$D$4,$S2459-4,0)&amp;"")</f>
        <v/>
      </c>
      <c r="F2459" s="161" t="str">
        <f ca="1">IF(ISERROR($S2459),"",OFFSET('Smelter Reference List'!$E$4,$S2459-4,0))</f>
        <v/>
      </c>
      <c r="G2459" s="161" t="str">
        <f ca="1">IF(C2459=$U$4,"Enter smelter details", IF(ISERROR($S2459),"",OFFSET('Smelter Reference List'!$F$4,$S2459-4,0)))</f>
        <v/>
      </c>
      <c r="H2459" s="247" t="str">
        <f ca="1">IF(ISERROR($S2459),"",OFFSET('Smelter Reference List'!$G$4,$S2459-4,0))</f>
        <v/>
      </c>
      <c r="I2459" s="248" t="str">
        <f ca="1">IF(ISERROR($S2459),"",OFFSET('Smelter Reference List'!$H$4,$S2459-4,0))</f>
        <v/>
      </c>
      <c r="J2459" s="248" t="str">
        <f ca="1">IF(ISERROR($S2459),"",OFFSET('Smelter Reference List'!$I$4,$S2459-4,0))</f>
        <v/>
      </c>
      <c r="K2459" s="245"/>
      <c r="L2459" s="245"/>
      <c r="M2459" s="245"/>
      <c r="N2459" s="245"/>
      <c r="O2459" s="245"/>
      <c r="P2459" s="245"/>
      <c r="Q2459" s="246"/>
      <c r="R2459" s="233"/>
      <c r="S2459" s="234" t="e">
        <f>IF(C2459="",NA(),MATCH($B2459&amp;$C2459,'Smelter Reference List'!$J:$J,0))</f>
        <v>#N/A</v>
      </c>
      <c r="T2459" s="235"/>
      <c r="U2459" s="235">
        <f t="shared" ca="1" si="72"/>
        <v>0</v>
      </c>
      <c r="V2459" s="235"/>
      <c r="W2459" s="235"/>
      <c r="Y2459" s="228" t="str">
        <f t="shared" si="73"/>
        <v/>
      </c>
    </row>
    <row r="2460" spans="1:25" s="228" customFormat="1" ht="20.25">
      <c r="A2460" s="257"/>
      <c r="B2460" s="232" t="str">
        <f>IF(LEN(A2460)=0,"",INDEX('Smelter Reference List'!$A:$A,MATCH($A2460,'Smelter Reference List'!$E:$E,0)))</f>
        <v/>
      </c>
      <c r="C2460" s="297" t="str">
        <f>IF(LEN(A2460)=0,"",INDEX('Smelter Reference List'!$C:$C,MATCH($A2460,'Smelter Reference List'!$E:$E,0)))</f>
        <v/>
      </c>
      <c r="D2460" s="161" t="str">
        <f ca="1">IF(ISERROR($S2460),"",OFFSET('Smelter Reference List'!$C$4,$S2460-4,0)&amp;"")</f>
        <v/>
      </c>
      <c r="E2460" s="161" t="str">
        <f ca="1">IF(ISERROR($S2460),"",OFFSET('Smelter Reference List'!$D$4,$S2460-4,0)&amp;"")</f>
        <v/>
      </c>
      <c r="F2460" s="161" t="str">
        <f ca="1">IF(ISERROR($S2460),"",OFFSET('Smelter Reference List'!$E$4,$S2460-4,0))</f>
        <v/>
      </c>
      <c r="G2460" s="161" t="str">
        <f ca="1">IF(C2460=$U$4,"Enter smelter details", IF(ISERROR($S2460),"",OFFSET('Smelter Reference List'!$F$4,$S2460-4,0)))</f>
        <v/>
      </c>
      <c r="H2460" s="247" t="str">
        <f ca="1">IF(ISERROR($S2460),"",OFFSET('Smelter Reference List'!$G$4,$S2460-4,0))</f>
        <v/>
      </c>
      <c r="I2460" s="248" t="str">
        <f ca="1">IF(ISERROR($S2460),"",OFFSET('Smelter Reference List'!$H$4,$S2460-4,0))</f>
        <v/>
      </c>
      <c r="J2460" s="248" t="str">
        <f ca="1">IF(ISERROR($S2460),"",OFFSET('Smelter Reference List'!$I$4,$S2460-4,0))</f>
        <v/>
      </c>
      <c r="K2460" s="245"/>
      <c r="L2460" s="245"/>
      <c r="M2460" s="245"/>
      <c r="N2460" s="245"/>
      <c r="O2460" s="245"/>
      <c r="P2460" s="245"/>
      <c r="Q2460" s="246"/>
      <c r="R2460" s="233"/>
      <c r="S2460" s="234" t="e">
        <f>IF(C2460="",NA(),MATCH($B2460&amp;$C2460,'Smelter Reference List'!$J:$J,0))</f>
        <v>#N/A</v>
      </c>
      <c r="T2460" s="235"/>
      <c r="U2460" s="235">
        <f t="shared" ca="1" si="72"/>
        <v>0</v>
      </c>
      <c r="V2460" s="235"/>
      <c r="W2460" s="235"/>
      <c r="Y2460" s="228" t="str">
        <f t="shared" si="73"/>
        <v/>
      </c>
    </row>
    <row r="2461" spans="1:25" s="228" customFormat="1" ht="20.25">
      <c r="A2461" s="257"/>
      <c r="B2461" s="232" t="str">
        <f>IF(LEN(A2461)=0,"",INDEX('Smelter Reference List'!$A:$A,MATCH($A2461,'Smelter Reference List'!$E:$E,0)))</f>
        <v/>
      </c>
      <c r="C2461" s="297" t="str">
        <f>IF(LEN(A2461)=0,"",INDEX('Smelter Reference List'!$C:$C,MATCH($A2461,'Smelter Reference List'!$E:$E,0)))</f>
        <v/>
      </c>
      <c r="D2461" s="161" t="str">
        <f ca="1">IF(ISERROR($S2461),"",OFFSET('Smelter Reference List'!$C$4,$S2461-4,0)&amp;"")</f>
        <v/>
      </c>
      <c r="E2461" s="161" t="str">
        <f ca="1">IF(ISERROR($S2461),"",OFFSET('Smelter Reference List'!$D$4,$S2461-4,0)&amp;"")</f>
        <v/>
      </c>
      <c r="F2461" s="161" t="str">
        <f ca="1">IF(ISERROR($S2461),"",OFFSET('Smelter Reference List'!$E$4,$S2461-4,0))</f>
        <v/>
      </c>
      <c r="G2461" s="161" t="str">
        <f ca="1">IF(C2461=$U$4,"Enter smelter details", IF(ISERROR($S2461),"",OFFSET('Smelter Reference List'!$F$4,$S2461-4,0)))</f>
        <v/>
      </c>
      <c r="H2461" s="247" t="str">
        <f ca="1">IF(ISERROR($S2461),"",OFFSET('Smelter Reference List'!$G$4,$S2461-4,0))</f>
        <v/>
      </c>
      <c r="I2461" s="248" t="str">
        <f ca="1">IF(ISERROR($S2461),"",OFFSET('Smelter Reference List'!$H$4,$S2461-4,0))</f>
        <v/>
      </c>
      <c r="J2461" s="248" t="str">
        <f ca="1">IF(ISERROR($S2461),"",OFFSET('Smelter Reference List'!$I$4,$S2461-4,0))</f>
        <v/>
      </c>
      <c r="K2461" s="245"/>
      <c r="L2461" s="245"/>
      <c r="M2461" s="245"/>
      <c r="N2461" s="245"/>
      <c r="O2461" s="245"/>
      <c r="P2461" s="245"/>
      <c r="Q2461" s="246"/>
      <c r="R2461" s="233"/>
      <c r="S2461" s="234" t="e">
        <f>IF(C2461="",NA(),MATCH($B2461&amp;$C2461,'Smelter Reference List'!$J:$J,0))</f>
        <v>#N/A</v>
      </c>
      <c r="T2461" s="235"/>
      <c r="U2461" s="235">
        <f t="shared" ca="1" si="72"/>
        <v>0</v>
      </c>
      <c r="V2461" s="235"/>
      <c r="W2461" s="235"/>
      <c r="Y2461" s="228" t="str">
        <f t="shared" si="73"/>
        <v/>
      </c>
    </row>
    <row r="2462" spans="1:25" s="228" customFormat="1" ht="20.25">
      <c r="A2462" s="257"/>
      <c r="B2462" s="232" t="str">
        <f>IF(LEN(A2462)=0,"",INDEX('Smelter Reference List'!$A:$A,MATCH($A2462,'Smelter Reference List'!$E:$E,0)))</f>
        <v/>
      </c>
      <c r="C2462" s="297" t="str">
        <f>IF(LEN(A2462)=0,"",INDEX('Smelter Reference List'!$C:$C,MATCH($A2462,'Smelter Reference List'!$E:$E,0)))</f>
        <v/>
      </c>
      <c r="D2462" s="161" t="str">
        <f ca="1">IF(ISERROR($S2462),"",OFFSET('Smelter Reference List'!$C$4,$S2462-4,0)&amp;"")</f>
        <v/>
      </c>
      <c r="E2462" s="161" t="str">
        <f ca="1">IF(ISERROR($S2462),"",OFFSET('Smelter Reference List'!$D$4,$S2462-4,0)&amp;"")</f>
        <v/>
      </c>
      <c r="F2462" s="161" t="str">
        <f ca="1">IF(ISERROR($S2462),"",OFFSET('Smelter Reference List'!$E$4,$S2462-4,0))</f>
        <v/>
      </c>
      <c r="G2462" s="161" t="str">
        <f ca="1">IF(C2462=$U$4,"Enter smelter details", IF(ISERROR($S2462),"",OFFSET('Smelter Reference List'!$F$4,$S2462-4,0)))</f>
        <v/>
      </c>
      <c r="H2462" s="247" t="str">
        <f ca="1">IF(ISERROR($S2462),"",OFFSET('Smelter Reference List'!$G$4,$S2462-4,0))</f>
        <v/>
      </c>
      <c r="I2462" s="248" t="str">
        <f ca="1">IF(ISERROR($S2462),"",OFFSET('Smelter Reference List'!$H$4,$S2462-4,0))</f>
        <v/>
      </c>
      <c r="J2462" s="248" t="str">
        <f ca="1">IF(ISERROR($S2462),"",OFFSET('Smelter Reference List'!$I$4,$S2462-4,0))</f>
        <v/>
      </c>
      <c r="K2462" s="245"/>
      <c r="L2462" s="245"/>
      <c r="M2462" s="245"/>
      <c r="N2462" s="245"/>
      <c r="O2462" s="245"/>
      <c r="P2462" s="245"/>
      <c r="Q2462" s="246"/>
      <c r="R2462" s="233"/>
      <c r="S2462" s="234" t="e">
        <f>IF(C2462="",NA(),MATCH($B2462&amp;$C2462,'Smelter Reference List'!$J:$J,0))</f>
        <v>#N/A</v>
      </c>
      <c r="T2462" s="235"/>
      <c r="U2462" s="235">
        <f t="shared" ca="1" si="72"/>
        <v>0</v>
      </c>
      <c r="V2462" s="235"/>
      <c r="W2462" s="235"/>
      <c r="Y2462" s="228" t="str">
        <f t="shared" si="73"/>
        <v/>
      </c>
    </row>
    <row r="2463" spans="1:25" s="228" customFormat="1" ht="20.25">
      <c r="A2463" s="257"/>
      <c r="B2463" s="232" t="str">
        <f>IF(LEN(A2463)=0,"",INDEX('Smelter Reference List'!$A:$A,MATCH($A2463,'Smelter Reference List'!$E:$E,0)))</f>
        <v/>
      </c>
      <c r="C2463" s="297" t="str">
        <f>IF(LEN(A2463)=0,"",INDEX('Smelter Reference List'!$C:$C,MATCH($A2463,'Smelter Reference List'!$E:$E,0)))</f>
        <v/>
      </c>
      <c r="D2463" s="161" t="str">
        <f ca="1">IF(ISERROR($S2463),"",OFFSET('Smelter Reference List'!$C$4,$S2463-4,0)&amp;"")</f>
        <v/>
      </c>
      <c r="E2463" s="161" t="str">
        <f ca="1">IF(ISERROR($S2463),"",OFFSET('Smelter Reference List'!$D$4,$S2463-4,0)&amp;"")</f>
        <v/>
      </c>
      <c r="F2463" s="161" t="str">
        <f ca="1">IF(ISERROR($S2463),"",OFFSET('Smelter Reference List'!$E$4,$S2463-4,0))</f>
        <v/>
      </c>
      <c r="G2463" s="161" t="str">
        <f ca="1">IF(C2463=$U$4,"Enter smelter details", IF(ISERROR($S2463),"",OFFSET('Smelter Reference List'!$F$4,$S2463-4,0)))</f>
        <v/>
      </c>
      <c r="H2463" s="247" t="str">
        <f ca="1">IF(ISERROR($S2463),"",OFFSET('Smelter Reference List'!$G$4,$S2463-4,0))</f>
        <v/>
      </c>
      <c r="I2463" s="248" t="str">
        <f ca="1">IF(ISERROR($S2463),"",OFFSET('Smelter Reference List'!$H$4,$S2463-4,0))</f>
        <v/>
      </c>
      <c r="J2463" s="248" t="str">
        <f ca="1">IF(ISERROR($S2463),"",OFFSET('Smelter Reference List'!$I$4,$S2463-4,0))</f>
        <v/>
      </c>
      <c r="K2463" s="245"/>
      <c r="L2463" s="245"/>
      <c r="M2463" s="245"/>
      <c r="N2463" s="245"/>
      <c r="O2463" s="245"/>
      <c r="P2463" s="245"/>
      <c r="Q2463" s="246"/>
      <c r="R2463" s="233"/>
      <c r="S2463" s="234" t="e">
        <f>IF(C2463="",NA(),MATCH($B2463&amp;$C2463,'Smelter Reference List'!$J:$J,0))</f>
        <v>#N/A</v>
      </c>
      <c r="T2463" s="235"/>
      <c r="U2463" s="235">
        <f t="shared" ca="1" si="72"/>
        <v>0</v>
      </c>
      <c r="V2463" s="235"/>
      <c r="W2463" s="235"/>
      <c r="Y2463" s="228" t="str">
        <f t="shared" si="73"/>
        <v/>
      </c>
    </row>
    <row r="2464" spans="1:25" s="228" customFormat="1" ht="20.25">
      <c r="A2464" s="257"/>
      <c r="B2464" s="232" t="str">
        <f>IF(LEN(A2464)=0,"",INDEX('Smelter Reference List'!$A:$A,MATCH($A2464,'Smelter Reference List'!$E:$E,0)))</f>
        <v/>
      </c>
      <c r="C2464" s="297" t="str">
        <f>IF(LEN(A2464)=0,"",INDEX('Smelter Reference List'!$C:$C,MATCH($A2464,'Smelter Reference List'!$E:$E,0)))</f>
        <v/>
      </c>
      <c r="D2464" s="161" t="str">
        <f ca="1">IF(ISERROR($S2464),"",OFFSET('Smelter Reference List'!$C$4,$S2464-4,0)&amp;"")</f>
        <v/>
      </c>
      <c r="E2464" s="161" t="str">
        <f ca="1">IF(ISERROR($S2464),"",OFFSET('Smelter Reference List'!$D$4,$S2464-4,0)&amp;"")</f>
        <v/>
      </c>
      <c r="F2464" s="161" t="str">
        <f ca="1">IF(ISERROR($S2464),"",OFFSET('Smelter Reference List'!$E$4,$S2464-4,0))</f>
        <v/>
      </c>
      <c r="G2464" s="161" t="str">
        <f ca="1">IF(C2464=$U$4,"Enter smelter details", IF(ISERROR($S2464),"",OFFSET('Smelter Reference List'!$F$4,$S2464-4,0)))</f>
        <v/>
      </c>
      <c r="H2464" s="247" t="str">
        <f ca="1">IF(ISERROR($S2464),"",OFFSET('Smelter Reference List'!$G$4,$S2464-4,0))</f>
        <v/>
      </c>
      <c r="I2464" s="248" t="str">
        <f ca="1">IF(ISERROR($S2464),"",OFFSET('Smelter Reference List'!$H$4,$S2464-4,0))</f>
        <v/>
      </c>
      <c r="J2464" s="248" t="str">
        <f ca="1">IF(ISERROR($S2464),"",OFFSET('Smelter Reference List'!$I$4,$S2464-4,0))</f>
        <v/>
      </c>
      <c r="K2464" s="245"/>
      <c r="L2464" s="245"/>
      <c r="M2464" s="245"/>
      <c r="N2464" s="245"/>
      <c r="O2464" s="245"/>
      <c r="P2464" s="245"/>
      <c r="Q2464" s="246"/>
      <c r="R2464" s="233"/>
      <c r="S2464" s="234" t="e">
        <f>IF(C2464="",NA(),MATCH($B2464&amp;$C2464,'Smelter Reference List'!$J:$J,0))</f>
        <v>#N/A</v>
      </c>
      <c r="T2464" s="235"/>
      <c r="U2464" s="235">
        <f t="shared" ca="1" si="72"/>
        <v>0</v>
      </c>
      <c r="V2464" s="235"/>
      <c r="W2464" s="235"/>
      <c r="Y2464" s="228" t="str">
        <f t="shared" si="73"/>
        <v/>
      </c>
    </row>
    <row r="2465" spans="1:25" s="228" customFormat="1" ht="20.25">
      <c r="A2465" s="257"/>
      <c r="B2465" s="232" t="str">
        <f>IF(LEN(A2465)=0,"",INDEX('Smelter Reference List'!$A:$A,MATCH($A2465,'Smelter Reference List'!$E:$E,0)))</f>
        <v/>
      </c>
      <c r="C2465" s="297" t="str">
        <f>IF(LEN(A2465)=0,"",INDEX('Smelter Reference List'!$C:$C,MATCH($A2465,'Smelter Reference List'!$E:$E,0)))</f>
        <v/>
      </c>
      <c r="D2465" s="161" t="str">
        <f ca="1">IF(ISERROR($S2465),"",OFFSET('Smelter Reference List'!$C$4,$S2465-4,0)&amp;"")</f>
        <v/>
      </c>
      <c r="E2465" s="161" t="str">
        <f ca="1">IF(ISERROR($S2465),"",OFFSET('Smelter Reference List'!$D$4,$S2465-4,0)&amp;"")</f>
        <v/>
      </c>
      <c r="F2465" s="161" t="str">
        <f ca="1">IF(ISERROR($S2465),"",OFFSET('Smelter Reference List'!$E$4,$S2465-4,0))</f>
        <v/>
      </c>
      <c r="G2465" s="161" t="str">
        <f ca="1">IF(C2465=$U$4,"Enter smelter details", IF(ISERROR($S2465),"",OFFSET('Smelter Reference List'!$F$4,$S2465-4,0)))</f>
        <v/>
      </c>
      <c r="H2465" s="247" t="str">
        <f ca="1">IF(ISERROR($S2465),"",OFFSET('Smelter Reference List'!$G$4,$S2465-4,0))</f>
        <v/>
      </c>
      <c r="I2465" s="248" t="str">
        <f ca="1">IF(ISERROR($S2465),"",OFFSET('Smelter Reference List'!$H$4,$S2465-4,0))</f>
        <v/>
      </c>
      <c r="J2465" s="248" t="str">
        <f ca="1">IF(ISERROR($S2465),"",OFFSET('Smelter Reference List'!$I$4,$S2465-4,0))</f>
        <v/>
      </c>
      <c r="K2465" s="245"/>
      <c r="L2465" s="245"/>
      <c r="M2465" s="245"/>
      <c r="N2465" s="245"/>
      <c r="O2465" s="245"/>
      <c r="P2465" s="245"/>
      <c r="Q2465" s="246"/>
      <c r="R2465" s="233"/>
      <c r="S2465" s="234" t="e">
        <f>IF(C2465="",NA(),MATCH($B2465&amp;$C2465,'Smelter Reference List'!$J:$J,0))</f>
        <v>#N/A</v>
      </c>
      <c r="T2465" s="235"/>
      <c r="U2465" s="235">
        <f t="shared" ca="1" si="72"/>
        <v>0</v>
      </c>
      <c r="V2465" s="235"/>
      <c r="W2465" s="235"/>
      <c r="Y2465" s="228" t="str">
        <f t="shared" si="73"/>
        <v/>
      </c>
    </row>
    <row r="2466" spans="1:25" s="228" customFormat="1" ht="20.25">
      <c r="A2466" s="257"/>
      <c r="B2466" s="232" t="str">
        <f>IF(LEN(A2466)=0,"",INDEX('Smelter Reference List'!$A:$A,MATCH($A2466,'Smelter Reference List'!$E:$E,0)))</f>
        <v/>
      </c>
      <c r="C2466" s="297" t="str">
        <f>IF(LEN(A2466)=0,"",INDEX('Smelter Reference List'!$C:$C,MATCH($A2466,'Smelter Reference List'!$E:$E,0)))</f>
        <v/>
      </c>
      <c r="D2466" s="161" t="str">
        <f ca="1">IF(ISERROR($S2466),"",OFFSET('Smelter Reference List'!$C$4,$S2466-4,0)&amp;"")</f>
        <v/>
      </c>
      <c r="E2466" s="161" t="str">
        <f ca="1">IF(ISERROR($S2466),"",OFFSET('Smelter Reference List'!$D$4,$S2466-4,0)&amp;"")</f>
        <v/>
      </c>
      <c r="F2466" s="161" t="str">
        <f ca="1">IF(ISERROR($S2466),"",OFFSET('Smelter Reference List'!$E$4,$S2466-4,0))</f>
        <v/>
      </c>
      <c r="G2466" s="161" t="str">
        <f ca="1">IF(C2466=$U$4,"Enter smelter details", IF(ISERROR($S2466),"",OFFSET('Smelter Reference List'!$F$4,$S2466-4,0)))</f>
        <v/>
      </c>
      <c r="H2466" s="247" t="str">
        <f ca="1">IF(ISERROR($S2466),"",OFFSET('Smelter Reference List'!$G$4,$S2466-4,0))</f>
        <v/>
      </c>
      <c r="I2466" s="248" t="str">
        <f ca="1">IF(ISERROR($S2466),"",OFFSET('Smelter Reference List'!$H$4,$S2466-4,0))</f>
        <v/>
      </c>
      <c r="J2466" s="248" t="str">
        <f ca="1">IF(ISERROR($S2466),"",OFFSET('Smelter Reference List'!$I$4,$S2466-4,0))</f>
        <v/>
      </c>
      <c r="K2466" s="245"/>
      <c r="L2466" s="245"/>
      <c r="M2466" s="245"/>
      <c r="N2466" s="245"/>
      <c r="O2466" s="245"/>
      <c r="P2466" s="245"/>
      <c r="Q2466" s="246"/>
      <c r="R2466" s="233"/>
      <c r="S2466" s="234" t="e">
        <f>IF(C2466="",NA(),MATCH($B2466&amp;$C2466,'Smelter Reference List'!$J:$J,0))</f>
        <v>#N/A</v>
      </c>
      <c r="T2466" s="235"/>
      <c r="U2466" s="235">
        <f t="shared" ca="1" si="72"/>
        <v>0</v>
      </c>
      <c r="V2466" s="235"/>
      <c r="W2466" s="235"/>
      <c r="Y2466" s="228" t="str">
        <f t="shared" si="73"/>
        <v/>
      </c>
    </row>
    <row r="2467" spans="1:25" s="228" customFormat="1" ht="20.25">
      <c r="A2467" s="257"/>
      <c r="B2467" s="232" t="str">
        <f>IF(LEN(A2467)=0,"",INDEX('Smelter Reference List'!$A:$A,MATCH($A2467,'Smelter Reference List'!$E:$E,0)))</f>
        <v/>
      </c>
      <c r="C2467" s="297" t="str">
        <f>IF(LEN(A2467)=0,"",INDEX('Smelter Reference List'!$C:$C,MATCH($A2467,'Smelter Reference List'!$E:$E,0)))</f>
        <v/>
      </c>
      <c r="D2467" s="161" t="str">
        <f ca="1">IF(ISERROR($S2467),"",OFFSET('Smelter Reference List'!$C$4,$S2467-4,0)&amp;"")</f>
        <v/>
      </c>
      <c r="E2467" s="161" t="str">
        <f ca="1">IF(ISERROR($S2467),"",OFFSET('Smelter Reference List'!$D$4,$S2467-4,0)&amp;"")</f>
        <v/>
      </c>
      <c r="F2467" s="161" t="str">
        <f ca="1">IF(ISERROR($S2467),"",OFFSET('Smelter Reference List'!$E$4,$S2467-4,0))</f>
        <v/>
      </c>
      <c r="G2467" s="161" t="str">
        <f ca="1">IF(C2467=$U$4,"Enter smelter details", IF(ISERROR($S2467),"",OFFSET('Smelter Reference List'!$F$4,$S2467-4,0)))</f>
        <v/>
      </c>
      <c r="H2467" s="247" t="str">
        <f ca="1">IF(ISERROR($S2467),"",OFFSET('Smelter Reference List'!$G$4,$S2467-4,0))</f>
        <v/>
      </c>
      <c r="I2467" s="248" t="str">
        <f ca="1">IF(ISERROR($S2467),"",OFFSET('Smelter Reference List'!$H$4,$S2467-4,0))</f>
        <v/>
      </c>
      <c r="J2467" s="248" t="str">
        <f ca="1">IF(ISERROR($S2467),"",OFFSET('Smelter Reference List'!$I$4,$S2467-4,0))</f>
        <v/>
      </c>
      <c r="K2467" s="245"/>
      <c r="L2467" s="245"/>
      <c r="M2467" s="245"/>
      <c r="N2467" s="245"/>
      <c r="O2467" s="245"/>
      <c r="P2467" s="245"/>
      <c r="Q2467" s="246"/>
      <c r="R2467" s="233"/>
      <c r="S2467" s="234" t="e">
        <f>IF(C2467="",NA(),MATCH($B2467&amp;$C2467,'Smelter Reference List'!$J:$J,0))</f>
        <v>#N/A</v>
      </c>
      <c r="T2467" s="235"/>
      <c r="U2467" s="235">
        <f t="shared" ca="1" si="72"/>
        <v>0</v>
      </c>
      <c r="V2467" s="235"/>
      <c r="W2467" s="235"/>
      <c r="Y2467" s="228" t="str">
        <f t="shared" si="73"/>
        <v/>
      </c>
    </row>
    <row r="2468" spans="1:25" s="228" customFormat="1" ht="20.25">
      <c r="A2468" s="257"/>
      <c r="B2468" s="232" t="str">
        <f>IF(LEN(A2468)=0,"",INDEX('Smelter Reference List'!$A:$A,MATCH($A2468,'Smelter Reference List'!$E:$E,0)))</f>
        <v/>
      </c>
      <c r="C2468" s="297" t="str">
        <f>IF(LEN(A2468)=0,"",INDEX('Smelter Reference List'!$C:$C,MATCH($A2468,'Smelter Reference List'!$E:$E,0)))</f>
        <v/>
      </c>
      <c r="D2468" s="161" t="str">
        <f ca="1">IF(ISERROR($S2468),"",OFFSET('Smelter Reference List'!$C$4,$S2468-4,0)&amp;"")</f>
        <v/>
      </c>
      <c r="E2468" s="161" t="str">
        <f ca="1">IF(ISERROR($S2468),"",OFFSET('Smelter Reference List'!$D$4,$S2468-4,0)&amp;"")</f>
        <v/>
      </c>
      <c r="F2468" s="161" t="str">
        <f ca="1">IF(ISERROR($S2468),"",OFFSET('Smelter Reference List'!$E$4,$S2468-4,0))</f>
        <v/>
      </c>
      <c r="G2468" s="161" t="str">
        <f ca="1">IF(C2468=$U$4,"Enter smelter details", IF(ISERROR($S2468),"",OFFSET('Smelter Reference List'!$F$4,$S2468-4,0)))</f>
        <v/>
      </c>
      <c r="H2468" s="247" t="str">
        <f ca="1">IF(ISERROR($S2468),"",OFFSET('Smelter Reference List'!$G$4,$S2468-4,0))</f>
        <v/>
      </c>
      <c r="I2468" s="248" t="str">
        <f ca="1">IF(ISERROR($S2468),"",OFFSET('Smelter Reference List'!$H$4,$S2468-4,0))</f>
        <v/>
      </c>
      <c r="J2468" s="248" t="str">
        <f ca="1">IF(ISERROR($S2468),"",OFFSET('Smelter Reference List'!$I$4,$S2468-4,0))</f>
        <v/>
      </c>
      <c r="K2468" s="245"/>
      <c r="L2468" s="245"/>
      <c r="M2468" s="245"/>
      <c r="N2468" s="245"/>
      <c r="O2468" s="245"/>
      <c r="P2468" s="245"/>
      <c r="Q2468" s="246"/>
      <c r="R2468" s="233"/>
      <c r="S2468" s="234" t="e">
        <f>IF(C2468="",NA(),MATCH($B2468&amp;$C2468,'Smelter Reference List'!$J:$J,0))</f>
        <v>#N/A</v>
      </c>
      <c r="T2468" s="235"/>
      <c r="U2468" s="235">
        <f t="shared" ca="1" si="72"/>
        <v>0</v>
      </c>
      <c r="V2468" s="235"/>
      <c r="W2468" s="235"/>
      <c r="Y2468" s="228" t="str">
        <f t="shared" si="73"/>
        <v/>
      </c>
    </row>
    <row r="2469" spans="1:25" s="228" customFormat="1" ht="20.25">
      <c r="A2469" s="257"/>
      <c r="B2469" s="232" t="str">
        <f>IF(LEN(A2469)=0,"",INDEX('Smelter Reference List'!$A:$A,MATCH($A2469,'Smelter Reference List'!$E:$E,0)))</f>
        <v/>
      </c>
      <c r="C2469" s="297" t="str">
        <f>IF(LEN(A2469)=0,"",INDEX('Smelter Reference List'!$C:$C,MATCH($A2469,'Smelter Reference List'!$E:$E,0)))</f>
        <v/>
      </c>
      <c r="D2469" s="161" t="str">
        <f ca="1">IF(ISERROR($S2469),"",OFFSET('Smelter Reference List'!$C$4,$S2469-4,0)&amp;"")</f>
        <v/>
      </c>
      <c r="E2469" s="161" t="str">
        <f ca="1">IF(ISERROR($S2469),"",OFFSET('Smelter Reference List'!$D$4,$S2469-4,0)&amp;"")</f>
        <v/>
      </c>
      <c r="F2469" s="161" t="str">
        <f ca="1">IF(ISERROR($S2469),"",OFFSET('Smelter Reference List'!$E$4,$S2469-4,0))</f>
        <v/>
      </c>
      <c r="G2469" s="161" t="str">
        <f ca="1">IF(C2469=$U$4,"Enter smelter details", IF(ISERROR($S2469),"",OFFSET('Smelter Reference List'!$F$4,$S2469-4,0)))</f>
        <v/>
      </c>
      <c r="H2469" s="247" t="str">
        <f ca="1">IF(ISERROR($S2469),"",OFFSET('Smelter Reference List'!$G$4,$S2469-4,0))</f>
        <v/>
      </c>
      <c r="I2469" s="248" t="str">
        <f ca="1">IF(ISERROR($S2469),"",OFFSET('Smelter Reference List'!$H$4,$S2469-4,0))</f>
        <v/>
      </c>
      <c r="J2469" s="248" t="str">
        <f ca="1">IF(ISERROR($S2469),"",OFFSET('Smelter Reference List'!$I$4,$S2469-4,0))</f>
        <v/>
      </c>
      <c r="K2469" s="245"/>
      <c r="L2469" s="245"/>
      <c r="M2469" s="245"/>
      <c r="N2469" s="245"/>
      <c r="O2469" s="245"/>
      <c r="P2469" s="245"/>
      <c r="Q2469" s="246"/>
      <c r="R2469" s="233"/>
      <c r="S2469" s="234" t="e">
        <f>IF(C2469="",NA(),MATCH($B2469&amp;$C2469,'Smelter Reference List'!$J:$J,0))</f>
        <v>#N/A</v>
      </c>
      <c r="T2469" s="235"/>
      <c r="U2469" s="235">
        <f t="shared" ca="1" si="72"/>
        <v>0</v>
      </c>
      <c r="V2469" s="235"/>
      <c r="W2469" s="235"/>
      <c r="Y2469" s="228" t="str">
        <f t="shared" si="73"/>
        <v/>
      </c>
    </row>
    <row r="2470" spans="1:25" s="228" customFormat="1" ht="20.25">
      <c r="A2470" s="257"/>
      <c r="B2470" s="232" t="str">
        <f>IF(LEN(A2470)=0,"",INDEX('Smelter Reference List'!$A:$A,MATCH($A2470,'Smelter Reference List'!$E:$E,0)))</f>
        <v/>
      </c>
      <c r="C2470" s="297" t="str">
        <f>IF(LEN(A2470)=0,"",INDEX('Smelter Reference List'!$C:$C,MATCH($A2470,'Smelter Reference List'!$E:$E,0)))</f>
        <v/>
      </c>
      <c r="D2470" s="161" t="str">
        <f ca="1">IF(ISERROR($S2470),"",OFFSET('Smelter Reference List'!$C$4,$S2470-4,0)&amp;"")</f>
        <v/>
      </c>
      <c r="E2470" s="161" t="str">
        <f ca="1">IF(ISERROR($S2470),"",OFFSET('Smelter Reference List'!$D$4,$S2470-4,0)&amp;"")</f>
        <v/>
      </c>
      <c r="F2470" s="161" t="str">
        <f ca="1">IF(ISERROR($S2470),"",OFFSET('Smelter Reference List'!$E$4,$S2470-4,0))</f>
        <v/>
      </c>
      <c r="G2470" s="161" t="str">
        <f ca="1">IF(C2470=$U$4,"Enter smelter details", IF(ISERROR($S2470),"",OFFSET('Smelter Reference List'!$F$4,$S2470-4,0)))</f>
        <v/>
      </c>
      <c r="H2470" s="247" t="str">
        <f ca="1">IF(ISERROR($S2470),"",OFFSET('Smelter Reference List'!$G$4,$S2470-4,0))</f>
        <v/>
      </c>
      <c r="I2470" s="248" t="str">
        <f ca="1">IF(ISERROR($S2470),"",OFFSET('Smelter Reference List'!$H$4,$S2470-4,0))</f>
        <v/>
      </c>
      <c r="J2470" s="248" t="str">
        <f ca="1">IF(ISERROR($S2470),"",OFFSET('Smelter Reference List'!$I$4,$S2470-4,0))</f>
        <v/>
      </c>
      <c r="K2470" s="245"/>
      <c r="L2470" s="245"/>
      <c r="M2470" s="245"/>
      <c r="N2470" s="245"/>
      <c r="O2470" s="245"/>
      <c r="P2470" s="245"/>
      <c r="Q2470" s="246"/>
      <c r="R2470" s="233"/>
      <c r="S2470" s="234" t="e">
        <f>IF(C2470="",NA(),MATCH($B2470&amp;$C2470,'Smelter Reference List'!$J:$J,0))</f>
        <v>#N/A</v>
      </c>
      <c r="T2470" s="235"/>
      <c r="U2470" s="235">
        <f t="shared" ca="1" si="72"/>
        <v>0</v>
      </c>
      <c r="V2470" s="235"/>
      <c r="W2470" s="235"/>
      <c r="Y2470" s="228" t="str">
        <f t="shared" si="73"/>
        <v/>
      </c>
    </row>
    <row r="2471" spans="1:25" s="228" customFormat="1" ht="20.25">
      <c r="A2471" s="257"/>
      <c r="B2471" s="232" t="str">
        <f>IF(LEN(A2471)=0,"",INDEX('Smelter Reference List'!$A:$A,MATCH($A2471,'Smelter Reference List'!$E:$E,0)))</f>
        <v/>
      </c>
      <c r="C2471" s="297" t="str">
        <f>IF(LEN(A2471)=0,"",INDEX('Smelter Reference List'!$C:$C,MATCH($A2471,'Smelter Reference List'!$E:$E,0)))</f>
        <v/>
      </c>
      <c r="D2471" s="161" t="str">
        <f ca="1">IF(ISERROR($S2471),"",OFFSET('Smelter Reference List'!$C$4,$S2471-4,0)&amp;"")</f>
        <v/>
      </c>
      <c r="E2471" s="161" t="str">
        <f ca="1">IF(ISERROR($S2471),"",OFFSET('Smelter Reference List'!$D$4,$S2471-4,0)&amp;"")</f>
        <v/>
      </c>
      <c r="F2471" s="161" t="str">
        <f ca="1">IF(ISERROR($S2471),"",OFFSET('Smelter Reference List'!$E$4,$S2471-4,0))</f>
        <v/>
      </c>
      <c r="G2471" s="161" t="str">
        <f ca="1">IF(C2471=$U$4,"Enter smelter details", IF(ISERROR($S2471),"",OFFSET('Smelter Reference List'!$F$4,$S2471-4,0)))</f>
        <v/>
      </c>
      <c r="H2471" s="247" t="str">
        <f ca="1">IF(ISERROR($S2471),"",OFFSET('Smelter Reference List'!$G$4,$S2471-4,0))</f>
        <v/>
      </c>
      <c r="I2471" s="248" t="str">
        <f ca="1">IF(ISERROR($S2471),"",OFFSET('Smelter Reference List'!$H$4,$S2471-4,0))</f>
        <v/>
      </c>
      <c r="J2471" s="248" t="str">
        <f ca="1">IF(ISERROR($S2471),"",OFFSET('Smelter Reference List'!$I$4,$S2471-4,0))</f>
        <v/>
      </c>
      <c r="K2471" s="245"/>
      <c r="L2471" s="245"/>
      <c r="M2471" s="245"/>
      <c r="N2471" s="245"/>
      <c r="O2471" s="245"/>
      <c r="P2471" s="245"/>
      <c r="Q2471" s="246"/>
      <c r="R2471" s="233"/>
      <c r="S2471" s="234" t="e">
        <f>IF(C2471="",NA(),MATCH($B2471&amp;$C2471,'Smelter Reference List'!$J:$J,0))</f>
        <v>#N/A</v>
      </c>
      <c r="T2471" s="235"/>
      <c r="U2471" s="235">
        <f t="shared" ca="1" si="72"/>
        <v>0</v>
      </c>
      <c r="V2471" s="235"/>
      <c r="W2471" s="235"/>
      <c r="Y2471" s="228" t="str">
        <f t="shared" si="73"/>
        <v/>
      </c>
    </row>
    <row r="2472" spans="1:25" s="228" customFormat="1" ht="20.25">
      <c r="A2472" s="257"/>
      <c r="B2472" s="232" t="str">
        <f>IF(LEN(A2472)=0,"",INDEX('Smelter Reference List'!$A:$A,MATCH($A2472,'Smelter Reference List'!$E:$E,0)))</f>
        <v/>
      </c>
      <c r="C2472" s="297" t="str">
        <f>IF(LEN(A2472)=0,"",INDEX('Smelter Reference List'!$C:$C,MATCH($A2472,'Smelter Reference List'!$E:$E,0)))</f>
        <v/>
      </c>
      <c r="D2472" s="161" t="str">
        <f ca="1">IF(ISERROR($S2472),"",OFFSET('Smelter Reference List'!$C$4,$S2472-4,0)&amp;"")</f>
        <v/>
      </c>
      <c r="E2472" s="161" t="str">
        <f ca="1">IF(ISERROR($S2472),"",OFFSET('Smelter Reference List'!$D$4,$S2472-4,0)&amp;"")</f>
        <v/>
      </c>
      <c r="F2472" s="161" t="str">
        <f ca="1">IF(ISERROR($S2472),"",OFFSET('Smelter Reference List'!$E$4,$S2472-4,0))</f>
        <v/>
      </c>
      <c r="G2472" s="161" t="str">
        <f ca="1">IF(C2472=$U$4,"Enter smelter details", IF(ISERROR($S2472),"",OFFSET('Smelter Reference List'!$F$4,$S2472-4,0)))</f>
        <v/>
      </c>
      <c r="H2472" s="247" t="str">
        <f ca="1">IF(ISERROR($S2472),"",OFFSET('Smelter Reference List'!$G$4,$S2472-4,0))</f>
        <v/>
      </c>
      <c r="I2472" s="248" t="str">
        <f ca="1">IF(ISERROR($S2472),"",OFFSET('Smelter Reference List'!$H$4,$S2472-4,0))</f>
        <v/>
      </c>
      <c r="J2472" s="248" t="str">
        <f ca="1">IF(ISERROR($S2472),"",OFFSET('Smelter Reference List'!$I$4,$S2472-4,0))</f>
        <v/>
      </c>
      <c r="K2472" s="245"/>
      <c r="L2472" s="245"/>
      <c r="M2472" s="245"/>
      <c r="N2472" s="245"/>
      <c r="O2472" s="245"/>
      <c r="P2472" s="245"/>
      <c r="Q2472" s="246"/>
      <c r="R2472" s="233"/>
      <c r="S2472" s="234" t="e">
        <f>IF(C2472="",NA(),MATCH($B2472&amp;$C2472,'Smelter Reference List'!$J:$J,0))</f>
        <v>#N/A</v>
      </c>
      <c r="T2472" s="235"/>
      <c r="U2472" s="235">
        <f t="shared" ca="1" si="72"/>
        <v>0</v>
      </c>
      <c r="V2472" s="235"/>
      <c r="W2472" s="235"/>
      <c r="Y2472" s="228" t="str">
        <f t="shared" si="73"/>
        <v/>
      </c>
    </row>
    <row r="2473" spans="1:25" s="228" customFormat="1" ht="20.25">
      <c r="A2473" s="257"/>
      <c r="B2473" s="232" t="str">
        <f>IF(LEN(A2473)=0,"",INDEX('Smelter Reference List'!$A:$A,MATCH($A2473,'Smelter Reference List'!$E:$E,0)))</f>
        <v/>
      </c>
      <c r="C2473" s="297" t="str">
        <f>IF(LEN(A2473)=0,"",INDEX('Smelter Reference List'!$C:$C,MATCH($A2473,'Smelter Reference List'!$E:$E,0)))</f>
        <v/>
      </c>
      <c r="D2473" s="161" t="str">
        <f ca="1">IF(ISERROR($S2473),"",OFFSET('Smelter Reference List'!$C$4,$S2473-4,0)&amp;"")</f>
        <v/>
      </c>
      <c r="E2473" s="161" t="str">
        <f ca="1">IF(ISERROR($S2473),"",OFFSET('Smelter Reference List'!$D$4,$S2473-4,0)&amp;"")</f>
        <v/>
      </c>
      <c r="F2473" s="161" t="str">
        <f ca="1">IF(ISERROR($S2473),"",OFFSET('Smelter Reference List'!$E$4,$S2473-4,0))</f>
        <v/>
      </c>
      <c r="G2473" s="161" t="str">
        <f ca="1">IF(C2473=$U$4,"Enter smelter details", IF(ISERROR($S2473),"",OFFSET('Smelter Reference List'!$F$4,$S2473-4,0)))</f>
        <v/>
      </c>
      <c r="H2473" s="247" t="str">
        <f ca="1">IF(ISERROR($S2473),"",OFFSET('Smelter Reference List'!$G$4,$S2473-4,0))</f>
        <v/>
      </c>
      <c r="I2473" s="248" t="str">
        <f ca="1">IF(ISERROR($S2473),"",OFFSET('Smelter Reference List'!$H$4,$S2473-4,0))</f>
        <v/>
      </c>
      <c r="J2473" s="248" t="str">
        <f ca="1">IF(ISERROR($S2473),"",OFFSET('Smelter Reference List'!$I$4,$S2473-4,0))</f>
        <v/>
      </c>
      <c r="K2473" s="245"/>
      <c r="L2473" s="245"/>
      <c r="M2473" s="245"/>
      <c r="N2473" s="245"/>
      <c r="O2473" s="245"/>
      <c r="P2473" s="245"/>
      <c r="Q2473" s="246"/>
      <c r="R2473" s="233"/>
      <c r="S2473" s="234" t="e">
        <f>IF(C2473="",NA(),MATCH($B2473&amp;$C2473,'Smelter Reference List'!$J:$J,0))</f>
        <v>#N/A</v>
      </c>
      <c r="T2473" s="235"/>
      <c r="U2473" s="235">
        <f t="shared" ca="1" si="72"/>
        <v>0</v>
      </c>
      <c r="V2473" s="235"/>
      <c r="W2473" s="235"/>
      <c r="Y2473" s="228" t="str">
        <f t="shared" si="73"/>
        <v/>
      </c>
    </row>
    <row r="2474" spans="1:25" s="228" customFormat="1" ht="20.25">
      <c r="A2474" s="257"/>
      <c r="B2474" s="232" t="str">
        <f>IF(LEN(A2474)=0,"",INDEX('Smelter Reference List'!$A:$A,MATCH($A2474,'Smelter Reference List'!$E:$E,0)))</f>
        <v/>
      </c>
      <c r="C2474" s="297" t="str">
        <f>IF(LEN(A2474)=0,"",INDEX('Smelter Reference List'!$C:$C,MATCH($A2474,'Smelter Reference List'!$E:$E,0)))</f>
        <v/>
      </c>
      <c r="D2474" s="161" t="str">
        <f ca="1">IF(ISERROR($S2474),"",OFFSET('Smelter Reference List'!$C$4,$S2474-4,0)&amp;"")</f>
        <v/>
      </c>
      <c r="E2474" s="161" t="str">
        <f ca="1">IF(ISERROR($S2474),"",OFFSET('Smelter Reference List'!$D$4,$S2474-4,0)&amp;"")</f>
        <v/>
      </c>
      <c r="F2474" s="161" t="str">
        <f ca="1">IF(ISERROR($S2474),"",OFFSET('Smelter Reference List'!$E$4,$S2474-4,0))</f>
        <v/>
      </c>
      <c r="G2474" s="161" t="str">
        <f ca="1">IF(C2474=$U$4,"Enter smelter details", IF(ISERROR($S2474),"",OFFSET('Smelter Reference List'!$F$4,$S2474-4,0)))</f>
        <v/>
      </c>
      <c r="H2474" s="247" t="str">
        <f ca="1">IF(ISERROR($S2474),"",OFFSET('Smelter Reference List'!$G$4,$S2474-4,0))</f>
        <v/>
      </c>
      <c r="I2474" s="248" t="str">
        <f ca="1">IF(ISERROR($S2474),"",OFFSET('Smelter Reference List'!$H$4,$S2474-4,0))</f>
        <v/>
      </c>
      <c r="J2474" s="248" t="str">
        <f ca="1">IF(ISERROR($S2474),"",OFFSET('Smelter Reference List'!$I$4,$S2474-4,0))</f>
        <v/>
      </c>
      <c r="K2474" s="245"/>
      <c r="L2474" s="245"/>
      <c r="M2474" s="245"/>
      <c r="N2474" s="245"/>
      <c r="O2474" s="245"/>
      <c r="P2474" s="245"/>
      <c r="Q2474" s="246"/>
      <c r="R2474" s="233"/>
      <c r="S2474" s="234" t="e">
        <f>IF(C2474="",NA(),MATCH($B2474&amp;$C2474,'Smelter Reference List'!$J:$J,0))</f>
        <v>#N/A</v>
      </c>
      <c r="T2474" s="235"/>
      <c r="U2474" s="235">
        <f t="shared" ca="1" si="72"/>
        <v>0</v>
      </c>
      <c r="V2474" s="235"/>
      <c r="W2474" s="235"/>
      <c r="Y2474" s="228" t="str">
        <f t="shared" si="73"/>
        <v/>
      </c>
    </row>
    <row r="2475" spans="1:25" s="228" customFormat="1" ht="20.25">
      <c r="A2475" s="257"/>
      <c r="B2475" s="232" t="str">
        <f>IF(LEN(A2475)=0,"",INDEX('Smelter Reference List'!$A:$A,MATCH($A2475,'Smelter Reference List'!$E:$E,0)))</f>
        <v/>
      </c>
      <c r="C2475" s="297" t="str">
        <f>IF(LEN(A2475)=0,"",INDEX('Smelter Reference List'!$C:$C,MATCH($A2475,'Smelter Reference List'!$E:$E,0)))</f>
        <v/>
      </c>
      <c r="D2475" s="161" t="str">
        <f ca="1">IF(ISERROR($S2475),"",OFFSET('Smelter Reference List'!$C$4,$S2475-4,0)&amp;"")</f>
        <v/>
      </c>
      <c r="E2475" s="161" t="str">
        <f ca="1">IF(ISERROR($S2475),"",OFFSET('Smelter Reference List'!$D$4,$S2475-4,0)&amp;"")</f>
        <v/>
      </c>
      <c r="F2475" s="161" t="str">
        <f ca="1">IF(ISERROR($S2475),"",OFFSET('Smelter Reference List'!$E$4,$S2475-4,0))</f>
        <v/>
      </c>
      <c r="G2475" s="161" t="str">
        <f ca="1">IF(C2475=$U$4,"Enter smelter details", IF(ISERROR($S2475),"",OFFSET('Smelter Reference List'!$F$4,$S2475-4,0)))</f>
        <v/>
      </c>
      <c r="H2475" s="247" t="str">
        <f ca="1">IF(ISERROR($S2475),"",OFFSET('Smelter Reference List'!$G$4,$S2475-4,0))</f>
        <v/>
      </c>
      <c r="I2475" s="248" t="str">
        <f ca="1">IF(ISERROR($S2475),"",OFFSET('Smelter Reference List'!$H$4,$S2475-4,0))</f>
        <v/>
      </c>
      <c r="J2475" s="248" t="str">
        <f ca="1">IF(ISERROR($S2475),"",OFFSET('Smelter Reference List'!$I$4,$S2475-4,0))</f>
        <v/>
      </c>
      <c r="K2475" s="245"/>
      <c r="L2475" s="245"/>
      <c r="M2475" s="245"/>
      <c r="N2475" s="245"/>
      <c r="O2475" s="245"/>
      <c r="P2475" s="245"/>
      <c r="Q2475" s="246"/>
      <c r="R2475" s="233"/>
      <c r="S2475" s="234" t="e">
        <f>IF(C2475="",NA(),MATCH($B2475&amp;$C2475,'Smelter Reference List'!$J:$J,0))</f>
        <v>#N/A</v>
      </c>
      <c r="T2475" s="235"/>
      <c r="U2475" s="235">
        <f t="shared" ca="1" si="72"/>
        <v>0</v>
      </c>
      <c r="V2475" s="235"/>
      <c r="W2475" s="235"/>
      <c r="Y2475" s="228" t="str">
        <f t="shared" si="73"/>
        <v/>
      </c>
    </row>
    <row r="2476" spans="1:25" s="228" customFormat="1" ht="20.25">
      <c r="A2476" s="257"/>
      <c r="B2476" s="232" t="str">
        <f>IF(LEN(A2476)=0,"",INDEX('Smelter Reference List'!$A:$A,MATCH($A2476,'Smelter Reference List'!$E:$E,0)))</f>
        <v/>
      </c>
      <c r="C2476" s="297" t="str">
        <f>IF(LEN(A2476)=0,"",INDEX('Smelter Reference List'!$C:$C,MATCH($A2476,'Smelter Reference List'!$E:$E,0)))</f>
        <v/>
      </c>
      <c r="D2476" s="161" t="str">
        <f ca="1">IF(ISERROR($S2476),"",OFFSET('Smelter Reference List'!$C$4,$S2476-4,0)&amp;"")</f>
        <v/>
      </c>
      <c r="E2476" s="161" t="str">
        <f ca="1">IF(ISERROR($S2476),"",OFFSET('Smelter Reference List'!$D$4,$S2476-4,0)&amp;"")</f>
        <v/>
      </c>
      <c r="F2476" s="161" t="str">
        <f ca="1">IF(ISERROR($S2476),"",OFFSET('Smelter Reference List'!$E$4,$S2476-4,0))</f>
        <v/>
      </c>
      <c r="G2476" s="161" t="str">
        <f ca="1">IF(C2476=$U$4,"Enter smelter details", IF(ISERROR($S2476),"",OFFSET('Smelter Reference List'!$F$4,$S2476-4,0)))</f>
        <v/>
      </c>
      <c r="H2476" s="247" t="str">
        <f ca="1">IF(ISERROR($S2476),"",OFFSET('Smelter Reference List'!$G$4,$S2476-4,0))</f>
        <v/>
      </c>
      <c r="I2476" s="248" t="str">
        <f ca="1">IF(ISERROR($S2476),"",OFFSET('Smelter Reference List'!$H$4,$S2476-4,0))</f>
        <v/>
      </c>
      <c r="J2476" s="248" t="str">
        <f ca="1">IF(ISERROR($S2476),"",OFFSET('Smelter Reference List'!$I$4,$S2476-4,0))</f>
        <v/>
      </c>
      <c r="K2476" s="245"/>
      <c r="L2476" s="245"/>
      <c r="M2476" s="245"/>
      <c r="N2476" s="245"/>
      <c r="O2476" s="245"/>
      <c r="P2476" s="245"/>
      <c r="Q2476" s="246"/>
      <c r="R2476" s="233"/>
      <c r="S2476" s="234" t="e">
        <f>IF(C2476="",NA(),MATCH($B2476&amp;$C2476,'Smelter Reference List'!$J:$J,0))</f>
        <v>#N/A</v>
      </c>
      <c r="T2476" s="235"/>
      <c r="U2476" s="235">
        <f t="shared" ca="1" si="72"/>
        <v>0</v>
      </c>
      <c r="V2476" s="235"/>
      <c r="W2476" s="235"/>
      <c r="Y2476" s="228" t="str">
        <f t="shared" si="73"/>
        <v/>
      </c>
    </row>
    <row r="2477" spans="1:25" s="228" customFormat="1" ht="20.25">
      <c r="A2477" s="257"/>
      <c r="B2477" s="232" t="str">
        <f>IF(LEN(A2477)=0,"",INDEX('Smelter Reference List'!$A:$A,MATCH($A2477,'Smelter Reference List'!$E:$E,0)))</f>
        <v/>
      </c>
      <c r="C2477" s="297" t="str">
        <f>IF(LEN(A2477)=0,"",INDEX('Smelter Reference List'!$C:$C,MATCH($A2477,'Smelter Reference List'!$E:$E,0)))</f>
        <v/>
      </c>
      <c r="D2477" s="161" t="str">
        <f ca="1">IF(ISERROR($S2477),"",OFFSET('Smelter Reference List'!$C$4,$S2477-4,0)&amp;"")</f>
        <v/>
      </c>
      <c r="E2477" s="161" t="str">
        <f ca="1">IF(ISERROR($S2477),"",OFFSET('Smelter Reference List'!$D$4,$S2477-4,0)&amp;"")</f>
        <v/>
      </c>
      <c r="F2477" s="161" t="str">
        <f ca="1">IF(ISERROR($S2477),"",OFFSET('Smelter Reference List'!$E$4,$S2477-4,0))</f>
        <v/>
      </c>
      <c r="G2477" s="161" t="str">
        <f ca="1">IF(C2477=$U$4,"Enter smelter details", IF(ISERROR($S2477),"",OFFSET('Smelter Reference List'!$F$4,$S2477-4,0)))</f>
        <v/>
      </c>
      <c r="H2477" s="247" t="str">
        <f ca="1">IF(ISERROR($S2477),"",OFFSET('Smelter Reference List'!$G$4,$S2477-4,0))</f>
        <v/>
      </c>
      <c r="I2477" s="248" t="str">
        <f ca="1">IF(ISERROR($S2477),"",OFFSET('Smelter Reference List'!$H$4,$S2477-4,0))</f>
        <v/>
      </c>
      <c r="J2477" s="248" t="str">
        <f ca="1">IF(ISERROR($S2477),"",OFFSET('Smelter Reference List'!$I$4,$S2477-4,0))</f>
        <v/>
      </c>
      <c r="K2477" s="245"/>
      <c r="L2477" s="245"/>
      <c r="M2477" s="245"/>
      <c r="N2477" s="245"/>
      <c r="O2477" s="245"/>
      <c r="P2477" s="245"/>
      <c r="Q2477" s="246"/>
      <c r="R2477" s="233"/>
      <c r="S2477" s="234" t="e">
        <f>IF(C2477="",NA(),MATCH($B2477&amp;$C2477,'Smelter Reference List'!$J:$J,0))</f>
        <v>#N/A</v>
      </c>
      <c r="T2477" s="235"/>
      <c r="U2477" s="235">
        <f t="shared" ca="1" si="72"/>
        <v>0</v>
      </c>
      <c r="V2477" s="235"/>
      <c r="W2477" s="235"/>
      <c r="Y2477" s="228" t="str">
        <f t="shared" si="73"/>
        <v/>
      </c>
    </row>
    <row r="2478" spans="1:25" s="228" customFormat="1" ht="20.25">
      <c r="A2478" s="257"/>
      <c r="B2478" s="232" t="str">
        <f>IF(LEN(A2478)=0,"",INDEX('Smelter Reference List'!$A:$A,MATCH($A2478,'Smelter Reference List'!$E:$E,0)))</f>
        <v/>
      </c>
      <c r="C2478" s="297" t="str">
        <f>IF(LEN(A2478)=0,"",INDEX('Smelter Reference List'!$C:$C,MATCH($A2478,'Smelter Reference List'!$E:$E,0)))</f>
        <v/>
      </c>
      <c r="D2478" s="161" t="str">
        <f ca="1">IF(ISERROR($S2478),"",OFFSET('Smelter Reference List'!$C$4,$S2478-4,0)&amp;"")</f>
        <v/>
      </c>
      <c r="E2478" s="161" t="str">
        <f ca="1">IF(ISERROR($S2478),"",OFFSET('Smelter Reference List'!$D$4,$S2478-4,0)&amp;"")</f>
        <v/>
      </c>
      <c r="F2478" s="161" t="str">
        <f ca="1">IF(ISERROR($S2478),"",OFFSET('Smelter Reference List'!$E$4,$S2478-4,0))</f>
        <v/>
      </c>
      <c r="G2478" s="161" t="str">
        <f ca="1">IF(C2478=$U$4,"Enter smelter details", IF(ISERROR($S2478),"",OFFSET('Smelter Reference List'!$F$4,$S2478-4,0)))</f>
        <v/>
      </c>
      <c r="H2478" s="247" t="str">
        <f ca="1">IF(ISERROR($S2478),"",OFFSET('Smelter Reference List'!$G$4,$S2478-4,0))</f>
        <v/>
      </c>
      <c r="I2478" s="248" t="str">
        <f ca="1">IF(ISERROR($S2478),"",OFFSET('Smelter Reference List'!$H$4,$S2478-4,0))</f>
        <v/>
      </c>
      <c r="J2478" s="248" t="str">
        <f ca="1">IF(ISERROR($S2478),"",OFFSET('Smelter Reference List'!$I$4,$S2478-4,0))</f>
        <v/>
      </c>
      <c r="K2478" s="245"/>
      <c r="L2478" s="245"/>
      <c r="M2478" s="245"/>
      <c r="N2478" s="245"/>
      <c r="O2478" s="245"/>
      <c r="P2478" s="245"/>
      <c r="Q2478" s="246"/>
      <c r="R2478" s="233"/>
      <c r="S2478" s="234" t="e">
        <f>IF(C2478="",NA(),MATCH($B2478&amp;$C2478,'Smelter Reference List'!$J:$J,0))</f>
        <v>#N/A</v>
      </c>
      <c r="T2478" s="235"/>
      <c r="U2478" s="235">
        <f t="shared" ca="1" si="72"/>
        <v>0</v>
      </c>
      <c r="V2478" s="235"/>
      <c r="W2478" s="235"/>
      <c r="Y2478" s="228" t="str">
        <f t="shared" si="73"/>
        <v/>
      </c>
    </row>
    <row r="2479" spans="1:25" s="228" customFormat="1" ht="20.25">
      <c r="A2479" s="257"/>
      <c r="B2479" s="232" t="str">
        <f>IF(LEN(A2479)=0,"",INDEX('Smelter Reference List'!$A:$A,MATCH($A2479,'Smelter Reference List'!$E:$E,0)))</f>
        <v/>
      </c>
      <c r="C2479" s="297" t="str">
        <f>IF(LEN(A2479)=0,"",INDEX('Smelter Reference List'!$C:$C,MATCH($A2479,'Smelter Reference List'!$E:$E,0)))</f>
        <v/>
      </c>
      <c r="D2479" s="161" t="str">
        <f ca="1">IF(ISERROR($S2479),"",OFFSET('Smelter Reference List'!$C$4,$S2479-4,0)&amp;"")</f>
        <v/>
      </c>
      <c r="E2479" s="161" t="str">
        <f ca="1">IF(ISERROR($S2479),"",OFFSET('Smelter Reference List'!$D$4,$S2479-4,0)&amp;"")</f>
        <v/>
      </c>
      <c r="F2479" s="161" t="str">
        <f ca="1">IF(ISERROR($S2479),"",OFFSET('Smelter Reference List'!$E$4,$S2479-4,0))</f>
        <v/>
      </c>
      <c r="G2479" s="161" t="str">
        <f ca="1">IF(C2479=$U$4,"Enter smelter details", IF(ISERROR($S2479),"",OFFSET('Smelter Reference List'!$F$4,$S2479-4,0)))</f>
        <v/>
      </c>
      <c r="H2479" s="247" t="str">
        <f ca="1">IF(ISERROR($S2479),"",OFFSET('Smelter Reference List'!$G$4,$S2479-4,0))</f>
        <v/>
      </c>
      <c r="I2479" s="248" t="str">
        <f ca="1">IF(ISERROR($S2479),"",OFFSET('Smelter Reference List'!$H$4,$S2479-4,0))</f>
        <v/>
      </c>
      <c r="J2479" s="248" t="str">
        <f ca="1">IF(ISERROR($S2479),"",OFFSET('Smelter Reference List'!$I$4,$S2479-4,0))</f>
        <v/>
      </c>
      <c r="K2479" s="245"/>
      <c r="L2479" s="245"/>
      <c r="M2479" s="245"/>
      <c r="N2479" s="245"/>
      <c r="O2479" s="245"/>
      <c r="P2479" s="245"/>
      <c r="Q2479" s="246"/>
      <c r="R2479" s="233"/>
      <c r="S2479" s="234" t="e">
        <f>IF(C2479="",NA(),MATCH($B2479&amp;$C2479,'Smelter Reference List'!$J:$J,0))</f>
        <v>#N/A</v>
      </c>
      <c r="T2479" s="235"/>
      <c r="U2479" s="235">
        <f t="shared" ca="1" si="72"/>
        <v>0</v>
      </c>
      <c r="V2479" s="235"/>
      <c r="W2479" s="235"/>
      <c r="Y2479" s="228" t="str">
        <f t="shared" si="73"/>
        <v/>
      </c>
    </row>
    <row r="2480" spans="1:25" s="228" customFormat="1" ht="20.25">
      <c r="A2480" s="257"/>
      <c r="B2480" s="232" t="str">
        <f>IF(LEN(A2480)=0,"",INDEX('Smelter Reference List'!$A:$A,MATCH($A2480,'Smelter Reference List'!$E:$E,0)))</f>
        <v/>
      </c>
      <c r="C2480" s="297" t="str">
        <f>IF(LEN(A2480)=0,"",INDEX('Smelter Reference List'!$C:$C,MATCH($A2480,'Smelter Reference List'!$E:$E,0)))</f>
        <v/>
      </c>
      <c r="D2480" s="161" t="str">
        <f ca="1">IF(ISERROR($S2480),"",OFFSET('Smelter Reference List'!$C$4,$S2480-4,0)&amp;"")</f>
        <v/>
      </c>
      <c r="E2480" s="161" t="str">
        <f ca="1">IF(ISERROR($S2480),"",OFFSET('Smelter Reference List'!$D$4,$S2480-4,0)&amp;"")</f>
        <v/>
      </c>
      <c r="F2480" s="161" t="str">
        <f ca="1">IF(ISERROR($S2480),"",OFFSET('Smelter Reference List'!$E$4,$S2480-4,0))</f>
        <v/>
      </c>
      <c r="G2480" s="161" t="str">
        <f ca="1">IF(C2480=$U$4,"Enter smelter details", IF(ISERROR($S2480),"",OFFSET('Smelter Reference List'!$F$4,$S2480-4,0)))</f>
        <v/>
      </c>
      <c r="H2480" s="247" t="str">
        <f ca="1">IF(ISERROR($S2480),"",OFFSET('Smelter Reference List'!$G$4,$S2480-4,0))</f>
        <v/>
      </c>
      <c r="I2480" s="248" t="str">
        <f ca="1">IF(ISERROR($S2480),"",OFFSET('Smelter Reference List'!$H$4,$S2480-4,0))</f>
        <v/>
      </c>
      <c r="J2480" s="248" t="str">
        <f ca="1">IF(ISERROR($S2480),"",OFFSET('Smelter Reference List'!$I$4,$S2480-4,0))</f>
        <v/>
      </c>
      <c r="K2480" s="245"/>
      <c r="L2480" s="245"/>
      <c r="M2480" s="245"/>
      <c r="N2480" s="245"/>
      <c r="O2480" s="245"/>
      <c r="P2480" s="245"/>
      <c r="Q2480" s="246"/>
      <c r="R2480" s="233"/>
      <c r="S2480" s="234" t="e">
        <f>IF(C2480="",NA(),MATCH($B2480&amp;$C2480,'Smelter Reference List'!$J:$J,0))</f>
        <v>#N/A</v>
      </c>
      <c r="T2480" s="235"/>
      <c r="U2480" s="235">
        <f t="shared" ca="1" si="72"/>
        <v>0</v>
      </c>
      <c r="V2480" s="235"/>
      <c r="W2480" s="235"/>
      <c r="Y2480" s="228" t="str">
        <f t="shared" si="73"/>
        <v/>
      </c>
    </row>
    <row r="2481" spans="1:25" s="228" customFormat="1" ht="20.25">
      <c r="A2481" s="257"/>
      <c r="B2481" s="232" t="str">
        <f>IF(LEN(A2481)=0,"",INDEX('Smelter Reference List'!$A:$A,MATCH($A2481,'Smelter Reference List'!$E:$E,0)))</f>
        <v/>
      </c>
      <c r="C2481" s="297" t="str">
        <f>IF(LEN(A2481)=0,"",INDEX('Smelter Reference List'!$C:$C,MATCH($A2481,'Smelter Reference List'!$E:$E,0)))</f>
        <v/>
      </c>
      <c r="D2481" s="161" t="str">
        <f ca="1">IF(ISERROR($S2481),"",OFFSET('Smelter Reference List'!$C$4,$S2481-4,0)&amp;"")</f>
        <v/>
      </c>
      <c r="E2481" s="161" t="str">
        <f ca="1">IF(ISERROR($S2481),"",OFFSET('Smelter Reference List'!$D$4,$S2481-4,0)&amp;"")</f>
        <v/>
      </c>
      <c r="F2481" s="161" t="str">
        <f ca="1">IF(ISERROR($S2481),"",OFFSET('Smelter Reference List'!$E$4,$S2481-4,0))</f>
        <v/>
      </c>
      <c r="G2481" s="161" t="str">
        <f ca="1">IF(C2481=$U$4,"Enter smelter details", IF(ISERROR($S2481),"",OFFSET('Smelter Reference List'!$F$4,$S2481-4,0)))</f>
        <v/>
      </c>
      <c r="H2481" s="247" t="str">
        <f ca="1">IF(ISERROR($S2481),"",OFFSET('Smelter Reference List'!$G$4,$S2481-4,0))</f>
        <v/>
      </c>
      <c r="I2481" s="248" t="str">
        <f ca="1">IF(ISERROR($S2481),"",OFFSET('Smelter Reference List'!$H$4,$S2481-4,0))</f>
        <v/>
      </c>
      <c r="J2481" s="248" t="str">
        <f ca="1">IF(ISERROR($S2481),"",OFFSET('Smelter Reference List'!$I$4,$S2481-4,0))</f>
        <v/>
      </c>
      <c r="K2481" s="245"/>
      <c r="L2481" s="245"/>
      <c r="M2481" s="245"/>
      <c r="N2481" s="245"/>
      <c r="O2481" s="245"/>
      <c r="P2481" s="245"/>
      <c r="Q2481" s="246"/>
      <c r="R2481" s="233"/>
      <c r="S2481" s="234" t="e">
        <f>IF(C2481="",NA(),MATCH($B2481&amp;$C2481,'Smelter Reference List'!$J:$J,0))</f>
        <v>#N/A</v>
      </c>
      <c r="T2481" s="235"/>
      <c r="U2481" s="235">
        <f t="shared" ca="1" si="72"/>
        <v>0</v>
      </c>
      <c r="V2481" s="235"/>
      <c r="W2481" s="235"/>
      <c r="Y2481" s="228" t="str">
        <f t="shared" si="73"/>
        <v/>
      </c>
    </row>
    <row r="2482" spans="1:25" s="228" customFormat="1" ht="20.25">
      <c r="A2482" s="257"/>
      <c r="B2482" s="232" t="str">
        <f>IF(LEN(A2482)=0,"",INDEX('Smelter Reference List'!$A:$A,MATCH($A2482,'Smelter Reference List'!$E:$E,0)))</f>
        <v/>
      </c>
      <c r="C2482" s="297" t="str">
        <f>IF(LEN(A2482)=0,"",INDEX('Smelter Reference List'!$C:$C,MATCH($A2482,'Smelter Reference List'!$E:$E,0)))</f>
        <v/>
      </c>
      <c r="D2482" s="161" t="str">
        <f ca="1">IF(ISERROR($S2482),"",OFFSET('Smelter Reference List'!$C$4,$S2482-4,0)&amp;"")</f>
        <v/>
      </c>
      <c r="E2482" s="161" t="str">
        <f ca="1">IF(ISERROR($S2482),"",OFFSET('Smelter Reference List'!$D$4,$S2482-4,0)&amp;"")</f>
        <v/>
      </c>
      <c r="F2482" s="161" t="str">
        <f ca="1">IF(ISERROR($S2482),"",OFFSET('Smelter Reference List'!$E$4,$S2482-4,0))</f>
        <v/>
      </c>
      <c r="G2482" s="161" t="str">
        <f ca="1">IF(C2482=$U$4,"Enter smelter details", IF(ISERROR($S2482),"",OFFSET('Smelter Reference List'!$F$4,$S2482-4,0)))</f>
        <v/>
      </c>
      <c r="H2482" s="247" t="str">
        <f ca="1">IF(ISERROR($S2482),"",OFFSET('Smelter Reference List'!$G$4,$S2482-4,0))</f>
        <v/>
      </c>
      <c r="I2482" s="248" t="str">
        <f ca="1">IF(ISERROR($S2482),"",OFFSET('Smelter Reference List'!$H$4,$S2482-4,0))</f>
        <v/>
      </c>
      <c r="J2482" s="248" t="str">
        <f ca="1">IF(ISERROR($S2482),"",OFFSET('Smelter Reference List'!$I$4,$S2482-4,0))</f>
        <v/>
      </c>
      <c r="K2482" s="245"/>
      <c r="L2482" s="245"/>
      <c r="M2482" s="245"/>
      <c r="N2482" s="245"/>
      <c r="O2482" s="245"/>
      <c r="P2482" s="245"/>
      <c r="Q2482" s="246"/>
      <c r="R2482" s="233"/>
      <c r="S2482" s="234" t="e">
        <f>IF(C2482="",NA(),MATCH($B2482&amp;$C2482,'Smelter Reference List'!$J:$J,0))</f>
        <v>#N/A</v>
      </c>
      <c r="T2482" s="235"/>
      <c r="U2482" s="235">
        <f t="shared" ca="1" si="72"/>
        <v>0</v>
      </c>
      <c r="V2482" s="235"/>
      <c r="W2482" s="235"/>
      <c r="Y2482" s="228" t="str">
        <f t="shared" si="73"/>
        <v/>
      </c>
    </row>
    <row r="2483" spans="1:25" s="228" customFormat="1" ht="20.25">
      <c r="A2483" s="257"/>
      <c r="B2483" s="232" t="str">
        <f>IF(LEN(A2483)=0,"",INDEX('Smelter Reference List'!$A:$A,MATCH($A2483,'Smelter Reference List'!$E:$E,0)))</f>
        <v/>
      </c>
      <c r="C2483" s="297" t="str">
        <f>IF(LEN(A2483)=0,"",INDEX('Smelter Reference List'!$C:$C,MATCH($A2483,'Smelter Reference List'!$E:$E,0)))</f>
        <v/>
      </c>
      <c r="D2483" s="161" t="str">
        <f ca="1">IF(ISERROR($S2483),"",OFFSET('Smelter Reference List'!$C$4,$S2483-4,0)&amp;"")</f>
        <v/>
      </c>
      <c r="E2483" s="161" t="str">
        <f ca="1">IF(ISERROR($S2483),"",OFFSET('Smelter Reference List'!$D$4,$S2483-4,0)&amp;"")</f>
        <v/>
      </c>
      <c r="F2483" s="161" t="str">
        <f ca="1">IF(ISERROR($S2483),"",OFFSET('Smelter Reference List'!$E$4,$S2483-4,0))</f>
        <v/>
      </c>
      <c r="G2483" s="161" t="str">
        <f ca="1">IF(C2483=$U$4,"Enter smelter details", IF(ISERROR($S2483),"",OFFSET('Smelter Reference List'!$F$4,$S2483-4,0)))</f>
        <v/>
      </c>
      <c r="H2483" s="247" t="str">
        <f ca="1">IF(ISERROR($S2483),"",OFFSET('Smelter Reference List'!$G$4,$S2483-4,0))</f>
        <v/>
      </c>
      <c r="I2483" s="248" t="str">
        <f ca="1">IF(ISERROR($S2483),"",OFFSET('Smelter Reference List'!$H$4,$S2483-4,0))</f>
        <v/>
      </c>
      <c r="J2483" s="248" t="str">
        <f ca="1">IF(ISERROR($S2483),"",OFFSET('Smelter Reference List'!$I$4,$S2483-4,0))</f>
        <v/>
      </c>
      <c r="K2483" s="245"/>
      <c r="L2483" s="245"/>
      <c r="M2483" s="245"/>
      <c r="N2483" s="245"/>
      <c r="O2483" s="245"/>
      <c r="P2483" s="245"/>
      <c r="Q2483" s="246"/>
      <c r="R2483" s="233"/>
      <c r="S2483" s="234" t="e">
        <f>IF(C2483="",NA(),MATCH($B2483&amp;$C2483,'Smelter Reference List'!$J:$J,0))</f>
        <v>#N/A</v>
      </c>
      <c r="T2483" s="235"/>
      <c r="U2483" s="235">
        <f t="shared" ca="1" si="72"/>
        <v>0</v>
      </c>
      <c r="V2483" s="235"/>
      <c r="W2483" s="235"/>
      <c r="Y2483" s="228" t="str">
        <f t="shared" si="73"/>
        <v/>
      </c>
    </row>
    <row r="2484" spans="1:25" s="228" customFormat="1" ht="20.25">
      <c r="A2484" s="257"/>
      <c r="B2484" s="232" t="str">
        <f>IF(LEN(A2484)=0,"",INDEX('Smelter Reference List'!$A:$A,MATCH($A2484,'Smelter Reference List'!$E:$E,0)))</f>
        <v/>
      </c>
      <c r="C2484" s="297" t="str">
        <f>IF(LEN(A2484)=0,"",INDEX('Smelter Reference List'!$C:$C,MATCH($A2484,'Smelter Reference List'!$E:$E,0)))</f>
        <v/>
      </c>
      <c r="D2484" s="161" t="str">
        <f ca="1">IF(ISERROR($S2484),"",OFFSET('Smelter Reference List'!$C$4,$S2484-4,0)&amp;"")</f>
        <v/>
      </c>
      <c r="E2484" s="161" t="str">
        <f ca="1">IF(ISERROR($S2484),"",OFFSET('Smelter Reference List'!$D$4,$S2484-4,0)&amp;"")</f>
        <v/>
      </c>
      <c r="F2484" s="161" t="str">
        <f ca="1">IF(ISERROR($S2484),"",OFFSET('Smelter Reference List'!$E$4,$S2484-4,0))</f>
        <v/>
      </c>
      <c r="G2484" s="161" t="str">
        <f ca="1">IF(C2484=$U$4,"Enter smelter details", IF(ISERROR($S2484),"",OFFSET('Smelter Reference List'!$F$4,$S2484-4,0)))</f>
        <v/>
      </c>
      <c r="H2484" s="247" t="str">
        <f ca="1">IF(ISERROR($S2484),"",OFFSET('Smelter Reference List'!$G$4,$S2484-4,0))</f>
        <v/>
      </c>
      <c r="I2484" s="248" t="str">
        <f ca="1">IF(ISERROR($S2484),"",OFFSET('Smelter Reference List'!$H$4,$S2484-4,0))</f>
        <v/>
      </c>
      <c r="J2484" s="248" t="str">
        <f ca="1">IF(ISERROR($S2484),"",OFFSET('Smelter Reference List'!$I$4,$S2484-4,0))</f>
        <v/>
      </c>
      <c r="K2484" s="245"/>
      <c r="L2484" s="245"/>
      <c r="M2484" s="245"/>
      <c r="N2484" s="245"/>
      <c r="O2484" s="245"/>
      <c r="P2484" s="245"/>
      <c r="Q2484" s="246"/>
      <c r="R2484" s="233"/>
      <c r="S2484" s="234" t="e">
        <f>IF(C2484="",NA(),MATCH($B2484&amp;$C2484,'Smelter Reference List'!$J:$J,0))</f>
        <v>#N/A</v>
      </c>
      <c r="T2484" s="235"/>
      <c r="U2484" s="235">
        <f t="shared" ca="1" si="72"/>
        <v>0</v>
      </c>
      <c r="V2484" s="235"/>
      <c r="W2484" s="235"/>
      <c r="Y2484" s="228" t="str">
        <f t="shared" si="73"/>
        <v/>
      </c>
    </row>
    <row r="2485" spans="1:25" s="228" customFormat="1" ht="20.25">
      <c r="A2485" s="257"/>
      <c r="B2485" s="232" t="str">
        <f>IF(LEN(A2485)=0,"",INDEX('Smelter Reference List'!$A:$A,MATCH($A2485,'Smelter Reference List'!$E:$E,0)))</f>
        <v/>
      </c>
      <c r="C2485" s="297" t="str">
        <f>IF(LEN(A2485)=0,"",INDEX('Smelter Reference List'!$C:$C,MATCH($A2485,'Smelter Reference List'!$E:$E,0)))</f>
        <v/>
      </c>
      <c r="D2485" s="161" t="str">
        <f ca="1">IF(ISERROR($S2485),"",OFFSET('Smelter Reference List'!$C$4,$S2485-4,0)&amp;"")</f>
        <v/>
      </c>
      <c r="E2485" s="161" t="str">
        <f ca="1">IF(ISERROR($S2485),"",OFFSET('Smelter Reference List'!$D$4,$S2485-4,0)&amp;"")</f>
        <v/>
      </c>
      <c r="F2485" s="161" t="str">
        <f ca="1">IF(ISERROR($S2485),"",OFFSET('Smelter Reference List'!$E$4,$S2485-4,0))</f>
        <v/>
      </c>
      <c r="G2485" s="161" t="str">
        <f ca="1">IF(C2485=$U$4,"Enter smelter details", IF(ISERROR($S2485),"",OFFSET('Smelter Reference List'!$F$4,$S2485-4,0)))</f>
        <v/>
      </c>
      <c r="H2485" s="247" t="str">
        <f ca="1">IF(ISERROR($S2485),"",OFFSET('Smelter Reference List'!$G$4,$S2485-4,0))</f>
        <v/>
      </c>
      <c r="I2485" s="248" t="str">
        <f ca="1">IF(ISERROR($S2485),"",OFFSET('Smelter Reference List'!$H$4,$S2485-4,0))</f>
        <v/>
      </c>
      <c r="J2485" s="248" t="str">
        <f ca="1">IF(ISERROR($S2485),"",OFFSET('Smelter Reference List'!$I$4,$S2485-4,0))</f>
        <v/>
      </c>
      <c r="K2485" s="245"/>
      <c r="L2485" s="245"/>
      <c r="M2485" s="245"/>
      <c r="N2485" s="245"/>
      <c r="O2485" s="245"/>
      <c r="P2485" s="245"/>
      <c r="Q2485" s="246"/>
      <c r="R2485" s="233"/>
      <c r="S2485" s="234" t="e">
        <f>IF(C2485="",NA(),MATCH($B2485&amp;$C2485,'Smelter Reference List'!$J:$J,0))</f>
        <v>#N/A</v>
      </c>
      <c r="T2485" s="235"/>
      <c r="U2485" s="235">
        <f t="shared" ca="1" si="72"/>
        <v>0</v>
      </c>
      <c r="V2485" s="235"/>
      <c r="W2485" s="235"/>
      <c r="Y2485" s="228" t="str">
        <f t="shared" si="73"/>
        <v/>
      </c>
    </row>
    <row r="2486" spans="1:25" s="228" customFormat="1" ht="20.25">
      <c r="A2486" s="257"/>
      <c r="B2486" s="232" t="str">
        <f>IF(LEN(A2486)=0,"",INDEX('Smelter Reference List'!$A:$A,MATCH($A2486,'Smelter Reference List'!$E:$E,0)))</f>
        <v/>
      </c>
      <c r="C2486" s="297" t="str">
        <f>IF(LEN(A2486)=0,"",INDEX('Smelter Reference List'!$C:$C,MATCH($A2486,'Smelter Reference List'!$E:$E,0)))</f>
        <v/>
      </c>
      <c r="D2486" s="161" t="str">
        <f ca="1">IF(ISERROR($S2486),"",OFFSET('Smelter Reference List'!$C$4,$S2486-4,0)&amp;"")</f>
        <v/>
      </c>
      <c r="E2486" s="161" t="str">
        <f ca="1">IF(ISERROR($S2486),"",OFFSET('Smelter Reference List'!$D$4,$S2486-4,0)&amp;"")</f>
        <v/>
      </c>
      <c r="F2486" s="161" t="str">
        <f ca="1">IF(ISERROR($S2486),"",OFFSET('Smelter Reference List'!$E$4,$S2486-4,0))</f>
        <v/>
      </c>
      <c r="G2486" s="161" t="str">
        <f ca="1">IF(C2486=$U$4,"Enter smelter details", IF(ISERROR($S2486),"",OFFSET('Smelter Reference List'!$F$4,$S2486-4,0)))</f>
        <v/>
      </c>
      <c r="H2486" s="247" t="str">
        <f ca="1">IF(ISERROR($S2486),"",OFFSET('Smelter Reference List'!$G$4,$S2486-4,0))</f>
        <v/>
      </c>
      <c r="I2486" s="248" t="str">
        <f ca="1">IF(ISERROR($S2486),"",OFFSET('Smelter Reference List'!$H$4,$S2486-4,0))</f>
        <v/>
      </c>
      <c r="J2486" s="248" t="str">
        <f ca="1">IF(ISERROR($S2486),"",OFFSET('Smelter Reference List'!$I$4,$S2486-4,0))</f>
        <v/>
      </c>
      <c r="K2486" s="245"/>
      <c r="L2486" s="245"/>
      <c r="M2486" s="245"/>
      <c r="N2486" s="245"/>
      <c r="O2486" s="245"/>
      <c r="P2486" s="245"/>
      <c r="Q2486" s="246"/>
      <c r="R2486" s="233"/>
      <c r="S2486" s="234" t="e">
        <f>IF(C2486="",NA(),MATCH($B2486&amp;$C2486,'Smelter Reference List'!$J:$J,0))</f>
        <v>#N/A</v>
      </c>
      <c r="T2486" s="235"/>
      <c r="U2486" s="235">
        <f t="shared" ca="1" si="72"/>
        <v>0</v>
      </c>
      <c r="V2486" s="235"/>
      <c r="W2486" s="235"/>
      <c r="Y2486" s="228" t="str">
        <f t="shared" si="73"/>
        <v/>
      </c>
    </row>
    <row r="2487" spans="1:25" s="228" customFormat="1" ht="20.25">
      <c r="A2487" s="257"/>
      <c r="B2487" s="232" t="str">
        <f>IF(LEN(A2487)=0,"",INDEX('Smelter Reference List'!$A:$A,MATCH($A2487,'Smelter Reference List'!$E:$E,0)))</f>
        <v/>
      </c>
      <c r="C2487" s="297" t="str">
        <f>IF(LEN(A2487)=0,"",INDEX('Smelter Reference List'!$C:$C,MATCH($A2487,'Smelter Reference List'!$E:$E,0)))</f>
        <v/>
      </c>
      <c r="D2487" s="161" t="str">
        <f ca="1">IF(ISERROR($S2487),"",OFFSET('Smelter Reference List'!$C$4,$S2487-4,0)&amp;"")</f>
        <v/>
      </c>
      <c r="E2487" s="161" t="str">
        <f ca="1">IF(ISERROR($S2487),"",OFFSET('Smelter Reference List'!$D$4,$S2487-4,0)&amp;"")</f>
        <v/>
      </c>
      <c r="F2487" s="161" t="str">
        <f ca="1">IF(ISERROR($S2487),"",OFFSET('Smelter Reference List'!$E$4,$S2487-4,0))</f>
        <v/>
      </c>
      <c r="G2487" s="161" t="str">
        <f ca="1">IF(C2487=$U$4,"Enter smelter details", IF(ISERROR($S2487),"",OFFSET('Smelter Reference List'!$F$4,$S2487-4,0)))</f>
        <v/>
      </c>
      <c r="H2487" s="247" t="str">
        <f ca="1">IF(ISERROR($S2487),"",OFFSET('Smelter Reference List'!$G$4,$S2487-4,0))</f>
        <v/>
      </c>
      <c r="I2487" s="248" t="str">
        <f ca="1">IF(ISERROR($S2487),"",OFFSET('Smelter Reference List'!$H$4,$S2487-4,0))</f>
        <v/>
      </c>
      <c r="J2487" s="248" t="str">
        <f ca="1">IF(ISERROR($S2487),"",OFFSET('Smelter Reference List'!$I$4,$S2487-4,0))</f>
        <v/>
      </c>
      <c r="K2487" s="245"/>
      <c r="L2487" s="245"/>
      <c r="M2487" s="245"/>
      <c r="N2487" s="245"/>
      <c r="O2487" s="245"/>
      <c r="P2487" s="245"/>
      <c r="Q2487" s="246"/>
      <c r="R2487" s="233"/>
      <c r="S2487" s="234" t="e">
        <f>IF(C2487="",NA(),MATCH($B2487&amp;$C2487,'Smelter Reference List'!$J:$J,0))</f>
        <v>#N/A</v>
      </c>
      <c r="T2487" s="235"/>
      <c r="U2487" s="235">
        <f t="shared" ca="1" si="72"/>
        <v>0</v>
      </c>
      <c r="V2487" s="235"/>
      <c r="W2487" s="235"/>
      <c r="Y2487" s="228" t="str">
        <f t="shared" si="73"/>
        <v/>
      </c>
    </row>
    <row r="2488" spans="1:25" s="228" customFormat="1" ht="20.25">
      <c r="A2488" s="257"/>
      <c r="B2488" s="232" t="str">
        <f>IF(LEN(A2488)=0,"",INDEX('Smelter Reference List'!$A:$A,MATCH($A2488,'Smelter Reference List'!$E:$E,0)))</f>
        <v/>
      </c>
      <c r="C2488" s="297" t="str">
        <f>IF(LEN(A2488)=0,"",INDEX('Smelter Reference List'!$C:$C,MATCH($A2488,'Smelter Reference List'!$E:$E,0)))</f>
        <v/>
      </c>
      <c r="D2488" s="161" t="str">
        <f ca="1">IF(ISERROR($S2488),"",OFFSET('Smelter Reference List'!$C$4,$S2488-4,0)&amp;"")</f>
        <v/>
      </c>
      <c r="E2488" s="161" t="str">
        <f ca="1">IF(ISERROR($S2488),"",OFFSET('Smelter Reference List'!$D$4,$S2488-4,0)&amp;"")</f>
        <v/>
      </c>
      <c r="F2488" s="161" t="str">
        <f ca="1">IF(ISERROR($S2488),"",OFFSET('Smelter Reference List'!$E$4,$S2488-4,0))</f>
        <v/>
      </c>
      <c r="G2488" s="161" t="str">
        <f ca="1">IF(C2488=$U$4,"Enter smelter details", IF(ISERROR($S2488),"",OFFSET('Smelter Reference List'!$F$4,$S2488-4,0)))</f>
        <v/>
      </c>
      <c r="H2488" s="247" t="str">
        <f ca="1">IF(ISERROR($S2488),"",OFFSET('Smelter Reference List'!$G$4,$S2488-4,0))</f>
        <v/>
      </c>
      <c r="I2488" s="248" t="str">
        <f ca="1">IF(ISERROR($S2488),"",OFFSET('Smelter Reference List'!$H$4,$S2488-4,0))</f>
        <v/>
      </c>
      <c r="J2488" s="248" t="str">
        <f ca="1">IF(ISERROR($S2488),"",OFFSET('Smelter Reference List'!$I$4,$S2488-4,0))</f>
        <v/>
      </c>
      <c r="K2488" s="245"/>
      <c r="L2488" s="245"/>
      <c r="M2488" s="245"/>
      <c r="N2488" s="245"/>
      <c r="O2488" s="245"/>
      <c r="P2488" s="245"/>
      <c r="Q2488" s="246"/>
      <c r="R2488" s="233"/>
      <c r="S2488" s="234" t="e">
        <f>IF(C2488="",NA(),MATCH($B2488&amp;$C2488,'Smelter Reference List'!$J:$J,0))</f>
        <v>#N/A</v>
      </c>
      <c r="T2488" s="235"/>
      <c r="U2488" s="235">
        <f t="shared" ca="1" si="72"/>
        <v>0</v>
      </c>
      <c r="V2488" s="235"/>
      <c r="W2488" s="235"/>
      <c r="Y2488" s="228" t="str">
        <f t="shared" si="73"/>
        <v/>
      </c>
    </row>
    <row r="2489" spans="1:25" s="228" customFormat="1" ht="20.25">
      <c r="A2489" s="257"/>
      <c r="B2489" s="232" t="str">
        <f>IF(LEN(A2489)=0,"",INDEX('Smelter Reference List'!$A:$A,MATCH($A2489,'Smelter Reference List'!$E:$E,0)))</f>
        <v/>
      </c>
      <c r="C2489" s="297" t="str">
        <f>IF(LEN(A2489)=0,"",INDEX('Smelter Reference List'!$C:$C,MATCH($A2489,'Smelter Reference List'!$E:$E,0)))</f>
        <v/>
      </c>
      <c r="D2489" s="161" t="str">
        <f ca="1">IF(ISERROR($S2489),"",OFFSET('Smelter Reference List'!$C$4,$S2489-4,0)&amp;"")</f>
        <v/>
      </c>
      <c r="E2489" s="161" t="str">
        <f ca="1">IF(ISERROR($S2489),"",OFFSET('Smelter Reference List'!$D$4,$S2489-4,0)&amp;"")</f>
        <v/>
      </c>
      <c r="F2489" s="161" t="str">
        <f ca="1">IF(ISERROR($S2489),"",OFFSET('Smelter Reference List'!$E$4,$S2489-4,0))</f>
        <v/>
      </c>
      <c r="G2489" s="161" t="str">
        <f ca="1">IF(C2489=$U$4,"Enter smelter details", IF(ISERROR($S2489),"",OFFSET('Smelter Reference List'!$F$4,$S2489-4,0)))</f>
        <v/>
      </c>
      <c r="H2489" s="247" t="str">
        <f ca="1">IF(ISERROR($S2489),"",OFFSET('Smelter Reference List'!$G$4,$S2489-4,0))</f>
        <v/>
      </c>
      <c r="I2489" s="248" t="str">
        <f ca="1">IF(ISERROR($S2489),"",OFFSET('Smelter Reference List'!$H$4,$S2489-4,0))</f>
        <v/>
      </c>
      <c r="J2489" s="248" t="str">
        <f ca="1">IF(ISERROR($S2489),"",OFFSET('Smelter Reference List'!$I$4,$S2489-4,0))</f>
        <v/>
      </c>
      <c r="K2489" s="245"/>
      <c r="L2489" s="245"/>
      <c r="M2489" s="245"/>
      <c r="N2489" s="245"/>
      <c r="O2489" s="245"/>
      <c r="P2489" s="245"/>
      <c r="Q2489" s="246"/>
      <c r="R2489" s="233"/>
      <c r="S2489" s="234" t="e">
        <f>IF(C2489="",NA(),MATCH($B2489&amp;$C2489,'Smelter Reference List'!$J:$J,0))</f>
        <v>#N/A</v>
      </c>
      <c r="T2489" s="235"/>
      <c r="U2489" s="235">
        <f t="shared" ca="1" si="72"/>
        <v>0</v>
      </c>
      <c r="V2489" s="235"/>
      <c r="W2489" s="235"/>
      <c r="Y2489" s="228" t="str">
        <f t="shared" si="73"/>
        <v/>
      </c>
    </row>
    <row r="2490" spans="1:25" s="228" customFormat="1" ht="20.25">
      <c r="A2490" s="257"/>
      <c r="B2490" s="232" t="str">
        <f>IF(LEN(A2490)=0,"",INDEX('Smelter Reference List'!$A:$A,MATCH($A2490,'Smelter Reference List'!$E:$E,0)))</f>
        <v/>
      </c>
      <c r="C2490" s="297" t="str">
        <f>IF(LEN(A2490)=0,"",INDEX('Smelter Reference List'!$C:$C,MATCH($A2490,'Smelter Reference List'!$E:$E,0)))</f>
        <v/>
      </c>
      <c r="D2490" s="161" t="str">
        <f ca="1">IF(ISERROR($S2490),"",OFFSET('Smelter Reference List'!$C$4,$S2490-4,0)&amp;"")</f>
        <v/>
      </c>
      <c r="E2490" s="161" t="str">
        <f ca="1">IF(ISERROR($S2490),"",OFFSET('Smelter Reference List'!$D$4,$S2490-4,0)&amp;"")</f>
        <v/>
      </c>
      <c r="F2490" s="161" t="str">
        <f ca="1">IF(ISERROR($S2490),"",OFFSET('Smelter Reference List'!$E$4,$S2490-4,0))</f>
        <v/>
      </c>
      <c r="G2490" s="161" t="str">
        <f ca="1">IF(C2490=$U$4,"Enter smelter details", IF(ISERROR($S2490),"",OFFSET('Smelter Reference List'!$F$4,$S2490-4,0)))</f>
        <v/>
      </c>
      <c r="H2490" s="247" t="str">
        <f ca="1">IF(ISERROR($S2490),"",OFFSET('Smelter Reference List'!$G$4,$S2490-4,0))</f>
        <v/>
      </c>
      <c r="I2490" s="248" t="str">
        <f ca="1">IF(ISERROR($S2490),"",OFFSET('Smelter Reference List'!$H$4,$S2490-4,0))</f>
        <v/>
      </c>
      <c r="J2490" s="248" t="str">
        <f ca="1">IF(ISERROR($S2490),"",OFFSET('Smelter Reference List'!$I$4,$S2490-4,0))</f>
        <v/>
      </c>
      <c r="K2490" s="245"/>
      <c r="L2490" s="245"/>
      <c r="M2490" s="245"/>
      <c r="N2490" s="245"/>
      <c r="O2490" s="245"/>
      <c r="P2490" s="245"/>
      <c r="Q2490" s="246"/>
      <c r="R2490" s="233"/>
      <c r="S2490" s="234" t="e">
        <f>IF(C2490="",NA(),MATCH($B2490&amp;$C2490,'Smelter Reference List'!$J:$J,0))</f>
        <v>#N/A</v>
      </c>
      <c r="T2490" s="235"/>
      <c r="U2490" s="235">
        <f t="shared" ca="1" si="72"/>
        <v>0</v>
      </c>
      <c r="V2490" s="235"/>
      <c r="W2490" s="235"/>
      <c r="Y2490" s="228" t="str">
        <f t="shared" si="73"/>
        <v/>
      </c>
    </row>
    <row r="2491" spans="1:25" s="228" customFormat="1" ht="20.25">
      <c r="A2491" s="257"/>
      <c r="B2491" s="232" t="str">
        <f>IF(LEN(A2491)=0,"",INDEX('Smelter Reference List'!$A:$A,MATCH($A2491,'Smelter Reference List'!$E:$E,0)))</f>
        <v/>
      </c>
      <c r="C2491" s="297" t="str">
        <f>IF(LEN(A2491)=0,"",INDEX('Smelter Reference List'!$C:$C,MATCH($A2491,'Smelter Reference List'!$E:$E,0)))</f>
        <v/>
      </c>
      <c r="D2491" s="161" t="str">
        <f ca="1">IF(ISERROR($S2491),"",OFFSET('Smelter Reference List'!$C$4,$S2491-4,0)&amp;"")</f>
        <v/>
      </c>
      <c r="E2491" s="161" t="str">
        <f ca="1">IF(ISERROR($S2491),"",OFFSET('Smelter Reference List'!$D$4,$S2491-4,0)&amp;"")</f>
        <v/>
      </c>
      <c r="F2491" s="161" t="str">
        <f ca="1">IF(ISERROR($S2491),"",OFFSET('Smelter Reference List'!$E$4,$S2491-4,0))</f>
        <v/>
      </c>
      <c r="G2491" s="161" t="str">
        <f ca="1">IF(C2491=$U$4,"Enter smelter details", IF(ISERROR($S2491),"",OFFSET('Smelter Reference List'!$F$4,$S2491-4,0)))</f>
        <v/>
      </c>
      <c r="H2491" s="247" t="str">
        <f ca="1">IF(ISERROR($S2491),"",OFFSET('Smelter Reference List'!$G$4,$S2491-4,0))</f>
        <v/>
      </c>
      <c r="I2491" s="248" t="str">
        <f ca="1">IF(ISERROR($S2491),"",OFFSET('Smelter Reference List'!$H$4,$S2491-4,0))</f>
        <v/>
      </c>
      <c r="J2491" s="248" t="str">
        <f ca="1">IF(ISERROR($S2491),"",OFFSET('Smelter Reference List'!$I$4,$S2491-4,0))</f>
        <v/>
      </c>
      <c r="K2491" s="245"/>
      <c r="L2491" s="245"/>
      <c r="M2491" s="245"/>
      <c r="N2491" s="245"/>
      <c r="O2491" s="245"/>
      <c r="P2491" s="245"/>
      <c r="Q2491" s="246"/>
      <c r="R2491" s="233"/>
      <c r="S2491" s="234" t="e">
        <f>IF(C2491="",NA(),MATCH($B2491&amp;$C2491,'Smelter Reference List'!$J:$J,0))</f>
        <v>#N/A</v>
      </c>
      <c r="T2491" s="235"/>
      <c r="U2491" s="235">
        <f t="shared" ca="1" si="72"/>
        <v>0</v>
      </c>
      <c r="V2491" s="235"/>
      <c r="W2491" s="235"/>
      <c r="Y2491" s="228" t="str">
        <f t="shared" si="73"/>
        <v/>
      </c>
    </row>
    <row r="2492" spans="1:25" s="228" customFormat="1" ht="20.25">
      <c r="A2492" s="257"/>
      <c r="B2492" s="232" t="str">
        <f>IF(LEN(A2492)=0,"",INDEX('Smelter Reference List'!$A:$A,MATCH($A2492,'Smelter Reference List'!$E:$E,0)))</f>
        <v/>
      </c>
      <c r="C2492" s="297" t="str">
        <f>IF(LEN(A2492)=0,"",INDEX('Smelter Reference List'!$C:$C,MATCH($A2492,'Smelter Reference List'!$E:$E,0)))</f>
        <v/>
      </c>
      <c r="D2492" s="161" t="str">
        <f ca="1">IF(ISERROR($S2492),"",OFFSET('Smelter Reference List'!$C$4,$S2492-4,0)&amp;"")</f>
        <v/>
      </c>
      <c r="E2492" s="161" t="str">
        <f ca="1">IF(ISERROR($S2492),"",OFFSET('Smelter Reference List'!$D$4,$S2492-4,0)&amp;"")</f>
        <v/>
      </c>
      <c r="F2492" s="161" t="str">
        <f ca="1">IF(ISERROR($S2492),"",OFFSET('Smelter Reference List'!$E$4,$S2492-4,0))</f>
        <v/>
      </c>
      <c r="G2492" s="161" t="str">
        <f ca="1">IF(C2492=$U$4,"Enter smelter details", IF(ISERROR($S2492),"",OFFSET('Smelter Reference List'!$F$4,$S2492-4,0)))</f>
        <v/>
      </c>
      <c r="H2492" s="247" t="str">
        <f ca="1">IF(ISERROR($S2492),"",OFFSET('Smelter Reference List'!$G$4,$S2492-4,0))</f>
        <v/>
      </c>
      <c r="I2492" s="248" t="str">
        <f ca="1">IF(ISERROR($S2492),"",OFFSET('Smelter Reference List'!$H$4,$S2492-4,0))</f>
        <v/>
      </c>
      <c r="J2492" s="248" t="str">
        <f ca="1">IF(ISERROR($S2492),"",OFFSET('Smelter Reference List'!$I$4,$S2492-4,0))</f>
        <v/>
      </c>
      <c r="K2492" s="245"/>
      <c r="L2492" s="245"/>
      <c r="M2492" s="245"/>
      <c r="N2492" s="245"/>
      <c r="O2492" s="245"/>
      <c r="P2492" s="245"/>
      <c r="Q2492" s="246"/>
      <c r="R2492" s="233"/>
      <c r="S2492" s="234" t="e">
        <f>IF(C2492="",NA(),MATCH($B2492&amp;$C2492,'Smelter Reference List'!$J:$J,0))</f>
        <v>#N/A</v>
      </c>
      <c r="T2492" s="235"/>
      <c r="U2492" s="235">
        <f t="shared" ca="1" si="72"/>
        <v>0</v>
      </c>
      <c r="V2492" s="235"/>
      <c r="W2492" s="235"/>
      <c r="Y2492" s="228" t="str">
        <f t="shared" si="73"/>
        <v/>
      </c>
    </row>
    <row r="2493" spans="1:25" s="228" customFormat="1" ht="20.25">
      <c r="A2493" s="257"/>
      <c r="B2493" s="232" t="str">
        <f>IF(LEN(A2493)=0,"",INDEX('Smelter Reference List'!$A:$A,MATCH($A2493,'Smelter Reference List'!$E:$E,0)))</f>
        <v/>
      </c>
      <c r="C2493" s="297" t="str">
        <f>IF(LEN(A2493)=0,"",INDEX('Smelter Reference List'!$C:$C,MATCH($A2493,'Smelter Reference List'!$E:$E,0)))</f>
        <v/>
      </c>
      <c r="D2493" s="161" t="str">
        <f ca="1">IF(ISERROR($S2493),"",OFFSET('Smelter Reference List'!$C$4,$S2493-4,0)&amp;"")</f>
        <v/>
      </c>
      <c r="E2493" s="161" t="str">
        <f ca="1">IF(ISERROR($S2493),"",OFFSET('Smelter Reference List'!$D$4,$S2493-4,0)&amp;"")</f>
        <v/>
      </c>
      <c r="F2493" s="161" t="str">
        <f ca="1">IF(ISERROR($S2493),"",OFFSET('Smelter Reference List'!$E$4,$S2493-4,0))</f>
        <v/>
      </c>
      <c r="G2493" s="161" t="str">
        <f ca="1">IF(C2493=$U$4,"Enter smelter details", IF(ISERROR($S2493),"",OFFSET('Smelter Reference List'!$F$4,$S2493-4,0)))</f>
        <v/>
      </c>
      <c r="H2493" s="247" t="str">
        <f ca="1">IF(ISERROR($S2493),"",OFFSET('Smelter Reference List'!$G$4,$S2493-4,0))</f>
        <v/>
      </c>
      <c r="I2493" s="248" t="str">
        <f ca="1">IF(ISERROR($S2493),"",OFFSET('Smelter Reference List'!$H$4,$S2493-4,0))</f>
        <v/>
      </c>
      <c r="J2493" s="248" t="str">
        <f ca="1">IF(ISERROR($S2493),"",OFFSET('Smelter Reference List'!$I$4,$S2493-4,0))</f>
        <v/>
      </c>
      <c r="K2493" s="245"/>
      <c r="L2493" s="245"/>
      <c r="M2493" s="245"/>
      <c r="N2493" s="245"/>
      <c r="O2493" s="245"/>
      <c r="P2493" s="245"/>
      <c r="Q2493" s="246"/>
      <c r="R2493" s="233"/>
      <c r="S2493" s="234" t="e">
        <f>IF(C2493="",NA(),MATCH($B2493&amp;$C2493,'Smelter Reference List'!$J:$J,0))</f>
        <v>#N/A</v>
      </c>
      <c r="T2493" s="235"/>
      <c r="U2493" s="235">
        <f t="shared" ca="1" si="72"/>
        <v>0</v>
      </c>
      <c r="V2493" s="235"/>
      <c r="W2493" s="235"/>
      <c r="Y2493" s="228" t="str">
        <f t="shared" si="73"/>
        <v/>
      </c>
    </row>
    <row r="2494" spans="1:25" s="228" customFormat="1" ht="20.25">
      <c r="A2494" s="257"/>
      <c r="B2494" s="232" t="str">
        <f>IF(LEN(A2494)=0,"",INDEX('Smelter Reference List'!$A:$A,MATCH($A2494,'Smelter Reference List'!$E:$E,0)))</f>
        <v/>
      </c>
      <c r="C2494" s="297" t="str">
        <f>IF(LEN(A2494)=0,"",INDEX('Smelter Reference List'!$C:$C,MATCH($A2494,'Smelter Reference List'!$E:$E,0)))</f>
        <v/>
      </c>
      <c r="D2494" s="161" t="str">
        <f ca="1">IF(ISERROR($S2494),"",OFFSET('Smelter Reference List'!$C$4,$S2494-4,0)&amp;"")</f>
        <v/>
      </c>
      <c r="E2494" s="161" t="str">
        <f ca="1">IF(ISERROR($S2494),"",OFFSET('Smelter Reference List'!$D$4,$S2494-4,0)&amp;"")</f>
        <v/>
      </c>
      <c r="F2494" s="161" t="str">
        <f ca="1">IF(ISERROR($S2494),"",OFFSET('Smelter Reference List'!$E$4,$S2494-4,0))</f>
        <v/>
      </c>
      <c r="G2494" s="161" t="str">
        <f ca="1">IF(C2494=$U$4,"Enter smelter details", IF(ISERROR($S2494),"",OFFSET('Smelter Reference List'!$F$4,$S2494-4,0)))</f>
        <v/>
      </c>
      <c r="H2494" s="247" t="str">
        <f ca="1">IF(ISERROR($S2494),"",OFFSET('Smelter Reference List'!$G$4,$S2494-4,0))</f>
        <v/>
      </c>
      <c r="I2494" s="248" t="str">
        <f ca="1">IF(ISERROR($S2494),"",OFFSET('Smelter Reference List'!$H$4,$S2494-4,0))</f>
        <v/>
      </c>
      <c r="J2494" s="248" t="str">
        <f ca="1">IF(ISERROR($S2494),"",OFFSET('Smelter Reference List'!$I$4,$S2494-4,0))</f>
        <v/>
      </c>
      <c r="K2494" s="245"/>
      <c r="L2494" s="245"/>
      <c r="M2494" s="245"/>
      <c r="N2494" s="245"/>
      <c r="O2494" s="245"/>
      <c r="P2494" s="245"/>
      <c r="Q2494" s="246"/>
      <c r="R2494" s="233"/>
      <c r="S2494" s="234" t="e">
        <f>IF(C2494="",NA(),MATCH($B2494&amp;$C2494,'Smelter Reference List'!$J:$J,0))</f>
        <v>#N/A</v>
      </c>
      <c r="T2494" s="235"/>
      <c r="U2494" s="235">
        <f t="shared" ca="1" si="72"/>
        <v>0</v>
      </c>
      <c r="V2494" s="235"/>
      <c r="W2494" s="235"/>
      <c r="Y2494" s="228" t="str">
        <f t="shared" si="73"/>
        <v/>
      </c>
    </row>
    <row r="2495" spans="1:25" s="228" customFormat="1" ht="20.25">
      <c r="A2495" s="257"/>
      <c r="B2495" s="232" t="str">
        <f>IF(LEN(A2495)=0,"",INDEX('Smelter Reference List'!$A:$A,MATCH($A2495,'Smelter Reference List'!$E:$E,0)))</f>
        <v/>
      </c>
      <c r="C2495" s="297" t="str">
        <f>IF(LEN(A2495)=0,"",INDEX('Smelter Reference List'!$C:$C,MATCH($A2495,'Smelter Reference List'!$E:$E,0)))</f>
        <v/>
      </c>
      <c r="D2495" s="161" t="str">
        <f ca="1">IF(ISERROR($S2495),"",OFFSET('Smelter Reference List'!$C$4,$S2495-4,0)&amp;"")</f>
        <v/>
      </c>
      <c r="E2495" s="161" t="str">
        <f ca="1">IF(ISERROR($S2495),"",OFFSET('Smelter Reference List'!$D$4,$S2495-4,0)&amp;"")</f>
        <v/>
      </c>
      <c r="F2495" s="161" t="str">
        <f ca="1">IF(ISERROR($S2495),"",OFFSET('Smelter Reference List'!$E$4,$S2495-4,0))</f>
        <v/>
      </c>
      <c r="G2495" s="161" t="str">
        <f ca="1">IF(C2495=$U$4,"Enter smelter details", IF(ISERROR($S2495),"",OFFSET('Smelter Reference List'!$F$4,$S2495-4,0)))</f>
        <v/>
      </c>
      <c r="H2495" s="247" t="str">
        <f ca="1">IF(ISERROR($S2495),"",OFFSET('Smelter Reference List'!$G$4,$S2495-4,0))</f>
        <v/>
      </c>
      <c r="I2495" s="248" t="str">
        <f ca="1">IF(ISERROR($S2495),"",OFFSET('Smelter Reference List'!$H$4,$S2495-4,0))</f>
        <v/>
      </c>
      <c r="J2495" s="248" t="str">
        <f ca="1">IF(ISERROR($S2495),"",OFFSET('Smelter Reference List'!$I$4,$S2495-4,0))</f>
        <v/>
      </c>
      <c r="K2495" s="245"/>
      <c r="L2495" s="245"/>
      <c r="M2495" s="245"/>
      <c r="N2495" s="245"/>
      <c r="O2495" s="245"/>
      <c r="P2495" s="245"/>
      <c r="Q2495" s="246"/>
      <c r="R2495" s="233"/>
      <c r="S2495" s="234" t="e">
        <f>IF(C2495="",NA(),MATCH($B2495&amp;$C2495,'Smelter Reference List'!$J:$J,0))</f>
        <v>#N/A</v>
      </c>
      <c r="T2495" s="235"/>
      <c r="U2495" s="235">
        <f t="shared" ca="1" si="72"/>
        <v>0</v>
      </c>
      <c r="V2495" s="235"/>
      <c r="W2495" s="235"/>
      <c r="Y2495" s="228" t="str">
        <f t="shared" si="73"/>
        <v/>
      </c>
    </row>
    <row r="2496" spans="1:25" s="228" customFormat="1" ht="20.25">
      <c r="A2496" s="257"/>
      <c r="B2496" s="232" t="str">
        <f>IF(LEN(A2496)=0,"",INDEX('Smelter Reference List'!$A:$A,MATCH($A2496,'Smelter Reference List'!$E:$E,0)))</f>
        <v/>
      </c>
      <c r="C2496" s="297" t="str">
        <f>IF(LEN(A2496)=0,"",INDEX('Smelter Reference List'!$C:$C,MATCH($A2496,'Smelter Reference List'!$E:$E,0)))</f>
        <v/>
      </c>
      <c r="D2496" s="161" t="str">
        <f ca="1">IF(ISERROR($S2496),"",OFFSET('Smelter Reference List'!$C$4,$S2496-4,0)&amp;"")</f>
        <v/>
      </c>
      <c r="E2496" s="161" t="str">
        <f ca="1">IF(ISERROR($S2496),"",OFFSET('Smelter Reference List'!$D$4,$S2496-4,0)&amp;"")</f>
        <v/>
      </c>
      <c r="F2496" s="161" t="str">
        <f ca="1">IF(ISERROR($S2496),"",OFFSET('Smelter Reference List'!$E$4,$S2496-4,0))</f>
        <v/>
      </c>
      <c r="G2496" s="161" t="str">
        <f ca="1">IF(C2496=$U$4,"Enter smelter details", IF(ISERROR($S2496),"",OFFSET('Smelter Reference List'!$F$4,$S2496-4,0)))</f>
        <v/>
      </c>
      <c r="H2496" s="247" t="str">
        <f ca="1">IF(ISERROR($S2496),"",OFFSET('Smelter Reference List'!$G$4,$S2496-4,0))</f>
        <v/>
      </c>
      <c r="I2496" s="248" t="str">
        <f ca="1">IF(ISERROR($S2496),"",OFFSET('Smelter Reference List'!$H$4,$S2496-4,0))</f>
        <v/>
      </c>
      <c r="J2496" s="248" t="str">
        <f ca="1">IF(ISERROR($S2496),"",OFFSET('Smelter Reference List'!$I$4,$S2496-4,0))</f>
        <v/>
      </c>
      <c r="K2496" s="245"/>
      <c r="L2496" s="245"/>
      <c r="M2496" s="245"/>
      <c r="N2496" s="245"/>
      <c r="O2496" s="245"/>
      <c r="P2496" s="245"/>
      <c r="Q2496" s="246"/>
      <c r="R2496" s="233"/>
      <c r="S2496" s="234" t="e">
        <f>IF(C2496="",NA(),MATCH($B2496&amp;$C2496,'Smelter Reference List'!$J:$J,0))</f>
        <v>#N/A</v>
      </c>
      <c r="T2496" s="235"/>
      <c r="U2496" s="235">
        <f t="shared" ca="1" si="72"/>
        <v>0</v>
      </c>
      <c r="V2496" s="235"/>
      <c r="W2496" s="235"/>
      <c r="Y2496" s="228" t="str">
        <f t="shared" si="73"/>
        <v/>
      </c>
    </row>
    <row r="2497" spans="1:25" s="228" customFormat="1" ht="20.25">
      <c r="A2497" s="257"/>
      <c r="B2497" s="232" t="str">
        <f>IF(LEN(A2497)=0,"",INDEX('Smelter Reference List'!$A:$A,MATCH($A2497,'Smelter Reference List'!$E:$E,0)))</f>
        <v/>
      </c>
      <c r="C2497" s="297" t="str">
        <f>IF(LEN(A2497)=0,"",INDEX('Smelter Reference List'!$C:$C,MATCH($A2497,'Smelter Reference List'!$E:$E,0)))</f>
        <v/>
      </c>
      <c r="D2497" s="161" t="str">
        <f ca="1">IF(ISERROR($S2497),"",OFFSET('Smelter Reference List'!$C$4,$S2497-4,0)&amp;"")</f>
        <v/>
      </c>
      <c r="E2497" s="161" t="str">
        <f ca="1">IF(ISERROR($S2497),"",OFFSET('Smelter Reference List'!$D$4,$S2497-4,0)&amp;"")</f>
        <v/>
      </c>
      <c r="F2497" s="161" t="str">
        <f ca="1">IF(ISERROR($S2497),"",OFFSET('Smelter Reference List'!$E$4,$S2497-4,0))</f>
        <v/>
      </c>
      <c r="G2497" s="161" t="str">
        <f ca="1">IF(C2497=$U$4,"Enter smelter details", IF(ISERROR($S2497),"",OFFSET('Smelter Reference List'!$F$4,$S2497-4,0)))</f>
        <v/>
      </c>
      <c r="H2497" s="247" t="str">
        <f ca="1">IF(ISERROR($S2497),"",OFFSET('Smelter Reference List'!$G$4,$S2497-4,0))</f>
        <v/>
      </c>
      <c r="I2497" s="248" t="str">
        <f ca="1">IF(ISERROR($S2497),"",OFFSET('Smelter Reference List'!$H$4,$S2497-4,0))</f>
        <v/>
      </c>
      <c r="J2497" s="248" t="str">
        <f ca="1">IF(ISERROR($S2497),"",OFFSET('Smelter Reference List'!$I$4,$S2497-4,0))</f>
        <v/>
      </c>
      <c r="K2497" s="245"/>
      <c r="L2497" s="245"/>
      <c r="M2497" s="245"/>
      <c r="N2497" s="245"/>
      <c r="O2497" s="245"/>
      <c r="P2497" s="245"/>
      <c r="Q2497" s="246"/>
      <c r="R2497" s="233"/>
      <c r="S2497" s="234" t="e">
        <f>IF(C2497="",NA(),MATCH($B2497&amp;$C2497,'Smelter Reference List'!$J:$J,0))</f>
        <v>#N/A</v>
      </c>
      <c r="T2497" s="235"/>
      <c r="U2497" s="235">
        <f t="shared" ca="1" si="72"/>
        <v>0</v>
      </c>
      <c r="V2497" s="235"/>
      <c r="W2497" s="235"/>
      <c r="Y2497" s="228" t="str">
        <f t="shared" si="73"/>
        <v/>
      </c>
    </row>
    <row r="2498" spans="1:25" s="228" customFormat="1" ht="20.25">
      <c r="A2498" s="257"/>
      <c r="B2498" s="232" t="str">
        <f>IF(LEN(A2498)=0,"",INDEX('Smelter Reference List'!$A:$A,MATCH($A2498,'Smelter Reference List'!$E:$E,0)))</f>
        <v/>
      </c>
      <c r="C2498" s="297" t="str">
        <f>IF(LEN(A2498)=0,"",INDEX('Smelter Reference List'!$C:$C,MATCH($A2498,'Smelter Reference List'!$E:$E,0)))</f>
        <v/>
      </c>
      <c r="D2498" s="161" t="str">
        <f ca="1">IF(ISERROR($S2498),"",OFFSET('Smelter Reference List'!$C$4,$S2498-4,0)&amp;"")</f>
        <v/>
      </c>
      <c r="E2498" s="161" t="str">
        <f ca="1">IF(ISERROR($S2498),"",OFFSET('Smelter Reference List'!$D$4,$S2498-4,0)&amp;"")</f>
        <v/>
      </c>
      <c r="F2498" s="161" t="str">
        <f ca="1">IF(ISERROR($S2498),"",OFFSET('Smelter Reference List'!$E$4,$S2498-4,0))</f>
        <v/>
      </c>
      <c r="G2498" s="161" t="str">
        <f ca="1">IF(C2498=$U$4,"Enter smelter details", IF(ISERROR($S2498),"",OFFSET('Smelter Reference List'!$F$4,$S2498-4,0)))</f>
        <v/>
      </c>
      <c r="H2498" s="247" t="str">
        <f ca="1">IF(ISERROR($S2498),"",OFFSET('Smelter Reference List'!$G$4,$S2498-4,0))</f>
        <v/>
      </c>
      <c r="I2498" s="248" t="str">
        <f ca="1">IF(ISERROR($S2498),"",OFFSET('Smelter Reference List'!$H$4,$S2498-4,0))</f>
        <v/>
      </c>
      <c r="J2498" s="248" t="str">
        <f ca="1">IF(ISERROR($S2498),"",OFFSET('Smelter Reference List'!$I$4,$S2498-4,0))</f>
        <v/>
      </c>
      <c r="K2498" s="245"/>
      <c r="L2498" s="245"/>
      <c r="M2498" s="245"/>
      <c r="N2498" s="245"/>
      <c r="O2498" s="245"/>
      <c r="P2498" s="245"/>
      <c r="Q2498" s="246"/>
      <c r="R2498" s="233"/>
      <c r="S2498" s="234" t="e">
        <f>IF(C2498="",NA(),MATCH($B2498&amp;$C2498,'Smelter Reference List'!$J:$J,0))</f>
        <v>#N/A</v>
      </c>
      <c r="T2498" s="235"/>
      <c r="U2498" s="235">
        <f t="shared" ca="1" si="72"/>
        <v>0</v>
      </c>
      <c r="V2498" s="235"/>
      <c r="W2498" s="235"/>
      <c r="Y2498" s="228" t="str">
        <f t="shared" si="73"/>
        <v/>
      </c>
    </row>
    <row r="2499" spans="1:25" s="228" customFormat="1" ht="20.25">
      <c r="A2499" s="257"/>
      <c r="B2499" s="232" t="str">
        <f>IF(LEN(A2499)=0,"",INDEX('Smelter Reference List'!$A:$A,MATCH($A2499,'Smelter Reference List'!$E:$E,0)))</f>
        <v/>
      </c>
      <c r="C2499" s="297" t="str">
        <f>IF(LEN(A2499)=0,"",INDEX('Smelter Reference List'!$C:$C,MATCH($A2499,'Smelter Reference List'!$E:$E,0)))</f>
        <v/>
      </c>
      <c r="D2499" s="161" t="str">
        <f ca="1">IF(ISERROR($S2499),"",OFFSET('Smelter Reference List'!$C$4,$S2499-4,0)&amp;"")</f>
        <v/>
      </c>
      <c r="E2499" s="161" t="str">
        <f ca="1">IF(ISERROR($S2499),"",OFFSET('Smelter Reference List'!$D$4,$S2499-4,0)&amp;"")</f>
        <v/>
      </c>
      <c r="F2499" s="161" t="str">
        <f ca="1">IF(ISERROR($S2499),"",OFFSET('Smelter Reference List'!$E$4,$S2499-4,0))</f>
        <v/>
      </c>
      <c r="G2499" s="161" t="str">
        <f ca="1">IF(C2499=$U$4,"Enter smelter details", IF(ISERROR($S2499),"",OFFSET('Smelter Reference List'!$F$4,$S2499-4,0)))</f>
        <v/>
      </c>
      <c r="H2499" s="247" t="str">
        <f ca="1">IF(ISERROR($S2499),"",OFFSET('Smelter Reference List'!$G$4,$S2499-4,0))</f>
        <v/>
      </c>
      <c r="I2499" s="248" t="str">
        <f ca="1">IF(ISERROR($S2499),"",OFFSET('Smelter Reference List'!$H$4,$S2499-4,0))</f>
        <v/>
      </c>
      <c r="J2499" s="248" t="str">
        <f ca="1">IF(ISERROR($S2499),"",OFFSET('Smelter Reference List'!$I$4,$S2499-4,0))</f>
        <v/>
      </c>
      <c r="K2499" s="245"/>
      <c r="L2499" s="245"/>
      <c r="M2499" s="245"/>
      <c r="N2499" s="245"/>
      <c r="O2499" s="245"/>
      <c r="P2499" s="245"/>
      <c r="Q2499" s="246"/>
      <c r="R2499" s="233"/>
      <c r="S2499" s="234" t="e">
        <f>IF(C2499="",NA(),MATCH($B2499&amp;$C2499,'Smelter Reference List'!$J:$J,0))</f>
        <v>#N/A</v>
      </c>
      <c r="T2499" s="235"/>
      <c r="U2499" s="235">
        <f t="shared" ca="1" si="72"/>
        <v>0</v>
      </c>
      <c r="V2499" s="235"/>
      <c r="W2499" s="235"/>
      <c r="Y2499" s="228" t="str">
        <f t="shared" si="73"/>
        <v/>
      </c>
    </row>
    <row r="2500" spans="1:25" s="228" customFormat="1" ht="20.25">
      <c r="A2500" s="257"/>
      <c r="B2500" s="232" t="str">
        <f>IF(LEN(A2500)=0,"",INDEX('Smelter Reference List'!$A:$A,MATCH($A2500,'Smelter Reference List'!$E:$E,0)))</f>
        <v/>
      </c>
      <c r="C2500" s="297" t="str">
        <f>IF(LEN(A2500)=0,"",INDEX('Smelter Reference List'!$C:$C,MATCH($A2500,'Smelter Reference List'!$E:$E,0)))</f>
        <v/>
      </c>
      <c r="D2500" s="161" t="str">
        <f ca="1">IF(ISERROR($S2500),"",OFFSET('Smelter Reference List'!$C$4,$S2500-4,0)&amp;"")</f>
        <v/>
      </c>
      <c r="E2500" s="161" t="str">
        <f ca="1">IF(ISERROR($S2500),"",OFFSET('Smelter Reference List'!$D$4,$S2500-4,0)&amp;"")</f>
        <v/>
      </c>
      <c r="F2500" s="161" t="str">
        <f ca="1">IF(ISERROR($S2500),"",OFFSET('Smelter Reference List'!$E$4,$S2500-4,0))</f>
        <v/>
      </c>
      <c r="G2500" s="161" t="str">
        <f ca="1">IF(C2500=$U$4,"Enter smelter details", IF(ISERROR($S2500),"",OFFSET('Smelter Reference List'!$F$4,$S2500-4,0)))</f>
        <v/>
      </c>
      <c r="H2500" s="247" t="str">
        <f ca="1">IF(ISERROR($S2500),"",OFFSET('Smelter Reference List'!$G$4,$S2500-4,0))</f>
        <v/>
      </c>
      <c r="I2500" s="248" t="str">
        <f ca="1">IF(ISERROR($S2500),"",OFFSET('Smelter Reference List'!$H$4,$S2500-4,0))</f>
        <v/>
      </c>
      <c r="J2500" s="248" t="str">
        <f ca="1">IF(ISERROR($S2500),"",OFFSET('Smelter Reference List'!$I$4,$S2500-4,0))</f>
        <v/>
      </c>
      <c r="K2500" s="245"/>
      <c r="L2500" s="245"/>
      <c r="M2500" s="245"/>
      <c r="N2500" s="245"/>
      <c r="O2500" s="245"/>
      <c r="P2500" s="245"/>
      <c r="Q2500" s="246"/>
      <c r="R2500" s="233"/>
      <c r="S2500" s="234" t="e">
        <f>IF(C2500="",NA(),MATCH($B2500&amp;$C2500,'Smelter Reference List'!$J:$J,0))</f>
        <v>#N/A</v>
      </c>
      <c r="T2500" s="235"/>
      <c r="U2500" s="235">
        <f t="shared" ca="1" si="72"/>
        <v>0</v>
      </c>
      <c r="V2500" s="235"/>
      <c r="W2500" s="235"/>
      <c r="Y2500" s="228" t="str">
        <f t="shared" si="73"/>
        <v/>
      </c>
    </row>
    <row r="2501" spans="1:25" s="228" customFormat="1" ht="20.25">
      <c r="A2501" s="257"/>
      <c r="B2501" s="232" t="str">
        <f>IF(LEN(A2501)=0,"",INDEX('Smelter Reference List'!$A:$A,MATCH($A2501,'Smelter Reference List'!$E:$E,0)))</f>
        <v/>
      </c>
      <c r="C2501" s="297" t="str">
        <f>IF(LEN(A2501)=0,"",INDEX('Smelter Reference List'!$C:$C,MATCH($A2501,'Smelter Reference List'!$E:$E,0)))</f>
        <v/>
      </c>
      <c r="D2501" s="161" t="str">
        <f ca="1">IF(ISERROR($S2501),"",OFFSET('Smelter Reference List'!$C$4,$S2501-4,0)&amp;"")</f>
        <v/>
      </c>
      <c r="E2501" s="161" t="str">
        <f ca="1">IF(ISERROR($S2501),"",OFFSET('Smelter Reference List'!$D$4,$S2501-4,0)&amp;"")</f>
        <v/>
      </c>
      <c r="F2501" s="161" t="str">
        <f ca="1">IF(ISERROR($S2501),"",OFFSET('Smelter Reference List'!$E$4,$S2501-4,0))</f>
        <v/>
      </c>
      <c r="G2501" s="161" t="str">
        <f ca="1">IF(C2501=$U$4,"Enter smelter details", IF(ISERROR($S2501),"",OFFSET('Smelter Reference List'!$F$4,$S2501-4,0)))</f>
        <v/>
      </c>
      <c r="H2501" s="247" t="str">
        <f ca="1">IF(ISERROR($S2501),"",OFFSET('Smelter Reference List'!$G$4,$S2501-4,0))</f>
        <v/>
      </c>
      <c r="I2501" s="248" t="str">
        <f ca="1">IF(ISERROR($S2501),"",OFFSET('Smelter Reference List'!$H$4,$S2501-4,0))</f>
        <v/>
      </c>
      <c r="J2501" s="248" t="str">
        <f ca="1">IF(ISERROR($S2501),"",OFFSET('Smelter Reference List'!$I$4,$S2501-4,0))</f>
        <v/>
      </c>
      <c r="K2501" s="245"/>
      <c r="L2501" s="245"/>
      <c r="M2501" s="245"/>
      <c r="N2501" s="245"/>
      <c r="O2501" s="245"/>
      <c r="P2501" s="245"/>
      <c r="Q2501" s="246"/>
      <c r="R2501" s="233"/>
      <c r="S2501" s="234" t="e">
        <f>IF(C2501="",NA(),MATCH($B2501&amp;$C2501,'Smelter Reference List'!$J:$J,0))</f>
        <v>#N/A</v>
      </c>
      <c r="T2501" s="235"/>
      <c r="U2501" s="235">
        <f t="shared" ca="1" si="72"/>
        <v>0</v>
      </c>
      <c r="V2501" s="235"/>
      <c r="W2501" s="235"/>
      <c r="Y2501" s="228" t="str">
        <f t="shared" si="73"/>
        <v/>
      </c>
    </row>
    <row r="2502" spans="1:25" s="228" customFormat="1" ht="20.25">
      <c r="A2502" s="257"/>
      <c r="B2502" s="232" t="str">
        <f>IF(LEN(A2502)=0,"",INDEX('Smelter Reference List'!$A:$A,MATCH($A2502,'Smelter Reference List'!$E:$E,0)))</f>
        <v/>
      </c>
      <c r="C2502" s="297" t="str">
        <f>IF(LEN(A2502)=0,"",INDEX('Smelter Reference List'!$C:$C,MATCH($A2502,'Smelter Reference List'!$E:$E,0)))</f>
        <v/>
      </c>
      <c r="D2502" s="161" t="str">
        <f ca="1">IF(ISERROR($S2502),"",OFFSET('Smelter Reference List'!$C$4,$S2502-4,0)&amp;"")</f>
        <v/>
      </c>
      <c r="E2502" s="161" t="str">
        <f ca="1">IF(ISERROR($S2502),"",OFFSET('Smelter Reference List'!$D$4,$S2502-4,0)&amp;"")</f>
        <v/>
      </c>
      <c r="F2502" s="161" t="str">
        <f ca="1">IF(ISERROR($S2502),"",OFFSET('Smelter Reference List'!$E$4,$S2502-4,0))</f>
        <v/>
      </c>
      <c r="G2502" s="161" t="str">
        <f ca="1">IF(C2502=$U$4,"Enter smelter details", IF(ISERROR($S2502),"",OFFSET('Smelter Reference List'!$F$4,$S2502-4,0)))</f>
        <v/>
      </c>
      <c r="H2502" s="247" t="str">
        <f ca="1">IF(ISERROR($S2502),"",OFFSET('Smelter Reference List'!$G$4,$S2502-4,0))</f>
        <v/>
      </c>
      <c r="I2502" s="248" t="str">
        <f ca="1">IF(ISERROR($S2502),"",OFFSET('Smelter Reference List'!$H$4,$S2502-4,0))</f>
        <v/>
      </c>
      <c r="J2502" s="248" t="str">
        <f ca="1">IF(ISERROR($S2502),"",OFFSET('Smelter Reference List'!$I$4,$S2502-4,0))</f>
        <v/>
      </c>
      <c r="K2502" s="245"/>
      <c r="L2502" s="245"/>
      <c r="M2502" s="245"/>
      <c r="N2502" s="245"/>
      <c r="O2502" s="245"/>
      <c r="P2502" s="245"/>
      <c r="Q2502" s="246"/>
      <c r="R2502" s="233"/>
      <c r="S2502" s="234" t="e">
        <f>IF(C2502="",NA(),MATCH($B2502&amp;$C2502,'Smelter Reference List'!$J:$J,0))</f>
        <v>#N/A</v>
      </c>
      <c r="T2502" s="235"/>
      <c r="U2502" s="235">
        <f ca="1">IF(AND(C2502="Smelter not listed",OR(LEN(D2502)=0,LEN(E2502)=0)),1,0)</f>
        <v>0</v>
      </c>
      <c r="V2502" s="235"/>
      <c r="W2502" s="235"/>
      <c r="Y2502" s="228" t="str">
        <f>B2502&amp;C2502</f>
        <v/>
      </c>
    </row>
    <row r="2503" spans="1:25" s="228" customFormat="1" ht="20.25">
      <c r="A2503" s="257"/>
      <c r="B2503" s="232" t="str">
        <f>IF(LEN(A2503)=0,"",INDEX('Smelter Reference List'!$A:$A,MATCH($A2503,'Smelter Reference List'!$E:$E,0)))</f>
        <v/>
      </c>
      <c r="C2503" s="297" t="str">
        <f>IF(LEN(A2503)=0,"",INDEX('Smelter Reference List'!$C:$C,MATCH($A2503,'Smelter Reference List'!$E:$E,0)))</f>
        <v/>
      </c>
      <c r="D2503" s="161" t="str">
        <f ca="1">IF(ISERROR($S2503),"",OFFSET('Smelter Reference List'!$C$4,$S2503-4,0)&amp;"")</f>
        <v/>
      </c>
      <c r="E2503" s="161" t="str">
        <f ca="1">IF(ISERROR($S2503),"",OFFSET('Smelter Reference List'!$D$4,$S2503-4,0)&amp;"")</f>
        <v/>
      </c>
      <c r="F2503" s="161" t="str">
        <f ca="1">IF(ISERROR($S2503),"",OFFSET('Smelter Reference List'!$E$4,$S2503-4,0))</f>
        <v/>
      </c>
      <c r="G2503" s="161" t="str">
        <f ca="1">IF(C2503=$U$4,"Enter smelter details", IF(ISERROR($S2503),"",OFFSET('Smelter Reference List'!$F$4,$S2503-4,0)))</f>
        <v/>
      </c>
      <c r="H2503" s="247" t="str">
        <f ca="1">IF(ISERROR($S2503),"",OFFSET('Smelter Reference List'!$G$4,$S2503-4,0))</f>
        <v/>
      </c>
      <c r="I2503" s="248" t="str">
        <f ca="1">IF(ISERROR($S2503),"",OFFSET('Smelter Reference List'!$H$4,$S2503-4,0))</f>
        <v/>
      </c>
      <c r="J2503" s="248" t="str">
        <f ca="1">IF(ISERROR($S2503),"",OFFSET('Smelter Reference List'!$I$4,$S2503-4,0))</f>
        <v/>
      </c>
      <c r="K2503" s="245"/>
      <c r="L2503" s="245"/>
      <c r="M2503" s="245"/>
      <c r="N2503" s="245"/>
      <c r="O2503" s="245"/>
      <c r="P2503" s="245"/>
      <c r="Q2503" s="246"/>
      <c r="R2503" s="233"/>
      <c r="S2503" s="234" t="e">
        <f>IF(C2503="",NA(),MATCH($B2503&amp;$C2503,'Smelter Reference List'!$J:$J,0))</f>
        <v>#N/A</v>
      </c>
      <c r="T2503" s="235"/>
      <c r="U2503" s="235">
        <f ca="1">IF(AND(C2503="Smelter not listed",OR(LEN(D2503)=0,LEN(E2503)=0)),1,0)</f>
        <v>0</v>
      </c>
      <c r="V2503" s="235"/>
      <c r="W2503" s="235"/>
      <c r="Y2503" s="228" t="str">
        <f>B2503&amp;C2503</f>
        <v/>
      </c>
    </row>
    <row r="2504" spans="1:25" s="228" customFormat="1" ht="20.25">
      <c r="A2504" s="257"/>
      <c r="B2504" s="232" t="str">
        <f>IF(LEN(A2504)=0,"",INDEX('Smelter Reference List'!$A:$A,MATCH($A2504,'Smelter Reference List'!$E:$E,0)))</f>
        <v/>
      </c>
      <c r="C2504" s="297" t="str">
        <f>IF(LEN(A2504)=0,"",INDEX('Smelter Reference List'!$C:$C,MATCH($A2504,'Smelter Reference List'!$E:$E,0)))</f>
        <v/>
      </c>
      <c r="D2504" s="161" t="str">
        <f ca="1">IF(ISERROR($S2504),"",OFFSET('Smelter Reference List'!$C$4,$S2504-4,0)&amp;"")</f>
        <v/>
      </c>
      <c r="E2504" s="161" t="str">
        <f ca="1">IF(ISERROR($S2504),"",OFFSET('Smelter Reference List'!$D$4,$S2504-4,0)&amp;"")</f>
        <v/>
      </c>
      <c r="F2504" s="161" t="str">
        <f ca="1">IF(ISERROR($S2504),"",OFFSET('Smelter Reference List'!$E$4,$S2504-4,0))</f>
        <v/>
      </c>
      <c r="G2504" s="161" t="str">
        <f ca="1">IF(C2504=$U$4,"Enter smelter details", IF(ISERROR($S2504),"",OFFSET('Smelter Reference List'!$F$4,$S2504-4,0)))</f>
        <v/>
      </c>
      <c r="H2504" s="247" t="str">
        <f ca="1">IF(ISERROR($S2504),"",OFFSET('Smelter Reference List'!$G$4,$S2504-4,0))</f>
        <v/>
      </c>
      <c r="I2504" s="248" t="str">
        <f ca="1">IF(ISERROR($S2504),"",OFFSET('Smelter Reference List'!$H$4,$S2504-4,0))</f>
        <v/>
      </c>
      <c r="J2504" s="248" t="str">
        <f ca="1">IF(ISERROR($S2504),"",OFFSET('Smelter Reference List'!$I$4,$S2504-4,0))</f>
        <v/>
      </c>
      <c r="K2504" s="245"/>
      <c r="L2504" s="245"/>
      <c r="M2504" s="245"/>
      <c r="N2504" s="245"/>
      <c r="O2504" s="245"/>
      <c r="P2504" s="245"/>
      <c r="Q2504" s="246"/>
      <c r="R2504" s="233"/>
      <c r="S2504" s="234" t="e">
        <f>IF(C2504="",NA(),MATCH($B2504&amp;$C2504,'Smelter Reference List'!$J:$J,0))</f>
        <v>#N/A</v>
      </c>
      <c r="T2504" s="235"/>
      <c r="U2504" s="235">
        <f ca="1">IF(AND(C2504="Smelter not listed",OR(LEN(D2504)=0,LEN(E2504)=0)),1,0)</f>
        <v>0</v>
      </c>
      <c r="V2504" s="235"/>
      <c r="W2504" s="235"/>
      <c r="Y2504" s="228" t="str">
        <f>B2504&amp;C2504</f>
        <v/>
      </c>
    </row>
    <row r="2505" spans="1:25" ht="13.5" thickBot="1">
      <c r="A2505" s="244"/>
      <c r="B2505" s="210"/>
      <c r="C2505" s="210"/>
      <c r="D2505" s="210"/>
      <c r="E2505" s="210"/>
      <c r="F2505" s="210"/>
      <c r="G2505" s="210"/>
      <c r="H2505" s="210"/>
      <c r="I2505" s="210"/>
      <c r="J2505" s="210"/>
      <c r="K2505" s="210"/>
      <c r="L2505" s="210"/>
      <c r="M2505" s="210"/>
      <c r="N2505" s="210"/>
      <c r="O2505" s="210"/>
      <c r="P2505" s="210"/>
      <c r="Q2505" s="211"/>
      <c r="R2505" s="208"/>
      <c r="S2505" s="208"/>
      <c r="Y2505" s="228" t="str">
        <f>B2505&amp;C2505</f>
        <v/>
      </c>
    </row>
    <row r="2506" spans="1:25" ht="13.5" thickTop="1">
      <c r="R2506" s="209"/>
      <c r="S2506" s="209"/>
      <c r="T2506" s="209"/>
      <c r="U2506" s="209"/>
      <c r="V2506" s="209"/>
      <c r="W2506" s="209"/>
    </row>
    <row r="2507" spans="1:25">
      <c r="R2507" s="209"/>
      <c r="S2507" s="209"/>
      <c r="T2507" s="209"/>
      <c r="U2507" s="209"/>
      <c r="V2507" s="209"/>
      <c r="W2507" s="209"/>
    </row>
    <row r="2508" spans="1:25">
      <c r="R2508" s="209"/>
      <c r="S2508" s="209"/>
      <c r="T2508" s="209"/>
      <c r="U2508" s="209"/>
      <c r="V2508" s="209"/>
      <c r="W2508" s="209"/>
    </row>
  </sheetData>
  <sheetProtection password="E985" sheet="1" objects="1" scenarios="1" formatRows="0" deleteRows="0"/>
  <dataConsolidate/>
  <mergeCells count="2">
    <mergeCell ref="J2:O2"/>
    <mergeCell ref="B3:E3"/>
  </mergeCells>
  <phoneticPr fontId="29"/>
  <conditionalFormatting sqref="B2264:B2504">
    <cfRule type="expression" dxfId="108" priority="64" stopIfTrue="1">
      <formula>IF(B2264="",TRUE)</formula>
    </cfRule>
    <cfRule type="expression" dxfId="107" priority="75" stopIfTrue="1">
      <formula>IF(AND(COUNTIF(MetalSmelter,B2264&amp;C2264)=0,LEN(C2264)&gt;0), TRUE, FALSE)</formula>
    </cfRule>
  </conditionalFormatting>
  <conditionalFormatting sqref="D2264:D2504">
    <cfRule type="expression" dxfId="106" priority="83" stopIfTrue="1">
      <formula>IF(AND(D2264="",$C2264=$U$4),TRUE)</formula>
    </cfRule>
    <cfRule type="expression" dxfId="105" priority="84" stopIfTrue="1">
      <formula>IF(FIND("!",D2264),TRUE)</formula>
    </cfRule>
  </conditionalFormatting>
  <conditionalFormatting sqref="G2264:G2504">
    <cfRule type="expression" dxfId="104" priority="85" stopIfTrue="1">
      <formula>IF(FIND("Enter smelter details",G2264),TRUE)</formula>
    </cfRule>
  </conditionalFormatting>
  <conditionalFormatting sqref="E2264:E2504">
    <cfRule type="expression" dxfId="103" priority="71" stopIfTrue="1">
      <formula>IF(AND(E2264="",$C2264=$U$4),TRUE)</formula>
    </cfRule>
    <cfRule type="expression" dxfId="102" priority="72" stopIfTrue="1">
      <formula>IF(FIND("!",E2264),TRUE)</formula>
    </cfRule>
  </conditionalFormatting>
  <conditionalFormatting sqref="F2264:F2504">
    <cfRule type="expression" dxfId="101" priority="62" stopIfTrue="1">
      <formula>IF(AND(LEN($A2264)&gt;0,$A2264&lt;&gt;$F2264),TRUE,FALSE)</formula>
    </cfRule>
  </conditionalFormatting>
  <conditionalFormatting sqref="C2264:C2504">
    <cfRule type="expression" dxfId="100" priority="61" stopIfTrue="1">
      <formula>IF(AND(B2264&lt;&gt;"",C2264=""),TRUE)</formula>
    </cfRule>
  </conditionalFormatting>
  <conditionalFormatting sqref="B283:B503">
    <cfRule type="expression" dxfId="98" priority="35" stopIfTrue="1">
      <formula>IF(B283="",TRUE)</formula>
    </cfRule>
    <cfRule type="expression" dxfId="97" priority="38" stopIfTrue="1">
      <formula>IF(AND(COUNTIF(MetalSmelter,B283&amp;C283)=0,LEN(C283)&gt;0), TRUE, FALSE)</formula>
    </cfRule>
  </conditionalFormatting>
  <conditionalFormatting sqref="D283:D503">
    <cfRule type="expression" dxfId="96" priority="39" stopIfTrue="1">
      <formula>IF(AND(D283="",$C283=$U$4),TRUE)</formula>
    </cfRule>
    <cfRule type="expression" dxfId="95" priority="40" stopIfTrue="1">
      <formula>IF(FIND("!",D283),TRUE)</formula>
    </cfRule>
  </conditionalFormatting>
  <conditionalFormatting sqref="G283:G503">
    <cfRule type="expression" dxfId="94" priority="41" stopIfTrue="1">
      <formula>IF(FIND("Enter smelter details",G283),TRUE)</formula>
    </cfRule>
  </conditionalFormatting>
  <conditionalFormatting sqref="E283:E503">
    <cfRule type="expression" dxfId="93" priority="36" stopIfTrue="1">
      <formula>IF(AND(E283="",$C283=$U$4),TRUE)</formula>
    </cfRule>
    <cfRule type="expression" dxfId="92" priority="37" stopIfTrue="1">
      <formula>IF(FIND("!",E283),TRUE)</formula>
    </cfRule>
  </conditionalFormatting>
  <conditionalFormatting sqref="F283:F503">
    <cfRule type="expression" dxfId="91" priority="34" stopIfTrue="1">
      <formula>IF(AND(LEN($A283)&gt;0,$A283&lt;&gt;$F283),TRUE,FALSE)</formula>
    </cfRule>
  </conditionalFormatting>
  <conditionalFormatting sqref="C283:C503">
    <cfRule type="expression" dxfId="90" priority="33" stopIfTrue="1">
      <formula>IF(AND(B283&lt;&gt;"",C283=""),TRUE)</formula>
    </cfRule>
  </conditionalFormatting>
  <conditionalFormatting sqref="B5:B282">
    <cfRule type="expression" dxfId="89" priority="44" stopIfTrue="1">
      <formula>IF(B5="",TRUE)</formula>
    </cfRule>
    <cfRule type="expression" dxfId="88" priority="47" stopIfTrue="1">
      <formula>IF(AND(COUNTIF(MetalSmelter,B5&amp;C5)=0,LEN(C5)&gt;0), TRUE, FALSE)</formula>
    </cfRule>
  </conditionalFormatting>
  <conditionalFormatting sqref="D5:D282">
    <cfRule type="expression" dxfId="87" priority="48" stopIfTrue="1">
      <formula>IF(AND(D5="",$C5=$U$4),TRUE)</formula>
    </cfRule>
    <cfRule type="expression" dxfId="86" priority="49" stopIfTrue="1">
      <formula>IF(FIND("!",D5),TRUE)</formula>
    </cfRule>
  </conditionalFormatting>
  <conditionalFormatting sqref="G5:G282">
    <cfRule type="expression" dxfId="85" priority="50" stopIfTrue="1">
      <formula>IF(FIND("Enter smelter details",G5),TRUE)</formula>
    </cfRule>
  </conditionalFormatting>
  <conditionalFormatting sqref="E5:E282">
    <cfRule type="expression" dxfId="84" priority="45" stopIfTrue="1">
      <formula>IF(AND(E5="",$C5=$U$4),TRUE)</formula>
    </cfRule>
    <cfRule type="expression" dxfId="83" priority="46" stopIfTrue="1">
      <formula>IF(FIND("!",E5),TRUE)</formula>
    </cfRule>
  </conditionalFormatting>
  <conditionalFormatting sqref="F5:F282">
    <cfRule type="expression" dxfId="82" priority="43" stopIfTrue="1">
      <formula>IF(AND(LEN($A5)&gt;0,$A5&lt;&gt;$F5),TRUE,FALSE)</formula>
    </cfRule>
  </conditionalFormatting>
  <conditionalFormatting sqref="C5:C282">
    <cfRule type="expression" dxfId="81" priority="42" stopIfTrue="1">
      <formula>IF(AND(B5&lt;&gt;"",C5=""),TRUE)</formula>
    </cfRule>
  </conditionalFormatting>
  <conditionalFormatting sqref="B504:B696">
    <cfRule type="expression" dxfId="47" priority="28" stopIfTrue="1">
      <formula>IF(B504="",TRUE)</formula>
    </cfRule>
    <cfRule type="expression" dxfId="46" priority="29" stopIfTrue="1">
      <formula>IF(AND(COUNTIF(MetalSmelter,B504&amp;C504)=0,LEN(C504)&gt;0), TRUE, FALSE)</formula>
    </cfRule>
  </conditionalFormatting>
  <conditionalFormatting sqref="D504:E696">
    <cfRule type="expression" dxfId="45" priority="30" stopIfTrue="1">
      <formula>IF(AND(D504="",$C504=$U$4),TRUE)</formula>
    </cfRule>
    <cfRule type="expression" dxfId="44" priority="31" stopIfTrue="1">
      <formula>IF(FIND("!",D504),TRUE)</formula>
    </cfRule>
  </conditionalFormatting>
  <conditionalFormatting sqref="G504:G696">
    <cfRule type="expression" dxfId="43" priority="32" stopIfTrue="1">
      <formula>IF(FIND("Enter smelter details",G504),TRUE)</formula>
    </cfRule>
  </conditionalFormatting>
  <conditionalFormatting sqref="F504:F696">
    <cfRule type="expression" dxfId="42" priority="27" stopIfTrue="1">
      <formula>IF(AND(LEN($A504)&gt;0,$A504&lt;&gt;$F504),TRUE,FALSE)</formula>
    </cfRule>
  </conditionalFormatting>
  <conditionalFormatting sqref="C504:C696">
    <cfRule type="expression" dxfId="41" priority="26" stopIfTrue="1">
      <formula>IF(AND(B504&lt;&gt;"",C504=""),TRUE)</formula>
    </cfRule>
  </conditionalFormatting>
  <conditionalFormatting sqref="B697:B1904">
    <cfRule type="expression" dxfId="40" priority="19" stopIfTrue="1">
      <formula>IF(B697="",TRUE)</formula>
    </cfRule>
    <cfRule type="expression" dxfId="39" priority="22" stopIfTrue="1">
      <formula>IF(AND(COUNTIF(MetalSmelter,B697&amp;C697)=0,LEN(C697)&gt;0), TRUE, FALSE)</formula>
    </cfRule>
  </conditionalFormatting>
  <conditionalFormatting sqref="D697:D1904">
    <cfRule type="expression" dxfId="38" priority="23" stopIfTrue="1">
      <formula>IF(AND(D697="",$C697=$U$4),TRUE)</formula>
    </cfRule>
    <cfRule type="expression" dxfId="37" priority="24" stopIfTrue="1">
      <formula>IF(FIND("!",D697),TRUE)</formula>
    </cfRule>
  </conditionalFormatting>
  <conditionalFormatting sqref="G697:G1904">
    <cfRule type="expression" dxfId="36" priority="25" stopIfTrue="1">
      <formula>IF(FIND("Enter smelter details",G697),TRUE)</formula>
    </cfRule>
  </conditionalFormatting>
  <conditionalFormatting sqref="E697:E1904">
    <cfRule type="expression" dxfId="35" priority="20" stopIfTrue="1">
      <formula>IF(AND(E697="",$C697=$U$4),TRUE)</formula>
    </cfRule>
    <cfRule type="expression" dxfId="34" priority="21" stopIfTrue="1">
      <formula>IF(FIND("!",E697),TRUE)</formula>
    </cfRule>
  </conditionalFormatting>
  <conditionalFormatting sqref="F697:F1904">
    <cfRule type="expression" dxfId="33" priority="18" stopIfTrue="1">
      <formula>IF(AND(LEN($A697)&gt;0,$A697&lt;&gt;$F697),TRUE,FALSE)</formula>
    </cfRule>
  </conditionalFormatting>
  <conditionalFormatting sqref="C697:C1904">
    <cfRule type="expression" dxfId="32" priority="17" stopIfTrue="1">
      <formula>IF(AND(B697&lt;&gt;"",C697=""),TRUE)</formula>
    </cfRule>
  </conditionalFormatting>
  <conditionalFormatting sqref="B1905:B2151">
    <cfRule type="expression" dxfId="31" priority="10" stopIfTrue="1">
      <formula>IF(B1905="",TRUE)</formula>
    </cfRule>
    <cfRule type="expression" dxfId="30" priority="13" stopIfTrue="1">
      <formula>IF(AND(COUNTIF(MetalSmelter,B1905&amp;C1905)=0,LEN(C1905)&gt;0), TRUE, FALSE)</formula>
    </cfRule>
  </conditionalFormatting>
  <conditionalFormatting sqref="D1905:D2151">
    <cfRule type="expression" dxfId="27" priority="14" stopIfTrue="1">
      <formula>IF(AND(D1905="",$C1905=$U$4),TRUE)</formula>
    </cfRule>
    <cfRule type="expression" dxfId="26" priority="15" stopIfTrue="1">
      <formula>IF(FIND("!",D1905),TRUE)</formula>
    </cfRule>
  </conditionalFormatting>
  <conditionalFormatting sqref="G1905:G2151">
    <cfRule type="expression" dxfId="23" priority="16" stopIfTrue="1">
      <formula>IF(FIND("Enter smelter details",G1905),TRUE)</formula>
    </cfRule>
  </conditionalFormatting>
  <conditionalFormatting sqref="E1905:E2151">
    <cfRule type="expression" dxfId="21" priority="11" stopIfTrue="1">
      <formula>IF(AND(E1905="",$C1905=$U$4),TRUE)</formula>
    </cfRule>
    <cfRule type="expression" dxfId="20" priority="12" stopIfTrue="1">
      <formula>IF(FIND("!",E1905),TRUE)</formula>
    </cfRule>
  </conditionalFormatting>
  <conditionalFormatting sqref="F1905:F2151">
    <cfRule type="expression" dxfId="17" priority="9" stopIfTrue="1">
      <formula>IF(AND(LEN($A1905)&gt;0,$A1905&lt;&gt;$F1905),TRUE,FALSE)</formula>
    </cfRule>
  </conditionalFormatting>
  <conditionalFormatting sqref="C1905:C2151">
    <cfRule type="expression" dxfId="15" priority="8" stopIfTrue="1">
      <formula>IF(AND(B1905&lt;&gt;"",C1905=""),TRUE)</formula>
    </cfRule>
  </conditionalFormatting>
  <conditionalFormatting sqref="C2152:C2263">
    <cfRule type="expression" dxfId="13" priority="3" stopIfTrue="1">
      <formula>IF(C2152="",TRUE)</formula>
    </cfRule>
    <cfRule type="expression" dxfId="12" priority="4" stopIfTrue="1">
      <formula>IF(AND(COUNTIF(MetalSmelter,C2152&amp;D2152)=0,LEN(D2152)&gt;0), TRUE, FALSE)</formula>
    </cfRule>
  </conditionalFormatting>
  <conditionalFormatting sqref="E2152:F2263">
    <cfRule type="expression" dxfId="9" priority="5" stopIfTrue="1">
      <formula>IF(AND(E2152="",$C2152=$U$4),TRUE)</formula>
    </cfRule>
    <cfRule type="expression" dxfId="8" priority="6" stopIfTrue="1">
      <formula>IF(FIND("!",E2152),TRUE)</formula>
    </cfRule>
  </conditionalFormatting>
  <conditionalFormatting sqref="H2152:H2263">
    <cfRule type="expression" dxfId="5" priority="7" stopIfTrue="1">
      <formula>IF(FIND("Enter smelter details",H2152),TRUE)</formula>
    </cfRule>
  </conditionalFormatting>
  <conditionalFormatting sqref="G2152:G2263">
    <cfRule type="expression" dxfId="3" priority="2" stopIfTrue="1">
      <formula>IF(AND(LEN($A2152)&gt;0,$A2152&lt;&gt;$F2152),TRUE,FALSE)</formula>
    </cfRule>
  </conditionalFormatting>
  <conditionalFormatting sqref="D2152:D2263">
    <cfRule type="expression" dxfId="1" priority="1" stopIfTrue="1">
      <formula>IF(AND(C2152&lt;&gt;"",D2152=""),TRUE)</formula>
    </cfRule>
  </conditionalFormatting>
  <dataValidations count="5">
    <dataValidation type="list" allowBlank="1" showInputMessage="1" showErrorMessage="1" sqref="B5:B2504">
      <formula1>Metal</formula1>
    </dataValidation>
    <dataValidation type="list" allowBlank="1" showInputMessage="1" showErrorMessage="1" sqref="P5:P2504">
      <formula1>"Yes,No"</formula1>
    </dataValidation>
    <dataValidation allowBlank="1" showErrorMessage="1" sqref="F5:G2504"/>
    <dataValidation type="list" allowBlank="1" showInputMessage="1" showErrorMessage="1" sqref="E5:E2504">
      <formula1>CL</formula1>
    </dataValidation>
    <dataValidation type="list" showInputMessage="1" showErrorMessage="1" sqref="C5:C2504">
      <formula1>SN</formula1>
    </dataValidation>
  </dataValidations>
  <hyperlinks>
    <hyperlink ref="J2:O2" r:id="rId1" display="http://www.conflictfreesourcing.org/"/>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70" zoomScaleNormal="60" workbookViewId="0">
      <pane xSplit="1" ySplit="3" topLeftCell="B46" activePane="bottomRight" state="frozen"/>
      <selection pane="topRight" activeCell="B1" sqref="B1"/>
      <selection pane="bottomLeft" activeCell="A4" sqref="A4"/>
      <selection pane="bottomRight" activeCell="D62" sqref="D62"/>
    </sheetView>
  </sheetViews>
  <sheetFormatPr baseColWidth="10"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214" hidden="1" customWidth="1"/>
    <col min="10" max="11" width="9" style="22" hidden="1" customWidth="1"/>
    <col min="12" max="12" width="8.75" style="22" hidden="1" customWidth="1"/>
    <col min="13" max="13" width="8.75" style="22" customWidth="1"/>
    <col min="14" max="16384" width="8.75" style="22"/>
  </cols>
  <sheetData>
    <row r="1" spans="1:10" ht="30">
      <c r="A1" s="390" t="str">
        <f ca="1">OFFSET(L!$C$1,MATCH("Checker"&amp;ADDRESS(ROW(),COLUMN(),4),L!$A:$A,0)-1,SL,,)</f>
        <v>To ensure all required fields have been populated before submitting to your customers review form for any line items highlighted in red</v>
      </c>
      <c r="B1" s="390"/>
      <c r="C1" s="390"/>
      <c r="D1" s="164" t="str">
        <f ca="1">OFFSET(L!$C$1,MATCH("Checker"&amp;ADDRESS(ROW(),COLUMN(),4),L!$A:$A,0)-1,SL,,)</f>
        <v>Required fields remaining to be completed</v>
      </c>
      <c r="E1" s="93" t="s">
        <v>1451</v>
      </c>
    </row>
    <row r="2" spans="1:10" ht="15">
      <c r="A2" s="86" t="s">
        <v>1779</v>
      </c>
      <c r="B2" s="87" t="str">
        <f>IF(F62=1,"Click here to return to Smelter List","")</f>
        <v>Click here to return to Smelter List</v>
      </c>
      <c r="C2" s="168" t="str">
        <f>IF(F61=1,"Click here to return to Product List","")</f>
        <v/>
      </c>
      <c r="D2" s="219" t="e">
        <f ca="1">IF(H67=0,"0",H67)</f>
        <v>#REF!</v>
      </c>
    </row>
    <row r="3" spans="1:10" ht="15">
      <c r="A3" s="88" t="str">
        <f ca="1">OFFSET(L!$C$1,MATCH("Checker"&amp;ADDRESS(ROW(),COLUMN(),4),L!$A:$A,0)-1,SL,,)</f>
        <v>Required Fields</v>
      </c>
      <c r="B3" s="88" t="str">
        <f ca="1">OFFSET(L!$C$1,MATCH("Checker"&amp;ADDRESS(ROW(),COLUMN(),4),L!$A:$A,0)-1,SL,,)</f>
        <v>Answer provided</v>
      </c>
      <c r="C3" s="88" t="str">
        <f ca="1">OFFSET(L!$C$1,MATCH("Checker"&amp;ADDRESS(ROW(),COLUMN(),4),L!$A:$A,0)-1,SL,,)</f>
        <v>Notes</v>
      </c>
      <c r="D3" s="88" t="str">
        <f ca="1">OFFSET(L!$C$1,MATCH("Checker"&amp;ADDRESS(ROW(),COLUMN(),4),L!$A:$A,0)-1,SL,,)</f>
        <v>Hyperlink to source</v>
      </c>
      <c r="F3" s="89" t="s">
        <v>970</v>
      </c>
      <c r="G3" s="22" t="s">
        <v>969</v>
      </c>
      <c r="H3" s="22" t="s">
        <v>971</v>
      </c>
      <c r="I3" s="214" t="s">
        <v>2566</v>
      </c>
      <c r="J3" s="22" t="s">
        <v>2567</v>
      </c>
    </row>
    <row r="4" spans="1:10" ht="39">
      <c r="A4" s="112" t="str">
        <f ca="1">Declaration!B8</f>
        <v>Company Name (*):</v>
      </c>
      <c r="B4" s="111" t="str">
        <f>Declaration!D8</f>
        <v>beltronic ipc AG</v>
      </c>
      <c r="C4" s="111" t="str">
        <f t="shared" ref="C4:C9" ca="1" si="0">IF(H4=1,J4,I4)</f>
        <v>Complete</v>
      </c>
      <c r="D4" s="121" t="str">
        <f>IF(H4=1,"Click here to enter Company Name","")</f>
        <v/>
      </c>
      <c r="E4" s="93" t="s">
        <v>2556</v>
      </c>
      <c r="F4" s="119">
        <v>1</v>
      </c>
      <c r="G4" s="90">
        <f t="shared" ref="G4:G9" si="1">IF(B4=0,1,0)</f>
        <v>0</v>
      </c>
      <c r="H4" s="91">
        <f>F4*G4</f>
        <v>0</v>
      </c>
      <c r="I4" s="215" t="str">
        <f ca="1">OFFSET(L!$C$1,MATCH("Checker"&amp;"Comp",L!$A:$A,0)-1,SL,,)</f>
        <v>Complete</v>
      </c>
      <c r="J4" s="216" t="str">
        <f ca="1">OFFSET(L!$C$1,MATCH("Checker"&amp;ADDRESS(ROW(),COLUMN(),4),L!$A:$A,0)-1,SL,,)</f>
        <v>Provide your company name on the Declaration tab cell D8</v>
      </c>
    </row>
    <row r="5" spans="1:10" ht="39">
      <c r="A5" s="112" t="str">
        <f ca="1">Declaration!B9</f>
        <v>Declaration Scope or Class (*):</v>
      </c>
      <c r="B5" s="111" t="str">
        <f>Declaration!D9</f>
        <v>A. Company</v>
      </c>
      <c r="C5" s="111" t="str">
        <f t="shared" ca="1" si="0"/>
        <v>Complete</v>
      </c>
      <c r="D5" s="121" t="str">
        <f>IF(H5=1,"Click here to enter Declaration Scope","")</f>
        <v/>
      </c>
      <c r="E5" s="93" t="s">
        <v>2556</v>
      </c>
      <c r="F5" s="119">
        <v>1</v>
      </c>
      <c r="G5" s="90">
        <f t="shared" si="1"/>
        <v>0</v>
      </c>
      <c r="H5" s="91">
        <f t="shared" ref="H5:H23" si="2">F5*G5</f>
        <v>0</v>
      </c>
      <c r="I5" s="215" t="str">
        <f ca="1">OFFSET(L!$C$1,MATCH("Checker"&amp;"Comp",L!$A:$A,0)-1,SL,,)</f>
        <v>Complete</v>
      </c>
      <c r="J5" s="216" t="str">
        <f ca="1">OFFSET(L!$C$1,MATCH("Checker"&amp;ADDRESS(ROW(),COLUMN(),4),L!$A:$A,0)-1,SL,,)</f>
        <v>Select the scope of declaration on the Declaration tab cell D9</v>
      </c>
    </row>
    <row r="6" spans="1:10" ht="39">
      <c r="A6" s="112" t="str">
        <f ca="1">Declaration!B10</f>
        <v>Description of Scope:</v>
      </c>
      <c r="B6" s="111">
        <f>Declaration!D10</f>
        <v>0</v>
      </c>
      <c r="C6" s="111" t="str">
        <f t="shared" ca="1" si="0"/>
        <v>Complete</v>
      </c>
      <c r="D6" s="121" t="str">
        <f>IF(H6=1,"Click here to provide a Description of Scope","")</f>
        <v/>
      </c>
      <c r="E6" s="93" t="s">
        <v>2556</v>
      </c>
      <c r="F6" s="120">
        <f>IF(OR(B5=Declaration!P9,B5=Declaration!Q9,B5=0),0,1)</f>
        <v>0</v>
      </c>
      <c r="G6" s="90">
        <f t="shared" si="1"/>
        <v>1</v>
      </c>
      <c r="H6" s="91">
        <f t="shared" si="2"/>
        <v>0</v>
      </c>
      <c r="I6" s="215" t="str">
        <f ca="1">OFFSET(L!$C$1,MATCH("Checker"&amp;"Comp",L!$A:$A,0)-1,SL,,)</f>
        <v>Complete</v>
      </c>
      <c r="J6" s="22" t="str">
        <f ca="1">OFFSET(L!$C$1,MATCH("Checker"&amp;ADDRESS(ROW(),COLUMN(),4),L!$A:$A,0)-1,SL,,)</f>
        <v>Provide description of scope on Declaration tab cell D10</v>
      </c>
    </row>
    <row r="7" spans="1:10" ht="39">
      <c r="A7" s="112" t="str">
        <f ca="1">Declaration!B15</f>
        <v>Contact Name (*):</v>
      </c>
      <c r="B7" s="111" t="str">
        <f>Declaration!D15</f>
        <v>David Ledergerber</v>
      </c>
      <c r="C7" s="111" t="str">
        <f t="shared" ca="1" si="0"/>
        <v>Complete</v>
      </c>
      <c r="D7" s="121" t="str">
        <f>IF(H7=1,"Click here to enter Contact Name","")</f>
        <v/>
      </c>
      <c r="E7" s="93" t="s">
        <v>2556</v>
      </c>
      <c r="F7" s="167">
        <v>1</v>
      </c>
      <c r="G7" s="90">
        <f t="shared" si="1"/>
        <v>0</v>
      </c>
      <c r="H7" s="91">
        <f t="shared" si="2"/>
        <v>0</v>
      </c>
      <c r="I7" s="215" t="str">
        <f ca="1">OFFSET(L!$C$1,MATCH("Checker"&amp;"Comp",L!$A:$A,0)-1,SL,,)</f>
        <v>Complete</v>
      </c>
      <c r="J7" s="22" t="str">
        <f ca="1">OFFSET(L!$C$1,MATCH("Checker"&amp;ADDRESS(ROW(),COLUMN(),4),L!$A:$A,0)-1,SL,,)</f>
        <v>Provide contact name in Declaration tab cell D15</v>
      </c>
    </row>
    <row r="8" spans="1:10" ht="39">
      <c r="A8" s="112" t="str">
        <f ca="1">Declaration!B16</f>
        <v>Email – Contact (*):</v>
      </c>
      <c r="B8" s="111" t="str">
        <f>Declaration!D16</f>
        <v>david.ledergerber@beltronic-ipc.com</v>
      </c>
      <c r="C8" s="111" t="str">
        <f t="shared" ca="1" si="0"/>
        <v>Complete</v>
      </c>
      <c r="D8" s="121" t="str">
        <f>IF(H8=1,"Click here to enter Email-Contact","")</f>
        <v/>
      </c>
      <c r="E8" s="93" t="s">
        <v>2556</v>
      </c>
      <c r="F8" s="167">
        <v>1</v>
      </c>
      <c r="G8" s="90">
        <f t="shared" si="1"/>
        <v>0</v>
      </c>
      <c r="H8" s="91">
        <f t="shared" si="2"/>
        <v>0</v>
      </c>
      <c r="I8" s="215" t="str">
        <f ca="1">OFFSET(L!$C$1,MATCH("Checker"&amp;"Comp",L!$A:$A,0)-1,SL,,)</f>
        <v>Complete</v>
      </c>
      <c r="J8" s="22" t="str">
        <f ca="1">OFFSET(L!$C$1,MATCH("Checker"&amp;ADDRESS(ROW(),COLUMN(),4),L!$A:$A,0)-1,SL,,)</f>
        <v>Provide an email for contact in Declaration tab cell D16</v>
      </c>
    </row>
    <row r="9" spans="1:10" ht="39">
      <c r="A9" s="112" t="str">
        <f ca="1">Declaration!B17</f>
        <v>Phone – Contact (*):</v>
      </c>
      <c r="B9" s="111">
        <f>Declaration!D17</f>
        <v>41448672489</v>
      </c>
      <c r="C9" s="111" t="str">
        <f t="shared" ca="1" si="0"/>
        <v>Complete</v>
      </c>
      <c r="D9" s="121" t="str">
        <f>IF(H9=1,"Click here to enter Phone-Contact","")</f>
        <v/>
      </c>
      <c r="E9" s="93" t="s">
        <v>2556</v>
      </c>
      <c r="F9" s="167">
        <v>1</v>
      </c>
      <c r="G9" s="90">
        <f t="shared" si="1"/>
        <v>0</v>
      </c>
      <c r="H9" s="91">
        <f t="shared" si="2"/>
        <v>0</v>
      </c>
      <c r="I9" s="215" t="str">
        <f ca="1">OFFSET(L!$C$1,MATCH("Checker"&amp;"Comp",L!$A:$A,0)-1,SL,,)</f>
        <v>Complete</v>
      </c>
      <c r="J9" s="22" t="str">
        <f ca="1">OFFSET(L!$C$1,MATCH("Checker"&amp;ADDRESS(ROW(),COLUMN(),4),L!$A:$A,0)-1,SL,,)</f>
        <v>Provide a phone number for contact in Declaration tab cell D17</v>
      </c>
    </row>
    <row r="10" spans="1:10" ht="39">
      <c r="A10" s="112" t="str">
        <f ca="1">Declaration!B18</f>
        <v>Authorizer (*):</v>
      </c>
      <c r="B10" s="111" t="str">
        <f>Declaration!D18</f>
        <v>Benno Ledergerber</v>
      </c>
      <c r="C10" s="111" t="str">
        <f t="shared" ref="C10:C61" ca="1" si="3">IF(H10=1,J10,I10)</f>
        <v>Complete</v>
      </c>
      <c r="D10" s="121" t="str">
        <f>IF(H10=1,"Click here to enter an Authorized Company Representative's name","")</f>
        <v/>
      </c>
      <c r="E10" s="93" t="s">
        <v>2556</v>
      </c>
      <c r="F10" s="119">
        <v>1</v>
      </c>
      <c r="G10" s="90">
        <f t="shared" ref="G10:G23" si="4">IF(B10=0,1,0)</f>
        <v>0</v>
      </c>
      <c r="H10" s="91">
        <f t="shared" si="2"/>
        <v>0</v>
      </c>
      <c r="I10" s="215" t="str">
        <f ca="1">OFFSET(L!$C$1,MATCH("Checker"&amp;"Comp",L!$A:$A,0)-1,SL,,)</f>
        <v>Complete</v>
      </c>
      <c r="J10" s="22" t="str">
        <f ca="1">OFFSET(L!$C$1,MATCH("Checker"&amp;ADDRESS(ROW(),COLUMN(),4),L!$A:$A,0)-1,SL,,)</f>
        <v>Provide authorized company representative contact name in Declaration tab cell D18</v>
      </c>
    </row>
    <row r="11" spans="1:10" ht="39">
      <c r="A11" s="112" t="str">
        <f ca="1">Declaration!B20</f>
        <v>Email - Authorizer (*):</v>
      </c>
      <c r="B11" s="111" t="str">
        <f>Declaration!D20</f>
        <v>benno.ledergerber@beltronic-ipc.com</v>
      </c>
      <c r="C11" s="111" t="str">
        <f t="shared" ca="1" si="3"/>
        <v>Complete</v>
      </c>
      <c r="D11" s="121" t="str">
        <f>IF(H11=1,"Click here to enter Representative's email","")</f>
        <v/>
      </c>
      <c r="E11" s="93" t="s">
        <v>2556</v>
      </c>
      <c r="F11" s="119">
        <v>1</v>
      </c>
      <c r="G11" s="90">
        <f t="shared" si="4"/>
        <v>0</v>
      </c>
      <c r="H11" s="91">
        <f t="shared" si="2"/>
        <v>0</v>
      </c>
      <c r="I11" s="215" t="str">
        <f ca="1">OFFSET(L!$C$1,MATCH("Checker"&amp;"Comp",L!$A:$A,0)-1,SL,,)</f>
        <v>Complete</v>
      </c>
      <c r="J11" s="22" t="str">
        <f ca="1">OFFSET(L!$C$1,MATCH("Checker"&amp;ADDRESS(ROW(),COLUMN(),4),L!$A:$A,0)-1,SL,,)</f>
        <v>Provide an email for authorized company representative on Declaration tab cell D20</v>
      </c>
    </row>
    <row r="12" spans="1:10" ht="39">
      <c r="A12" s="112" t="str">
        <f ca="1">Declaration!B21</f>
        <v>Phone - Authorizer (*):</v>
      </c>
      <c r="B12" s="111">
        <f>Declaration!D21</f>
        <v>41448672489</v>
      </c>
      <c r="C12" s="111" t="str">
        <f ca="1">IF(H12=1,J12,I12)</f>
        <v>Complete</v>
      </c>
      <c r="D12" s="121" t="str">
        <f>IF(H12=1,"Click here to enter Representative's phone","")</f>
        <v/>
      </c>
      <c r="E12" s="93" t="s">
        <v>2556</v>
      </c>
      <c r="F12" s="119">
        <v>1</v>
      </c>
      <c r="G12" s="90">
        <f>IF(B12=0,1,0)</f>
        <v>0</v>
      </c>
      <c r="H12" s="91">
        <f>F12*G12</f>
        <v>0</v>
      </c>
      <c r="I12" s="215" t="str">
        <f ca="1">OFFSET(L!$C$1,MATCH("Checker"&amp;"Comp",L!$A:$A,0)-1,SL,,)</f>
        <v>Complete</v>
      </c>
      <c r="J12" s="22" t="str">
        <f ca="1">OFFSET(L!$C$1,MATCH("Checker"&amp;ADDRESS(ROW(),COLUMN(),4),L!$A:$A,0)-1,SL,,)</f>
        <v>Provide a phone number for authorized company representative on Declaration tab cell D21</v>
      </c>
    </row>
    <row r="13" spans="1:10" ht="39">
      <c r="A13" s="112" t="str">
        <f ca="1">Declaration!B22</f>
        <v>Effective Date (*):</v>
      </c>
      <c r="B13" s="113">
        <f>Declaration!D22</f>
        <v>42874</v>
      </c>
      <c r="C13" s="111" t="str">
        <f t="shared" ca="1" si="3"/>
        <v>Complete</v>
      </c>
      <c r="D13" s="121" t="str">
        <f>IF(H13=1,"Click here to enter Date of Completion","")</f>
        <v/>
      </c>
      <c r="E13" s="93" t="s">
        <v>2556</v>
      </c>
      <c r="F13" s="119">
        <v>1</v>
      </c>
      <c r="G13" s="90">
        <f t="shared" si="4"/>
        <v>0</v>
      </c>
      <c r="H13" s="91">
        <f t="shared" si="2"/>
        <v>0</v>
      </c>
      <c r="I13" s="215" t="str">
        <f ca="1">OFFSET(L!$C$1,MATCH("Checker"&amp;"Comp",L!$A:$A,0)-1,SL,,)</f>
        <v>Complete</v>
      </c>
      <c r="J13" s="22" t="str">
        <f ca="1">OFFSET(L!$C$1,MATCH("Checker"&amp;ADDRESS(ROW(),COLUMN(),4),L!$A:$A,0)-1,SL,,)</f>
        <v>Provide date the form was completed on Declaration tab cell D22</v>
      </c>
    </row>
    <row r="14" spans="1:10" ht="63.75">
      <c r="A14" s="111" t="str">
        <f ca="1">Declaration!B25</f>
        <v>1) Is the 3TG intentionally added to your product? (*)</v>
      </c>
      <c r="B14" s="114"/>
      <c r="C14" s="114"/>
      <c r="D14" s="122"/>
      <c r="E14" s="93" t="s">
        <v>1455</v>
      </c>
      <c r="F14" s="119"/>
      <c r="G14" s="24"/>
      <c r="H14" s="92">
        <f t="shared" si="2"/>
        <v>0</v>
      </c>
    </row>
    <row r="15" spans="1:10" ht="26.25">
      <c r="A15" s="112" t="str">
        <f ca="1">Declaration!B26</f>
        <v>Tantalum  (*)</v>
      </c>
      <c r="B15" s="111" t="str">
        <f>Declaration!D26</f>
        <v>Yes</v>
      </c>
      <c r="C15" s="111" t="str">
        <f t="shared" ca="1" si="3"/>
        <v>Complete</v>
      </c>
      <c r="D15" s="121" t="str">
        <f>IF(H15=1,"Click here to answer question 1 for Tantalum","")</f>
        <v/>
      </c>
      <c r="E15" s="93" t="s">
        <v>1451</v>
      </c>
      <c r="F15" s="119">
        <v>1</v>
      </c>
      <c r="G15" s="90">
        <f t="shared" si="4"/>
        <v>0</v>
      </c>
      <c r="H15" s="91">
        <f t="shared" si="2"/>
        <v>0</v>
      </c>
      <c r="I15" s="215" t="str">
        <f ca="1">OFFSET(L!$C$1,MATCH("Checker"&amp;"Comp",L!$A:$A,0)-1,SL,,)</f>
        <v>Complete</v>
      </c>
      <c r="J15" s="216" t="str">
        <f ca="1">OFFSET(L!$C$1,MATCH("Checker"&amp;ADDRESS(ROW(),COLUMN(),4),L!$A:$A,0)-1,SL,,)</f>
        <v>Declare if Tantalum is intentionally added to your products on Declaration tab cell D26</v>
      </c>
    </row>
    <row r="16" spans="1:10" ht="39">
      <c r="A16" s="112" t="str">
        <f ca="1">Declaration!B27</f>
        <v>Tin  (*)</v>
      </c>
      <c r="B16" s="111" t="str">
        <f>Declaration!D27</f>
        <v>Yes</v>
      </c>
      <c r="C16" s="111" t="str">
        <f t="shared" ca="1" si="3"/>
        <v>Complete</v>
      </c>
      <c r="D16" s="121" t="str">
        <f>IF(H16=1,"Click here to answer question 1 for Tin","")</f>
        <v/>
      </c>
      <c r="E16" s="93" t="s">
        <v>1452</v>
      </c>
      <c r="F16" s="119">
        <v>1</v>
      </c>
      <c r="G16" s="90">
        <f t="shared" si="4"/>
        <v>0</v>
      </c>
      <c r="H16" s="91">
        <f t="shared" si="2"/>
        <v>0</v>
      </c>
      <c r="I16" s="215" t="str">
        <f ca="1">OFFSET(L!$C$1,MATCH("Checker"&amp;"Comp",L!$A:$A,0)-1,SL,,)</f>
        <v>Complete</v>
      </c>
      <c r="J16" s="216" t="str">
        <f ca="1">OFFSET(L!$C$1,MATCH("Checker"&amp;ADDRESS(ROW(),COLUMN(),4),L!$A:$A,0)-1,SL,,)</f>
        <v>Declare if Tin is intentionally added to your products on Declaration tab cell D27</v>
      </c>
    </row>
    <row r="17" spans="1:10" ht="39">
      <c r="A17" s="112" t="str">
        <f ca="1">Declaration!B28</f>
        <v>Gold  (*)</v>
      </c>
      <c r="B17" s="111" t="str">
        <f>Declaration!D28</f>
        <v>Yes</v>
      </c>
      <c r="C17" s="111" t="str">
        <f t="shared" ca="1" si="3"/>
        <v>Complete</v>
      </c>
      <c r="D17" s="121" t="str">
        <f>IF(H17=1,"Click here to answer question 1 for Gold","")</f>
        <v/>
      </c>
      <c r="E17" s="93" t="s">
        <v>1452</v>
      </c>
      <c r="F17" s="119">
        <v>1</v>
      </c>
      <c r="G17" s="90">
        <f t="shared" si="4"/>
        <v>0</v>
      </c>
      <c r="H17" s="91">
        <f t="shared" si="2"/>
        <v>0</v>
      </c>
      <c r="I17" s="215" t="str">
        <f ca="1">OFFSET(L!$C$1,MATCH("Checker"&amp;"Comp",L!$A:$A,0)-1,SL,,)</f>
        <v>Complete</v>
      </c>
      <c r="J17" s="216" t="str">
        <f ca="1">OFFSET(L!$C$1,MATCH("Checker"&amp;ADDRESS(ROW(),COLUMN(),4),L!$A:$A,0)-1,SL,,)</f>
        <v>Declare if Gold is intentionally added to your products on Declaration tab cell D28</v>
      </c>
    </row>
    <row r="18" spans="1:10" ht="39">
      <c r="A18" s="112" t="str">
        <f ca="1">Declaration!B29</f>
        <v>Tungsten  (*)</v>
      </c>
      <c r="B18" s="111" t="str">
        <f>Declaration!D29</f>
        <v>Yes</v>
      </c>
      <c r="C18" s="111" t="str">
        <f t="shared" ca="1" si="3"/>
        <v>Complete</v>
      </c>
      <c r="D18" s="121" t="str">
        <f>IF(H18=1,"Click here to answer question 1 for Tungsten","")</f>
        <v/>
      </c>
      <c r="E18" s="93" t="s">
        <v>1452</v>
      </c>
      <c r="F18" s="119">
        <v>1</v>
      </c>
      <c r="G18" s="90">
        <f t="shared" si="4"/>
        <v>0</v>
      </c>
      <c r="H18" s="91">
        <f t="shared" si="2"/>
        <v>0</v>
      </c>
      <c r="I18" s="215" t="str">
        <f ca="1">OFFSET(L!$C$1,MATCH("Checker"&amp;"Comp",L!$A:$A,0)-1,SL,,)</f>
        <v>Complete</v>
      </c>
      <c r="J18" s="216" t="str">
        <f ca="1">OFFSET(L!$C$1,MATCH("Checker"&amp;ADDRESS(ROW(),COLUMN(),4),L!$A:$A,0)-1,SL,,)</f>
        <v>Declare if Tungsten is intentionally added to your products on Declaration tab cell D29</v>
      </c>
    </row>
    <row r="19" spans="1:10" ht="51">
      <c r="A19" s="111" t="str">
        <f ca="1">Declaration!B31</f>
        <v>2) Is the 3TG necessary to the production of your company’s products and contained in the finished product that your company manufactures or contracts to manufacture?  (*)</v>
      </c>
      <c r="B19" s="114"/>
      <c r="C19" s="114"/>
      <c r="D19" s="122"/>
      <c r="E19" s="93" t="s">
        <v>1453</v>
      </c>
      <c r="F19" s="119"/>
      <c r="G19" s="24"/>
      <c r="H19" s="24"/>
      <c r="J19" s="216"/>
    </row>
    <row r="20" spans="1:10" ht="39">
      <c r="A20" s="112" t="str">
        <f ca="1">Declaration!B32</f>
        <v>Tantalum  (*)</v>
      </c>
      <c r="B20" s="111" t="str">
        <f>Declaration!D32</f>
        <v>Yes</v>
      </c>
      <c r="C20" s="111" t="str">
        <f t="shared" ca="1" si="3"/>
        <v>Complete</v>
      </c>
      <c r="D20" s="123" t="str">
        <f>IF(H20=1,"Click here to answer question 2 for Tantalum","")</f>
        <v/>
      </c>
      <c r="E20" s="93" t="s">
        <v>1452</v>
      </c>
      <c r="F20" s="119">
        <v>1</v>
      </c>
      <c r="G20" s="90">
        <f t="shared" si="4"/>
        <v>0</v>
      </c>
      <c r="H20" s="91">
        <f t="shared" si="2"/>
        <v>0</v>
      </c>
      <c r="I20" s="215" t="str">
        <f ca="1">OFFSET(L!$C$1,MATCH("Checker"&amp;"Comp",L!$A:$A,0)-1,SL,,)</f>
        <v>Complete</v>
      </c>
      <c r="J20" s="216" t="str">
        <f ca="1">OFFSET(L!$C$1,MATCH("Checker"&amp;ADDRESS(ROW(),COLUMN(),4),L!$A:$A,0)-1,SL,,)</f>
        <v>Declare if Tantalum is necessary to the production of your products and contained within the finished products declared in Declaration tab cell D32</v>
      </c>
    </row>
    <row r="21" spans="1:10" ht="39">
      <c r="A21" s="112" t="str">
        <f ca="1">Declaration!B33</f>
        <v>Tin  (*)</v>
      </c>
      <c r="B21" s="111" t="str">
        <f>Declaration!D33</f>
        <v>Yes</v>
      </c>
      <c r="C21" s="111" t="str">
        <f t="shared" ca="1" si="3"/>
        <v>Complete</v>
      </c>
      <c r="D21" s="123" t="str">
        <f>IF(H21=1,"Click here to answer question 2 for Tin","")</f>
        <v/>
      </c>
      <c r="E21" s="93" t="s">
        <v>1452</v>
      </c>
      <c r="F21" s="119">
        <v>1</v>
      </c>
      <c r="G21" s="90">
        <f t="shared" si="4"/>
        <v>0</v>
      </c>
      <c r="H21" s="91">
        <f t="shared" si="2"/>
        <v>0</v>
      </c>
      <c r="I21" s="215" t="str">
        <f ca="1">OFFSET(L!$C$1,MATCH("Checker"&amp;"Comp",L!$A:$A,0)-1,SL,,)</f>
        <v>Complete</v>
      </c>
      <c r="J21" s="216" t="str">
        <f ca="1">OFFSET(L!$C$1,MATCH("Checker"&amp;ADDRESS(ROW(),COLUMN(),4),L!$A:$A,0)-1,SL,,)</f>
        <v>Declare if Tin is necessary to the production of your products and contained within the finished products declared in Declaration tab cell D33</v>
      </c>
    </row>
    <row r="22" spans="1:10" ht="39">
      <c r="A22" s="112" t="str">
        <f ca="1">Declaration!B34</f>
        <v>Gold  (*)</v>
      </c>
      <c r="B22" s="111" t="str">
        <f>Declaration!D34</f>
        <v>Yes</v>
      </c>
      <c r="C22" s="111" t="str">
        <f t="shared" ca="1" si="3"/>
        <v>Complete</v>
      </c>
      <c r="D22" s="123" t="str">
        <f>IF(H22=1,"Click here to answer question 2 for Gold","")</f>
        <v/>
      </c>
      <c r="E22" s="93" t="s">
        <v>1452</v>
      </c>
      <c r="F22" s="119">
        <v>1</v>
      </c>
      <c r="G22" s="90">
        <f t="shared" si="4"/>
        <v>0</v>
      </c>
      <c r="H22" s="91">
        <f t="shared" si="2"/>
        <v>0</v>
      </c>
      <c r="I22" s="215" t="str">
        <f ca="1">OFFSET(L!$C$1,MATCH("Checker"&amp;"Comp",L!$A:$A,0)-1,SL,,)</f>
        <v>Complete</v>
      </c>
      <c r="J22" s="216" t="str">
        <f ca="1">OFFSET(L!$C$1,MATCH("Checker"&amp;ADDRESS(ROW(),COLUMN(),4),L!$A:$A,0)-1,SL,,)</f>
        <v>Declare if Gold is necessary to the production of your products and contained within the finished products declared in Declaration tab cell D34</v>
      </c>
    </row>
    <row r="23" spans="1:10" ht="39">
      <c r="A23" s="112" t="str">
        <f ca="1">Declaration!B35</f>
        <v>Tungsten  (*)</v>
      </c>
      <c r="B23" s="111" t="str">
        <f>Declaration!D35</f>
        <v>Yes</v>
      </c>
      <c r="C23" s="111" t="str">
        <f t="shared" ca="1" si="3"/>
        <v>Complete</v>
      </c>
      <c r="D23" s="123" t="str">
        <f>IF(H23=1,"Click here to answer question 2 for Tungsten","")</f>
        <v/>
      </c>
      <c r="E23" s="93" t="s">
        <v>1452</v>
      </c>
      <c r="F23" s="119">
        <v>1</v>
      </c>
      <c r="G23" s="90">
        <f t="shared" si="4"/>
        <v>0</v>
      </c>
      <c r="H23" s="91">
        <f t="shared" si="2"/>
        <v>0</v>
      </c>
      <c r="I23" s="215" t="str">
        <f ca="1">OFFSET(L!$C$1,MATCH("Checker"&amp;"Comp",L!$A:$A,0)-1,SL,,)</f>
        <v>Complete</v>
      </c>
      <c r="J23" s="216" t="str">
        <f ca="1">OFFSET(L!$C$1,MATCH("Checker"&amp;ADDRESS(ROW(),COLUMN(),4),L!$A:$A,0)-1,SL,,)</f>
        <v>Declare if Tungsten is necessary to the production of your products and contained within the finished products declared in Declaration tab cell D35</v>
      </c>
    </row>
    <row r="24" spans="1:10" ht="38.25">
      <c r="A24" s="111" t="str">
        <f ca="1">Declaration!B37</f>
        <v>3) Do any of the smelters in your supply chain source the 3TG from the covered countries? (SEC term, see definitions tab) (*)</v>
      </c>
      <c r="B24" s="114"/>
      <c r="C24" s="114"/>
      <c r="D24" s="122"/>
      <c r="E24" s="93" t="s">
        <v>1452</v>
      </c>
      <c r="F24" s="119"/>
      <c r="G24" s="24"/>
      <c r="H24" s="24"/>
      <c r="J24" s="216"/>
    </row>
    <row r="25" spans="1:10" ht="39" customHeight="1">
      <c r="A25" s="112" t="str">
        <f ca="1">Declaration!B38</f>
        <v>Tantalum  (*)</v>
      </c>
      <c r="B25" s="111" t="str">
        <f>Declaration!D38</f>
        <v>Unknown</v>
      </c>
      <c r="C25" s="111" t="str">
        <f t="shared" ca="1" si="3"/>
        <v>Complete</v>
      </c>
      <c r="D25" s="123" t="str">
        <f>IF(H25=1,"Click here to answer question 3 for Tantalum","")</f>
        <v/>
      </c>
      <c r="E25" s="93" t="s">
        <v>1452</v>
      </c>
      <c r="F25" s="120">
        <f>IF(AND(B$15="No",B$20="No"),0,1)</f>
        <v>1</v>
      </c>
      <c r="G25" s="90">
        <f t="shared" ref="G25:G60" si="5">IF(B25=0,1,0)</f>
        <v>0</v>
      </c>
      <c r="H25" s="91">
        <f t="shared" ref="H25:H61" si="6">F25*G25</f>
        <v>0</v>
      </c>
      <c r="I25" s="215"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12" t="str">
        <f ca="1">Declaration!B39</f>
        <v>Tin  (*)</v>
      </c>
      <c r="B26" s="111" t="str">
        <f>Declaration!D39</f>
        <v>Unknown</v>
      </c>
      <c r="C26" s="111" t="str">
        <f t="shared" ca="1" si="3"/>
        <v>Complete</v>
      </c>
      <c r="D26" s="123" t="str">
        <f>IF(H26=1,"Click here to answer question 3 for Tin","")</f>
        <v/>
      </c>
      <c r="E26" s="93" t="s">
        <v>1452</v>
      </c>
      <c r="F26" s="120">
        <f>IF(AND(B$16="No",B$21="No"),0,1)</f>
        <v>1</v>
      </c>
      <c r="G26" s="90">
        <f t="shared" si="5"/>
        <v>0</v>
      </c>
      <c r="H26" s="91">
        <f t="shared" si="6"/>
        <v>0</v>
      </c>
      <c r="I26" s="215"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12" t="str">
        <f ca="1">Declaration!B40</f>
        <v>Gold  (*)</v>
      </c>
      <c r="B27" s="111" t="str">
        <f>Declaration!D40</f>
        <v>Unknown</v>
      </c>
      <c r="C27" s="111" t="str">
        <f t="shared" ca="1" si="3"/>
        <v>Complete</v>
      </c>
      <c r="D27" s="123" t="str">
        <f>IF(H27=1,"Click here to answer question 3 for Gold","")</f>
        <v/>
      </c>
      <c r="E27" s="93" t="s">
        <v>1452</v>
      </c>
      <c r="F27" s="120">
        <f>IF(AND(B$17="No",B$22="No"),0,1)</f>
        <v>1</v>
      </c>
      <c r="G27" s="90">
        <f t="shared" si="5"/>
        <v>0</v>
      </c>
      <c r="H27" s="91">
        <f t="shared" si="6"/>
        <v>0</v>
      </c>
      <c r="I27" s="215"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12" t="str">
        <f ca="1">Declaration!B41</f>
        <v>Tungsten  (*)</v>
      </c>
      <c r="B28" s="111" t="str">
        <f>Declaration!D41</f>
        <v>Unknown</v>
      </c>
      <c r="C28" s="111" t="str">
        <f t="shared" ca="1" si="3"/>
        <v>Complete</v>
      </c>
      <c r="D28" s="123" t="str">
        <f>IF(H28=1,"Click here to answer question 3 for Tungsten","")</f>
        <v/>
      </c>
      <c r="E28" s="93" t="s">
        <v>1452</v>
      </c>
      <c r="F28" s="120">
        <f>IF(AND(B$18="No",B$23="No"),0,1)</f>
        <v>1</v>
      </c>
      <c r="G28" s="90">
        <f t="shared" si="5"/>
        <v>0</v>
      </c>
      <c r="H28" s="91">
        <f t="shared" si="6"/>
        <v>0</v>
      </c>
      <c r="I28" s="215"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11" t="str">
        <f ca="1">Declaration!B43</f>
        <v>4) Does 100 percent of the 3TG (necessary to the functionality or production of your products) originate from recycled or scrap sources?  (*)</v>
      </c>
      <c r="B29" s="114"/>
      <c r="C29" s="114"/>
      <c r="D29" s="122"/>
      <c r="E29" s="93" t="s">
        <v>2556</v>
      </c>
      <c r="F29" s="119"/>
      <c r="G29" s="24"/>
      <c r="H29" s="24"/>
      <c r="J29" s="216"/>
    </row>
    <row r="30" spans="1:10" ht="39" customHeight="1">
      <c r="A30" s="112" t="str">
        <f ca="1">Declaration!B44</f>
        <v>Tantalum  (*)</v>
      </c>
      <c r="B30" s="111" t="str">
        <f>Declaration!D44</f>
        <v>No</v>
      </c>
      <c r="C30" s="111" t="str">
        <f ca="1">IF(H30=1,J30,I30)</f>
        <v>Complete</v>
      </c>
      <c r="D30" s="123" t="str">
        <f>IF(H30=1,"Click here to answer question 4 for Tantalum","")</f>
        <v/>
      </c>
      <c r="E30" s="93" t="s">
        <v>2556</v>
      </c>
      <c r="F30" s="120">
        <f>F25</f>
        <v>1</v>
      </c>
      <c r="G30" s="90">
        <f>IF(B30=0,1,0)</f>
        <v>0</v>
      </c>
      <c r="H30" s="91">
        <f>F30*G30</f>
        <v>0</v>
      </c>
      <c r="I30" s="215" t="str">
        <f ca="1">OFFSET(L!$C$1,MATCH("Checker"&amp;"Comp",L!$A:$A,0)-1,SL,,)</f>
        <v>Complete</v>
      </c>
      <c r="J30" s="216" t="str">
        <f ca="1">OFFSET(L!$C$1,MATCH("Checker"&amp;ADDRESS(ROW(),COLUMN(),4),L!$A:$A,0)-1,SL,,)</f>
        <v>Declare if Tantalum used within the scope of products declared within this survey response originated entirely from a recycled or scrap source on the Declaration tab cell D44</v>
      </c>
    </row>
    <row r="31" spans="1:10" ht="39">
      <c r="A31" s="112" t="str">
        <f ca="1">Declaration!B45</f>
        <v>Tin  (*)</v>
      </c>
      <c r="B31" s="111" t="str">
        <f>Declaration!D45</f>
        <v>No</v>
      </c>
      <c r="C31" s="111" t="str">
        <f ca="1">IF(H31=1,J31,I31)</f>
        <v>Complete</v>
      </c>
      <c r="D31" s="123" t="str">
        <f>IF(H31=1,"Click here to answer question 4 for Tin","")</f>
        <v/>
      </c>
      <c r="E31" s="93" t="s">
        <v>2556</v>
      </c>
      <c r="F31" s="120">
        <f>F26</f>
        <v>1</v>
      </c>
      <c r="G31" s="90">
        <f>IF(B31=0,1,0)</f>
        <v>0</v>
      </c>
      <c r="H31" s="91">
        <f>F31*G31</f>
        <v>0</v>
      </c>
      <c r="I31" s="215" t="str">
        <f ca="1">OFFSET(L!$C$1,MATCH("Checker"&amp;"Comp",L!$A:$A,0)-1,SL,,)</f>
        <v>Complete</v>
      </c>
      <c r="J31" s="216" t="str">
        <f ca="1">OFFSET(L!$C$1,MATCH("Checker"&amp;ADDRESS(ROW(),COLUMN(),4),L!$A:$A,0)-1,SL,,)</f>
        <v>Declare if Tin used within the scope of products declared within this survey response originated entirely from a recycled or scrap source on the Declaration tab cell D45</v>
      </c>
    </row>
    <row r="32" spans="1:10" ht="39">
      <c r="A32" s="112" t="str">
        <f ca="1">Declaration!B46</f>
        <v>Gold  (*)</v>
      </c>
      <c r="B32" s="111" t="str">
        <f>Declaration!D46</f>
        <v>No</v>
      </c>
      <c r="C32" s="111" t="str">
        <f ca="1">IF(H32=1,J32,I32)</f>
        <v>Complete</v>
      </c>
      <c r="D32" s="123" t="str">
        <f>IF(H32=1,"Click here to answer question 4 for Gold","")</f>
        <v/>
      </c>
      <c r="E32" s="93" t="s">
        <v>2556</v>
      </c>
      <c r="F32" s="120">
        <f>F27</f>
        <v>1</v>
      </c>
      <c r="G32" s="90">
        <f>IF(B32=0,1,0)</f>
        <v>0</v>
      </c>
      <c r="H32" s="91">
        <f>F32*G32</f>
        <v>0</v>
      </c>
      <c r="I32" s="215" t="str">
        <f ca="1">OFFSET(L!$C$1,MATCH("Checker"&amp;"Comp",L!$A:$A,0)-1,SL,,)</f>
        <v>Complete</v>
      </c>
      <c r="J32" s="216" t="str">
        <f ca="1">OFFSET(L!$C$1,MATCH("Checker"&amp;ADDRESS(ROW(),COLUMN(),4),L!$A:$A,0)-1,SL,,)</f>
        <v>Declare if Gold used within the scope of products declared within this survey response originated entirely from a recycled or scrap source on the Declaration tab cell D46</v>
      </c>
    </row>
    <row r="33" spans="1:10" ht="39">
      <c r="A33" s="112" t="str">
        <f ca="1">Declaration!B47</f>
        <v>Tungsten  (*)</v>
      </c>
      <c r="B33" s="111" t="str">
        <f>Declaration!D47</f>
        <v>No</v>
      </c>
      <c r="C33" s="111" t="str">
        <f ca="1">IF(H33=1,J33,I33)</f>
        <v>Complete</v>
      </c>
      <c r="D33" s="123" t="str">
        <f>IF(H33=1,"Click here to answer question 4 for Tungsten","")</f>
        <v/>
      </c>
      <c r="E33" s="93" t="s">
        <v>2556</v>
      </c>
      <c r="F33" s="120">
        <f>F28</f>
        <v>1</v>
      </c>
      <c r="G33" s="90">
        <f>IF(B33=0,1,0)</f>
        <v>0</v>
      </c>
      <c r="H33" s="91">
        <f>F33*G33</f>
        <v>0</v>
      </c>
      <c r="I33" s="215" t="str">
        <f ca="1">OFFSET(L!$C$1,MATCH("Checker"&amp;"Comp",L!$A:$A,0)-1,SL,,)</f>
        <v>Complete</v>
      </c>
      <c r="J33" s="216" t="str">
        <f ca="1">OFFSET(L!$C$1,MATCH("Checker"&amp;ADDRESS(ROW(),COLUMN(),4),L!$A:$A,0)-1,SL,,)</f>
        <v>Declare if Tungsten used within the scope of products declared within this survey response originated entirely from a recycled or scrap source on the Declaration tab cell D47</v>
      </c>
    </row>
    <row r="34" spans="1:10" ht="38.25">
      <c r="A34" s="111" t="str">
        <f ca="1">Declaration!B49</f>
        <v>5) Have you received data/information for each 3TG from all relevant suppliers? (*)</v>
      </c>
      <c r="B34" s="114"/>
      <c r="C34" s="114"/>
      <c r="D34" s="122"/>
      <c r="E34" s="93" t="s">
        <v>1452</v>
      </c>
      <c r="F34" s="119"/>
      <c r="G34" s="24"/>
      <c r="H34" s="24"/>
    </row>
    <row r="35" spans="1:10" ht="26.25">
      <c r="A35" s="112" t="str">
        <f ca="1">Declaration!B50</f>
        <v>Tantalum  (*)</v>
      </c>
      <c r="B35" s="111" t="str">
        <f>Declaration!D50</f>
        <v xml:space="preserve">No, but greater than 75% </v>
      </c>
      <c r="C35" s="111" t="str">
        <f t="shared" ca="1" si="3"/>
        <v>Complete</v>
      </c>
      <c r="D35" s="121" t="str">
        <f>IF(H35=1,"Click here to answer question 5 for Tantalum","")</f>
        <v/>
      </c>
      <c r="E35" s="93" t="s">
        <v>1451</v>
      </c>
      <c r="F35" s="120">
        <f>F25</f>
        <v>1</v>
      </c>
      <c r="G35" s="90">
        <f t="shared" si="5"/>
        <v>0</v>
      </c>
      <c r="H35" s="91">
        <f t="shared" si="6"/>
        <v>0</v>
      </c>
      <c r="I35" s="215" t="str">
        <f ca="1">OFFSET(L!$C$1,MATCH("Checker"&amp;"Comp",L!$A:$A,0)-1,SL,,)</f>
        <v>Complete</v>
      </c>
      <c r="J35" s="22" t="str">
        <f ca="1">OFFSET(L!$C$1,MATCH("Checker"&amp;ADDRESS(ROW(),COLUMN(),4),L!$A:$A,0)-1,SL,,)</f>
        <v>Provide % of completeness of supplier's smelter information on Declaration tab cell D50</v>
      </c>
    </row>
    <row r="36" spans="1:10" ht="26.25">
      <c r="A36" s="112" t="str">
        <f ca="1">Declaration!B51</f>
        <v>Tin  (*)</v>
      </c>
      <c r="B36" s="111" t="str">
        <f>Declaration!D51</f>
        <v xml:space="preserve">No, but greater than 75% </v>
      </c>
      <c r="C36" s="111" t="str">
        <f t="shared" ca="1" si="3"/>
        <v>Complete</v>
      </c>
      <c r="D36" s="121" t="str">
        <f>IF(H36=1,"Click here to answer question 5 for Tin","")</f>
        <v/>
      </c>
      <c r="E36" s="93" t="s">
        <v>1451</v>
      </c>
      <c r="F36" s="120">
        <f>F26</f>
        <v>1</v>
      </c>
      <c r="G36" s="90">
        <f t="shared" si="5"/>
        <v>0</v>
      </c>
      <c r="H36" s="91">
        <f t="shared" si="6"/>
        <v>0</v>
      </c>
      <c r="I36" s="215" t="str">
        <f ca="1">OFFSET(L!$C$1,MATCH("Checker"&amp;"Comp",L!$A:$A,0)-1,SL,,)</f>
        <v>Complete</v>
      </c>
      <c r="J36" s="22" t="str">
        <f ca="1">OFFSET(L!$C$1,MATCH("Checker"&amp;ADDRESS(ROW(),COLUMN(),4),L!$A:$A,0)-1,SL,,)</f>
        <v>Provide % of completeness of supplier's smelter information on Declaration tab cell D51</v>
      </c>
    </row>
    <row r="37" spans="1:10" ht="26.25">
      <c r="A37" s="112" t="str">
        <f ca="1">Declaration!B52</f>
        <v>Gold  (*)</v>
      </c>
      <c r="B37" s="111" t="str">
        <f>Declaration!D52</f>
        <v xml:space="preserve">No, but greater than 75% </v>
      </c>
      <c r="C37" s="111" t="str">
        <f t="shared" ca="1" si="3"/>
        <v>Complete</v>
      </c>
      <c r="D37" s="121" t="str">
        <f>IF(H37=1,"Click here to answer question 5 for Gold","")</f>
        <v/>
      </c>
      <c r="E37" s="93" t="s">
        <v>1451</v>
      </c>
      <c r="F37" s="120">
        <f>F27</f>
        <v>1</v>
      </c>
      <c r="G37" s="90">
        <f t="shared" si="5"/>
        <v>0</v>
      </c>
      <c r="H37" s="91">
        <f t="shared" si="6"/>
        <v>0</v>
      </c>
      <c r="I37" s="215" t="str">
        <f ca="1">OFFSET(L!$C$1,MATCH("Checker"&amp;"Comp",L!$A:$A,0)-1,SL,,)</f>
        <v>Complete</v>
      </c>
      <c r="J37" s="22" t="str">
        <f ca="1">OFFSET(L!$C$1,MATCH("Checker"&amp;ADDRESS(ROW(),COLUMN(),4),L!$A:$A,0)-1,SL,,)</f>
        <v>Provide % of completeness of supplier's smelter information on Declaration tab cell D52</v>
      </c>
    </row>
    <row r="38" spans="1:10" ht="26.25">
      <c r="A38" s="112" t="str">
        <f ca="1">Declaration!B53</f>
        <v>Tungsten  (*)</v>
      </c>
      <c r="B38" s="111" t="str">
        <f>Declaration!D53</f>
        <v xml:space="preserve">No, but greater than 75% </v>
      </c>
      <c r="C38" s="111" t="str">
        <f t="shared" ca="1" si="3"/>
        <v>Complete</v>
      </c>
      <c r="D38" s="121" t="str">
        <f>IF(H38=1,"Click here to answer question 5 for Tungsten","")</f>
        <v/>
      </c>
      <c r="E38" s="93" t="s">
        <v>1451</v>
      </c>
      <c r="F38" s="120">
        <f>F28</f>
        <v>1</v>
      </c>
      <c r="G38" s="90">
        <f t="shared" si="5"/>
        <v>0</v>
      </c>
      <c r="H38" s="91">
        <f t="shared" si="6"/>
        <v>0</v>
      </c>
      <c r="I38" s="215" t="str">
        <f ca="1">OFFSET(L!$C$1,MATCH("Checker"&amp;"Comp",L!$A:$A,0)-1,SL,,)</f>
        <v>Complete</v>
      </c>
      <c r="J38" s="22" t="str">
        <f ca="1">OFFSET(L!$C$1,MATCH("Checker"&amp;ADDRESS(ROW(),COLUMN(),4),L!$A:$A,0)-1,SL,,)</f>
        <v>Provide % of completeness of supplier's smelter information on Declaration tab cell D53</v>
      </c>
    </row>
    <row r="39" spans="1:10" ht="51">
      <c r="A39" s="111" t="str">
        <f ca="1">Declaration!B55</f>
        <v>6) Have you identified all of the smelters supplying the 3TG to your supply chain?  (*)</v>
      </c>
      <c r="B39" s="114"/>
      <c r="C39" s="114"/>
      <c r="D39" s="122"/>
      <c r="E39" s="93" t="s">
        <v>1453</v>
      </c>
      <c r="F39" s="119"/>
      <c r="G39" s="24"/>
      <c r="H39" s="24"/>
    </row>
    <row r="40" spans="1:10" ht="51.75">
      <c r="A40" s="112" t="str">
        <f ca="1">Declaration!B56</f>
        <v>Tantalum  (*)</v>
      </c>
      <c r="B40" s="111" t="str">
        <f>Declaration!D56</f>
        <v>Yes</v>
      </c>
      <c r="C40" s="111" t="str">
        <f t="shared" ca="1" si="3"/>
        <v>Complete</v>
      </c>
      <c r="D40" s="123" t="str">
        <f>IF(H40=1,"Click here to answer question 6 for Tantalum","")</f>
        <v/>
      </c>
      <c r="E40" s="93" t="s">
        <v>2552</v>
      </c>
      <c r="F40" s="120">
        <f>F25</f>
        <v>1</v>
      </c>
      <c r="G40" s="90">
        <f t="shared" si="5"/>
        <v>0</v>
      </c>
      <c r="H40" s="91">
        <f t="shared" si="6"/>
        <v>0</v>
      </c>
      <c r="I40" s="215"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12" t="str">
        <f ca="1">Declaration!B57</f>
        <v>Tin  (*)</v>
      </c>
      <c r="B41" s="111" t="str">
        <f>Declaration!D57</f>
        <v>Yes</v>
      </c>
      <c r="C41" s="111" t="str">
        <f t="shared" ca="1" si="3"/>
        <v>Complete</v>
      </c>
      <c r="D41" s="123" t="str">
        <f>IF(H41=1,"Click here to answer question 6 for Tin","")</f>
        <v/>
      </c>
      <c r="E41" s="93" t="s">
        <v>2552</v>
      </c>
      <c r="F41" s="120">
        <f>F26</f>
        <v>1</v>
      </c>
      <c r="G41" s="90">
        <f t="shared" si="5"/>
        <v>0</v>
      </c>
      <c r="H41" s="91">
        <f t="shared" si="6"/>
        <v>0</v>
      </c>
      <c r="I41" s="215"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12" t="str">
        <f ca="1">Declaration!B58</f>
        <v>Gold  (*)</v>
      </c>
      <c r="B42" s="111" t="str">
        <f>Declaration!D58</f>
        <v>Yes</v>
      </c>
      <c r="C42" s="111" t="str">
        <f t="shared" ca="1" si="3"/>
        <v>Complete</v>
      </c>
      <c r="D42" s="123" t="str">
        <f>IF(H42=1,"Click here to answer question 6 for Gold","")</f>
        <v/>
      </c>
      <c r="E42" s="93" t="s">
        <v>2552</v>
      </c>
      <c r="F42" s="120">
        <f>F27</f>
        <v>1</v>
      </c>
      <c r="G42" s="90">
        <f t="shared" si="5"/>
        <v>0</v>
      </c>
      <c r="H42" s="91">
        <f t="shared" si="6"/>
        <v>0</v>
      </c>
      <c r="I42" s="215"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12" t="str">
        <f ca="1">Declaration!B59</f>
        <v>Tungsten  (*)</v>
      </c>
      <c r="B43" s="111" t="str">
        <f>Declaration!D59</f>
        <v>Yes</v>
      </c>
      <c r="C43" s="111" t="str">
        <f t="shared" ca="1" si="3"/>
        <v>Complete</v>
      </c>
      <c r="D43" s="123" t="str">
        <f>IF(H43=1,"Click here to answer question 6 for Tungsten","")</f>
        <v/>
      </c>
      <c r="E43" s="93" t="s">
        <v>2552</v>
      </c>
      <c r="F43" s="120">
        <f>F28</f>
        <v>1</v>
      </c>
      <c r="G43" s="90">
        <f t="shared" si="5"/>
        <v>0</v>
      </c>
      <c r="H43" s="91">
        <f t="shared" si="6"/>
        <v>0</v>
      </c>
      <c r="I43" s="215"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11" t="str">
        <f ca="1">Declaration!B61</f>
        <v>7) Has all applicable smelter information received by your company been reported in this declaration?  (*)</v>
      </c>
      <c r="B44" s="114"/>
      <c r="C44" s="114"/>
      <c r="D44" s="122"/>
      <c r="E44" s="93" t="s">
        <v>1454</v>
      </c>
      <c r="F44" s="119"/>
      <c r="G44" s="24"/>
      <c r="H44" s="24"/>
    </row>
    <row r="45" spans="1:10" ht="39">
      <c r="A45" s="112" t="str">
        <f ca="1">Declaration!B62</f>
        <v>Tantalum  (*)</v>
      </c>
      <c r="B45" s="111" t="str">
        <f>Declaration!D62</f>
        <v>Yes</v>
      </c>
      <c r="C45" s="111" t="str">
        <f t="shared" ca="1" si="3"/>
        <v>Complete</v>
      </c>
      <c r="D45" s="124" t="str">
        <f>IF(H45=1,"Click here to answer question 7 for Tantalum","")</f>
        <v/>
      </c>
      <c r="E45" s="93" t="s">
        <v>1452</v>
      </c>
      <c r="F45" s="120">
        <f>F25</f>
        <v>1</v>
      </c>
      <c r="G45" s="90">
        <f t="shared" si="5"/>
        <v>0</v>
      </c>
      <c r="H45" s="91">
        <f t="shared" si="6"/>
        <v>0</v>
      </c>
      <c r="I45" s="215" t="str">
        <f ca="1">OFFSET(L!$C$1,MATCH("Checker"&amp;"Comp",L!$A:$A,0)-1,SL,,)</f>
        <v>Complete</v>
      </c>
      <c r="J45" s="22" t="str">
        <f ca="1">OFFSET(L!$C$1,MATCH("Checker"&amp;ADDRESS(ROW(),COLUMN(),4),L!$A:$A,0)-1,SL,,)</f>
        <v>Declare if all applicable Tantalum smelter information has been provided on Declaration tab cell D62</v>
      </c>
    </row>
    <row r="46" spans="1:10" ht="39">
      <c r="A46" s="112" t="str">
        <f ca="1">Declaration!B63</f>
        <v>Tin  (*)</v>
      </c>
      <c r="B46" s="111" t="str">
        <f>Declaration!D63</f>
        <v>Yes</v>
      </c>
      <c r="C46" s="111" t="str">
        <f t="shared" ca="1" si="3"/>
        <v>Complete</v>
      </c>
      <c r="D46" s="124" t="str">
        <f>IF(H46=1,"Click here to answer question 7 for Tin","")</f>
        <v/>
      </c>
      <c r="E46" s="93" t="s">
        <v>1452</v>
      </c>
      <c r="F46" s="120">
        <f>F26</f>
        <v>1</v>
      </c>
      <c r="G46" s="90">
        <f t="shared" si="5"/>
        <v>0</v>
      </c>
      <c r="H46" s="91">
        <f t="shared" si="6"/>
        <v>0</v>
      </c>
      <c r="I46" s="215" t="str">
        <f ca="1">OFFSET(L!$C$1,MATCH("Checker"&amp;"Comp",L!$A:$A,0)-1,SL,,)</f>
        <v>Complete</v>
      </c>
      <c r="J46" s="22" t="str">
        <f ca="1">OFFSET(L!$C$1,MATCH("Checker"&amp;ADDRESS(ROW(),COLUMN(),4),L!$A:$A,0)-1,SL,,)</f>
        <v>Declare if all applicable Tin smelter information has been provided on Declaration tab cell D63</v>
      </c>
    </row>
    <row r="47" spans="1:10" ht="39">
      <c r="A47" s="112" t="str">
        <f ca="1">Declaration!B64</f>
        <v>Gold  (*)</v>
      </c>
      <c r="B47" s="111" t="str">
        <f>Declaration!D64</f>
        <v>Yes</v>
      </c>
      <c r="C47" s="111" t="str">
        <f t="shared" ca="1" si="3"/>
        <v>Complete</v>
      </c>
      <c r="D47" s="124" t="str">
        <f>IF(H47=1,"Click here to answer question 7 for Gold","")</f>
        <v/>
      </c>
      <c r="E47" s="93" t="s">
        <v>1452</v>
      </c>
      <c r="F47" s="120">
        <f>F27</f>
        <v>1</v>
      </c>
      <c r="G47" s="90">
        <f t="shared" si="5"/>
        <v>0</v>
      </c>
      <c r="H47" s="91">
        <f t="shared" si="6"/>
        <v>0</v>
      </c>
      <c r="I47" s="215" t="str">
        <f ca="1">OFFSET(L!$C$1,MATCH("Checker"&amp;"Comp",L!$A:$A,0)-1,SL,,)</f>
        <v>Complete</v>
      </c>
      <c r="J47" s="22" t="str">
        <f ca="1">OFFSET(L!$C$1,MATCH("Checker"&amp;ADDRESS(ROW(),COLUMN(),4),L!$A:$A,0)-1,SL,,)</f>
        <v>Declare if all applicable Gold smelter information has been provided on Declaration tab cell D64</v>
      </c>
    </row>
    <row r="48" spans="1:10" ht="39">
      <c r="A48" s="112" t="str">
        <f ca="1">Declaration!B65</f>
        <v>Tungsten  (*)</v>
      </c>
      <c r="B48" s="111" t="str">
        <f>Declaration!D65</f>
        <v>Yes</v>
      </c>
      <c r="C48" s="111" t="str">
        <f t="shared" ca="1" si="3"/>
        <v>Complete</v>
      </c>
      <c r="D48" s="124" t="str">
        <f>IF(H48=1,"Click here to answer question 7 for Tungsten","")</f>
        <v/>
      </c>
      <c r="E48" s="93" t="s">
        <v>1452</v>
      </c>
      <c r="F48" s="120">
        <f>F28</f>
        <v>1</v>
      </c>
      <c r="G48" s="90">
        <f t="shared" si="5"/>
        <v>0</v>
      </c>
      <c r="H48" s="91">
        <f t="shared" si="6"/>
        <v>0</v>
      </c>
      <c r="I48" s="215" t="str">
        <f ca="1">OFFSET(L!$C$1,MATCH("Checker"&amp;"Comp",L!$A:$A,0)-1,SL,,)</f>
        <v>Complete</v>
      </c>
      <c r="J48" s="22" t="str">
        <f ca="1">OFFSET(L!$C$1,MATCH("Checker"&amp;ADDRESS(ROW(),COLUMN(),4),L!$A:$A,0)-1,SL,,)</f>
        <v>Declare if all applicable Tungsten smelter information has been provided on Declaration tab cell D65</v>
      </c>
    </row>
    <row r="49" spans="1:12" ht="25.5">
      <c r="A49" s="111" t="str">
        <f ca="1">Declaration!B68</f>
        <v>Question</v>
      </c>
      <c r="B49" s="114"/>
      <c r="C49" s="114"/>
      <c r="D49" s="122"/>
      <c r="E49" s="93" t="s">
        <v>870</v>
      </c>
      <c r="F49" s="119"/>
      <c r="G49" s="119"/>
      <c r="H49" s="119"/>
    </row>
    <row r="50" spans="1:12" ht="39">
      <c r="A50" s="111" t="str">
        <f ca="1">Declaration!B69</f>
        <v>A. Do you have a policy in place that addresses conflict minerals sourcing? (*)</v>
      </c>
      <c r="B50" s="111" t="str">
        <f>Declaration!D69</f>
        <v>Yes</v>
      </c>
      <c r="C50" s="111" t="str">
        <f t="shared" ca="1" si="3"/>
        <v>Complete</v>
      </c>
      <c r="D50" s="121" t="str">
        <f>IF(H50=1,"Click here to answer question (A)","")</f>
        <v/>
      </c>
      <c r="E50" s="93" t="s">
        <v>2556</v>
      </c>
      <c r="F50" s="120">
        <f>IF(SUM(F$25:F$28)=0,0,1)</f>
        <v>1</v>
      </c>
      <c r="G50" s="90">
        <f t="shared" si="5"/>
        <v>0</v>
      </c>
      <c r="H50" s="91">
        <f t="shared" si="6"/>
        <v>0</v>
      </c>
      <c r="I50" s="215" t="str">
        <f ca="1">OFFSET(L!$C$1,MATCH("Checker"&amp;"Comp",L!$A:$A,0)-1,SL,,)</f>
        <v>Complete</v>
      </c>
      <c r="J50" s="22" t="str">
        <f ca="1">OFFSET(L!$C$1,MATCH("Checker"&amp;ADDRESS(ROW(),COLUMN(),4),L!$A:$A,0)-1,SL,,)</f>
        <v>Answer if your company has a DRC conflict-free sourcing policy on the Declaration tab cell D69</v>
      </c>
    </row>
    <row r="51" spans="1:12" ht="39">
      <c r="A51" s="111" t="str">
        <f ca="1">Declaration!B71</f>
        <v>B. Is your conflict minerals sourcing policy publicly available on your website? (Note – If yes, the user shall specify the URL in the comment field.) (*)</v>
      </c>
      <c r="B51" s="111" t="str">
        <f>Declaration!D71</f>
        <v>No</v>
      </c>
      <c r="C51" s="111" t="str">
        <f t="shared" ca="1" si="3"/>
        <v>Complete</v>
      </c>
      <c r="D51" s="121" t="str">
        <f>IF(H51=1,"Click here to answer question (B)","")</f>
        <v/>
      </c>
      <c r="E51" s="93" t="s">
        <v>2556</v>
      </c>
      <c r="F51" s="120">
        <f t="shared" ref="F51:F60" si="7">F$50</f>
        <v>1</v>
      </c>
      <c r="G51" s="90">
        <f t="shared" si="5"/>
        <v>0</v>
      </c>
      <c r="H51" s="91">
        <f t="shared" si="6"/>
        <v>0</v>
      </c>
      <c r="I51" s="215"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7.9" customHeight="1">
      <c r="A52" s="194" t="s">
        <v>6</v>
      </c>
      <c r="B52" s="111" t="str">
        <f>Declaration!G71</f>
        <v>Will be done soon</v>
      </c>
      <c r="C52" s="111" t="str">
        <f ca="1">IF(H52=1,J52,I52)</f>
        <v>Complete</v>
      </c>
      <c r="D52" s="121" t="str">
        <f>IF(H52=1,"Click here to specify URL for question (B)","")</f>
        <v/>
      </c>
      <c r="E52" s="93"/>
      <c r="F52" s="120">
        <f>IF(AND(F51=1,B51="Yes"),1,0)</f>
        <v>0</v>
      </c>
      <c r="G52" s="90">
        <f>IF(LEN(B52)&gt;1,0,1)</f>
        <v>0</v>
      </c>
      <c r="H52" s="91">
        <f t="shared" si="6"/>
        <v>0</v>
      </c>
      <c r="I52" s="215" t="str">
        <f ca="1">OFFSET(L!$C$1,MATCH("Checker"&amp;"Comp",L!$A:$A,0)-1,SL,,)</f>
        <v>Complete</v>
      </c>
      <c r="J52" s="195" t="str">
        <f ca="1">OFFSET(L!$C$1,MATCH("Checker"&amp;ADDRESS(ROW(),COLUMN(),4),L!$A:$A,0)-1,SL,,)</f>
        <v>Enter the URL in Declaration worksheet cell G71 if you answer "Yes" for question B. The format of the URL should be "www.companyname.com"</v>
      </c>
    </row>
    <row r="53" spans="1:12" ht="37.9" customHeight="1">
      <c r="A53" s="111" t="str">
        <f ca="1">Declaration!B73</f>
        <v>C. Do you require your direct suppliers to be DRC conflict-free? (*)</v>
      </c>
      <c r="B53" s="111" t="str">
        <f>Declaration!D73</f>
        <v>No</v>
      </c>
      <c r="C53" s="111" t="str">
        <f t="shared" ca="1" si="3"/>
        <v>Complete</v>
      </c>
      <c r="D53" s="121" t="str">
        <f>IF(H53=1,"Click here to answer question (C)","")</f>
        <v/>
      </c>
      <c r="E53" s="93" t="s">
        <v>2556</v>
      </c>
      <c r="F53" s="120">
        <f t="shared" si="7"/>
        <v>1</v>
      </c>
      <c r="G53" s="90">
        <f t="shared" si="5"/>
        <v>0</v>
      </c>
      <c r="H53" s="91">
        <f t="shared" si="6"/>
        <v>0</v>
      </c>
      <c r="I53" s="215" t="str">
        <f ca="1">OFFSET(L!$C$1,MATCH("Checker"&amp;"Comp",L!$A:$A,0)-1,SL,,)</f>
        <v>Complete</v>
      </c>
      <c r="J53" s="22" t="str">
        <f ca="1">OFFSET(L!$C$1,MATCH("Checker"&amp;ADDRESS(ROW(),COLUMN(),4),L!$A:$A,0)-1,SL,,)</f>
        <v>Answer if you require your direct suppliers to be DRC conflict-free on the Declaration tab cell D73</v>
      </c>
    </row>
    <row r="54" spans="1:12" ht="37.9" customHeight="1">
      <c r="A54" s="111" t="str">
        <f ca="1">Declaration!B75</f>
        <v>D. Do you require your direct suppliers to source the 3TG from smelters whose due diligence practices have been validated by an independent third party audit program? (*)</v>
      </c>
      <c r="B54" s="111" t="str">
        <f>Declaration!D75</f>
        <v>Yes</v>
      </c>
      <c r="C54" s="111" t="str">
        <f t="shared" ca="1" si="3"/>
        <v>Complete</v>
      </c>
      <c r="D54" s="121" t="str">
        <f>IF(H54=1,"Click here to answer question (D)","")</f>
        <v/>
      </c>
      <c r="E54" s="93" t="s">
        <v>2556</v>
      </c>
      <c r="F54" s="120">
        <f t="shared" si="7"/>
        <v>1</v>
      </c>
      <c r="G54" s="90">
        <f t="shared" si="5"/>
        <v>0</v>
      </c>
      <c r="H54" s="91">
        <f t="shared" si="6"/>
        <v>0</v>
      </c>
      <c r="I54" s="215"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11" t="str">
        <f ca="1">Declaration!B77</f>
        <v>E. Have you implemented due diligence measures for conflict-free sourcing? (*)</v>
      </c>
      <c r="B55" s="111" t="str">
        <f>Declaration!D77</f>
        <v>Yes</v>
      </c>
      <c r="C55" s="111" t="str">
        <f t="shared" ca="1" si="3"/>
        <v>Complete</v>
      </c>
      <c r="D55" s="121" t="str">
        <f>IF(H55=1,"Click here to answer question (E)","")</f>
        <v/>
      </c>
      <c r="E55" s="93" t="s">
        <v>2556</v>
      </c>
      <c r="F55" s="120">
        <f t="shared" si="7"/>
        <v>1</v>
      </c>
      <c r="G55" s="90">
        <f t="shared" si="5"/>
        <v>0</v>
      </c>
      <c r="H55" s="91">
        <f t="shared" si="6"/>
        <v>0</v>
      </c>
      <c r="I55" s="215" t="str">
        <f ca="1">OFFSET(L!$C$1,MATCH("Checker"&amp;"Comp",L!$A:$A,0)-1,SL,,)</f>
        <v>Complete</v>
      </c>
      <c r="J55" s="22" t="str">
        <f ca="1">OFFSET(L!$C$1,MATCH("Checker"&amp;ADDRESS(ROW(),COLUMN(),4),L!$A:$A,0)-1,SL,,)</f>
        <v>Answer if you have implemented conflict-free minerals sourcing due diligence measures on Declaration tab cell D77</v>
      </c>
    </row>
    <row r="56" spans="1:12" ht="63.75">
      <c r="A56" s="111" t="str">
        <f ca="1">Declaration!B79</f>
        <v>F. Do you collect conflict minerals due diligence information from your suppliers which is in conformance with the IPC-1755 Conflict Minerals Data Exchange standard [e.g., the CFSI Conflict Minerals Reporting Template]? (*)</v>
      </c>
      <c r="B56" s="111" t="str">
        <f>Declaration!D79</f>
        <v>Yes</v>
      </c>
      <c r="C56" s="111" t="str">
        <f t="shared" ca="1" si="3"/>
        <v>Complete</v>
      </c>
      <c r="D56" s="121" t="str">
        <f>IF(H56=1,"Click here to answer question (F)","")</f>
        <v/>
      </c>
      <c r="E56" s="93" t="s">
        <v>2556</v>
      </c>
      <c r="F56" s="120">
        <f t="shared" si="7"/>
        <v>1</v>
      </c>
      <c r="G56" s="90">
        <f t="shared" si="5"/>
        <v>0</v>
      </c>
      <c r="H56" s="91">
        <f t="shared" si="6"/>
        <v>0</v>
      </c>
      <c r="I56" s="215" t="str">
        <f ca="1">OFFSET(L!$C$1,MATCH("Checker"&amp;"Comp",L!$A:$A,0)-1,SL,,)</f>
        <v>Complete</v>
      </c>
      <c r="J56" s="22" t="str">
        <f ca="1">OFFSET(L!$C$1,MATCH("Checker"&amp;ADDRESS(ROW(),COLUMN(),4),L!$A:$A,0)-1,SL,,)</f>
        <v>Answer if you request your suppliers to fill out this Conflict Minerals Reporting Template on Declaration tab cell D79</v>
      </c>
    </row>
    <row r="57" spans="1:12" ht="39">
      <c r="A57" s="111" t="str">
        <f ca="1">Declaration!B81</f>
        <v>G. Do you request smelter names from your suppliers? (*)</v>
      </c>
      <c r="B57" s="111" t="str">
        <f>Declaration!D81</f>
        <v>Yes</v>
      </c>
      <c r="C57" s="111" t="str">
        <f t="shared" ca="1" si="3"/>
        <v>Complete</v>
      </c>
      <c r="D57" s="121" t="str">
        <f>IF(H57=1,"Click here to answer question (G)","")</f>
        <v/>
      </c>
      <c r="E57" s="93" t="s">
        <v>2556</v>
      </c>
      <c r="F57" s="120">
        <f t="shared" si="7"/>
        <v>1</v>
      </c>
      <c r="G57" s="90">
        <f t="shared" si="5"/>
        <v>0</v>
      </c>
      <c r="H57" s="91">
        <f t="shared" si="6"/>
        <v>0</v>
      </c>
      <c r="I57" s="215" t="str">
        <f ca="1">OFFSET(L!$C$1,MATCH("Checker"&amp;"Comp",L!$A:$A,0)-1,SL,,)</f>
        <v>Complete</v>
      </c>
      <c r="J57" s="22" t="str">
        <f ca="1">OFFSET(L!$C$1,MATCH("Checker"&amp;ADDRESS(ROW(),COLUMN(),4),L!$A:$A,0)-1,SL,,)</f>
        <v>Answer if you request smelter names from your suppliers on the declaration tab cell D81</v>
      </c>
    </row>
    <row r="58" spans="1:12" ht="39">
      <c r="A58" s="111" t="str">
        <f ca="1">Declaration!B83</f>
        <v>H. Do you review due diligence information received from your suppliers against your company’s expectations? (*)</v>
      </c>
      <c r="B58" s="111" t="str">
        <f>Declaration!D83</f>
        <v>Yes</v>
      </c>
      <c r="C58" s="111" t="str">
        <f t="shared" ca="1" si="3"/>
        <v>Complete</v>
      </c>
      <c r="D58" s="121" t="str">
        <f>IF(H58=1,"Click here to answer question (H)","")</f>
        <v/>
      </c>
      <c r="E58" s="93" t="s">
        <v>2556</v>
      </c>
      <c r="F58" s="120">
        <f t="shared" si="7"/>
        <v>1</v>
      </c>
      <c r="G58" s="90">
        <f t="shared" si="5"/>
        <v>0</v>
      </c>
      <c r="H58" s="91">
        <f t="shared" si="6"/>
        <v>0</v>
      </c>
      <c r="I58" s="215"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11" t="str">
        <f ca="1">Declaration!B85</f>
        <v>I. Does your review process include corrective action management? (*)</v>
      </c>
      <c r="B59" s="111" t="str">
        <f>Declaration!D85</f>
        <v>Yes</v>
      </c>
      <c r="C59" s="111" t="str">
        <f t="shared" ca="1" si="3"/>
        <v>Complete</v>
      </c>
      <c r="D59" s="121" t="str">
        <f>IF(H59=1,"Click here to answer question (I)","")</f>
        <v/>
      </c>
      <c r="E59" s="93" t="s">
        <v>2556</v>
      </c>
      <c r="F59" s="120">
        <f t="shared" si="7"/>
        <v>1</v>
      </c>
      <c r="G59" s="90">
        <f t="shared" si="5"/>
        <v>0</v>
      </c>
      <c r="H59" s="91">
        <f t="shared" si="6"/>
        <v>0</v>
      </c>
      <c r="I59" s="215" t="str">
        <f ca="1">OFFSET(L!$C$1,MATCH("Checker"&amp;"Comp",L!$A:$A,0)-1,SL,,)</f>
        <v>Complete</v>
      </c>
      <c r="J59" s="22" t="str">
        <f ca="1">OFFSET(L!$C$1,MATCH("Checker"&amp;ADDRESS(ROW(),COLUMN(),4),L!$A:$A,0)-1,SL,,)</f>
        <v>Answer if your verification process includes corrective action management on Declaration tab cell D85</v>
      </c>
    </row>
    <row r="60" spans="1:12" ht="39">
      <c r="A60" s="111" t="str">
        <f ca="1">Declaration!B87</f>
        <v>J. Are you subject to the SEC Conflict Minerals rule? (*)</v>
      </c>
      <c r="B60" s="111" t="str">
        <f>Declaration!D87</f>
        <v>Yes</v>
      </c>
      <c r="C60" s="111" t="str">
        <f t="shared" ca="1" si="3"/>
        <v>Complete</v>
      </c>
      <c r="D60" s="121" t="str">
        <f>IF(H60=1,"Click here to answer question (J)","")</f>
        <v/>
      </c>
      <c r="E60" s="93" t="s">
        <v>2556</v>
      </c>
      <c r="F60" s="120">
        <f t="shared" si="7"/>
        <v>1</v>
      </c>
      <c r="G60" s="90">
        <f t="shared" si="5"/>
        <v>0</v>
      </c>
      <c r="H60" s="91">
        <f t="shared" si="6"/>
        <v>0</v>
      </c>
      <c r="I60" s="215" t="str">
        <f ca="1">OFFSET(L!$C$1,MATCH("Checker"&amp;"Comp",L!$A:$A,0)-1,SL,,)</f>
        <v>Complete</v>
      </c>
      <c r="J60" s="22" t="str">
        <f ca="1">OFFSET(L!$C$1,MATCH("Checker"&amp;ADDRESS(ROW(),COLUMN(),4),L!$A:$A,0)-1,SL,,)</f>
        <v>Answer if you are subject to the SEC Disclosure requirement on Declaration tab cell D87</v>
      </c>
    </row>
    <row r="61" spans="1:12" ht="39">
      <c r="A61" s="112" t="s">
        <v>2494</v>
      </c>
      <c r="B61" s="111" t="str">
        <f>IF(G61=1,"No products or item numbers listed","One or more product / item numbers have been provided")</f>
        <v>No products or item numbers listed</v>
      </c>
      <c r="C61" s="111" t="str">
        <f t="shared" ca="1" si="3"/>
        <v>Complete</v>
      </c>
      <c r="D61" s="121" t="str">
        <f>IF(H61=1,"Click here to enter detail on Product List tab","")</f>
        <v/>
      </c>
      <c r="E61" s="93" t="s">
        <v>2556</v>
      </c>
      <c r="F61" s="120">
        <f>IF(B5=Declaration!Q9,1,0)</f>
        <v>0</v>
      </c>
      <c r="G61" s="90">
        <f>IF('Product List'!B6="",1,0)</f>
        <v>1</v>
      </c>
      <c r="H61" s="91">
        <f t="shared" si="6"/>
        <v>0</v>
      </c>
      <c r="I61" s="215"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223" t="s">
        <v>3607</v>
      </c>
      <c r="B62" s="111"/>
      <c r="C62" s="224" t="str">
        <f ca="1">IF(OR(AND(Declaration!D26&lt;&gt;"Yes",Declaration!D26&lt;&gt;"No"),AND(Declaration!D32&lt;&gt;"Yes",Declaration!D32&lt;&gt;"No")),L62,IF(K62=0,"Not Required",IF(AND(OR(B15="Yes",B20="Yes"),(COUNTIF(SmelterIdetifiedForMetal,"Tantalum")&lt;1)),J62,IF((SUMPRODUCT(COUNTIF(OFFSET('Smelter Reference List'!$J$4,MATCH("Tantalum",'Smelter Reference List'!$A:$A,0)-4,0,COUNTIF('Smelter Reference List'!$A:$A,"Tantalum"),1),'Smelter List'!Y$5:Y$2005))&gt;0),I62,J62))))</f>
        <v>Complete</v>
      </c>
      <c r="D62" s="121" t="str">
        <f>IF(H62=0,"","Click here to provide smelter information")</f>
        <v/>
      </c>
      <c r="E62" s="93" t="s">
        <v>2556</v>
      </c>
      <c r="F62" s="120">
        <f>F$50</f>
        <v>1</v>
      </c>
      <c r="G62" s="90">
        <f>IF(COUNTIF('Smelter List'!C5:C14,"")&lt;10,0,1)</f>
        <v>0</v>
      </c>
      <c r="H62" s="91">
        <f>IF(AND(OR(Declaration!D26="Yes",Declaration!D32="Yes"),(COUNTIF(SmelterIdetifiedForMetal,"Tantalum")&lt;1)),(1*K62),(0*K62))</f>
        <v>0</v>
      </c>
      <c r="I62" s="215" t="str">
        <f ca="1">OFFSET(L!$C$1,MATCH("Checker"&amp;"Comp",L!$A:$A,0)-1,SL,,)</f>
        <v>Complete</v>
      </c>
      <c r="J62" s="22" t="str">
        <f ca="1">OFFSET(L!$C$1,MATCH("Checker"&amp;ADDRESS(ROW(),COLUMN(),4),L!$A:$A,0)-1,SL,,)</f>
        <v>Provide list of tantalum smelters contributing material to supply chain on Smelter List tab</v>
      </c>
      <c r="K62" s="222">
        <f>IF(AND(Declaration!D26="No",Declaration!D32="No"),0,1)</f>
        <v>1</v>
      </c>
      <c r="L62" s="22" t="str">
        <f ca="1">OFFSET(L!$C$1,MATCH("Checker"&amp;ADDRESS(ROW(),COLUMN(),4),L!$A:$A,0)-1,SL,,)</f>
        <v>Please answer Questions 1 and 2 on Declaration tab</v>
      </c>
    </row>
    <row r="63" spans="1:12" ht="39">
      <c r="A63" s="223" t="s">
        <v>3608</v>
      </c>
      <c r="B63" s="111"/>
      <c r="C63" s="224" t="str">
        <f ca="1">IF(OR(AND(Declaration!D27&lt;&gt;"Yes",Declaration!D27&lt;&gt;"No"),AND(Declaration!D33&lt;&gt;"Yes",Declaration!D33&lt;&gt;"No")),L63,IF(K63=0,"Not Required",IF(AND(OR(B16="Yes",B21="Yes"),(COUNTIF(SmelterIdetifiedForMetal,"Tin")&lt;1)),J63,IF((SUMPRODUCT(COUNTIF(OFFSET('Smelter Reference List'!$J$4,MATCH("Tin",'Smelter Reference List'!$A:$A,0)-4,0,COUNTIF('Smelter Reference List'!$A:$A,"Tin"),1),'Smelter List'!Y$5:Y$2005))&gt;0),I63,J63))))</f>
        <v>Complete</v>
      </c>
      <c r="D63" s="121" t="str">
        <f>IF(H63=0,"","Click here to provide smelter information")</f>
        <v/>
      </c>
      <c r="E63" s="93" t="s">
        <v>1452</v>
      </c>
      <c r="F63" s="120">
        <f>F$50</f>
        <v>1</v>
      </c>
      <c r="G63" s="90">
        <f>IF(COUNTIF('Smelter List'!C6:C15,"")&lt;10,0,1)</f>
        <v>0</v>
      </c>
      <c r="H63" s="91">
        <f>IF(AND(OR(Declaration!D27="Yes",Declaration!D33="Yes"),(COUNTIF(SmelterIdetifiedForMetal,"Tin")&lt;1)),(1*K63),(0*K63))</f>
        <v>0</v>
      </c>
      <c r="I63" s="215" t="str">
        <f ca="1">OFFSET(L!$C$1,MATCH("Checker"&amp;"Comp",L!$A:$A,0)-1,SL,,)</f>
        <v>Complete</v>
      </c>
      <c r="J63" s="22" t="str">
        <f ca="1">OFFSET(L!$C$1,MATCH("Checker"&amp;ADDRESS(ROW(),COLUMN(),4),L!$A:$A,0)-1,SL,,)</f>
        <v>Provide list of tin smelters contributing material to supply chain on Smelter List tab</v>
      </c>
      <c r="K63" s="222">
        <f>IF(AND(Declaration!D27="No",Declaration!D33="No"),0,1)</f>
        <v>1</v>
      </c>
      <c r="L63" s="22" t="str">
        <f ca="1">OFFSET(L!$C$1,MATCH("Checker"&amp;ADDRESS(ROW(),COLUMN(),4),L!$A:$A,0)-1,SL,,)</f>
        <v>Please answer Questions 1 and 2 on Declaration tab</v>
      </c>
    </row>
    <row r="64" spans="1:12" ht="39">
      <c r="A64" s="223" t="s">
        <v>3609</v>
      </c>
      <c r="B64" s="111"/>
      <c r="C64" s="224" t="str">
        <f ca="1">IF(OR(AND(Declaration!D28&lt;&gt;"Yes",Declaration!D28&lt;&gt;"No"),AND(Declaration!D34&lt;&gt;"Yes",Declaration!D34&lt;&gt;"No")),L64,IF(K64=0,"Not Required",IF(AND(OR(B17="Yes",B22="Yes"),(COUNTIF(SmelterIdetifiedForMetal,"Gold")&lt;1)),J64,IF((SUMPRODUCT(COUNTIF(OFFSET('Smelter Reference List'!$J$4,MATCH("Gold",'Smelter Reference List'!$A:$A,0)-4,0,COUNTIF('Smelter Reference List'!$A:$A,"Gold"),1),'Smelter List'!Y$5:Y$2005))&gt;0),I64,J64))))</f>
        <v>Complete</v>
      </c>
      <c r="D64" s="121" t="str">
        <f>IF(H64=0,"","Click here to provide smelter information")</f>
        <v/>
      </c>
      <c r="E64" s="93" t="s">
        <v>1452</v>
      </c>
      <c r="F64" s="120">
        <f>F$50</f>
        <v>1</v>
      </c>
      <c r="G64" s="90">
        <f>IF(COUNTIF('Smelter List'!C7:C16,"")&lt;10,0,1)</f>
        <v>0</v>
      </c>
      <c r="H64" s="91">
        <f>IF(AND(OR(Declaration!D28="Yes",Declaration!D34="Yes"),(COUNTIF(SmelterIdetifiedForMetal,"Gold")&lt;1)),(1*K64),(0*K64))</f>
        <v>0</v>
      </c>
      <c r="I64" s="215" t="str">
        <f ca="1">OFFSET(L!$C$1,MATCH("Checker"&amp;"Comp",L!$A:$A,0)-1,SL,,)</f>
        <v>Complete</v>
      </c>
      <c r="J64" s="22" t="str">
        <f ca="1">OFFSET(L!$C$1,MATCH("Checker"&amp;ADDRESS(ROW(),COLUMN(),4),L!$A:$A,0)-1,SL,,)</f>
        <v>Provide list of gold smelters contributing material to supply chain on Smelter List tab</v>
      </c>
      <c r="K64" s="222">
        <f>IF(AND(Declaration!D28="No",Declaration!D34="No"),0,1)</f>
        <v>1</v>
      </c>
      <c r="L64" s="22" t="str">
        <f ca="1">OFFSET(L!$C$1,MATCH("Checker"&amp;ADDRESS(ROW(),COLUMN(),4),L!$A:$A,0)-1,SL,,)</f>
        <v>Please answer Questions 1 and 2 on Declaration tab</v>
      </c>
    </row>
    <row r="65" spans="1:12" ht="39">
      <c r="A65" s="223" t="s">
        <v>3610</v>
      </c>
      <c r="B65" s="111"/>
      <c r="C65" s="224" t="str">
        <f ca="1">IF(OR(AND(Declaration!D29&lt;&gt;"Yes",Declaration!D29&lt;&gt;"No"),AND(Declaration!D35&lt;&gt;"Yes",Declaration!D35&lt;&gt;"No")),L65,IF(K65=0,"Not Required",IF(AND(OR(B18="Yes",B23="Yes"),(COUNTIF(SmelterIdetifiedForMetal,"Tungsten")&lt;1)),J65,IF((SUMPRODUCT(COUNTIF(OFFSET('Smelter Reference List'!$J$4,MATCH("Tungsten",'Smelter Reference List'!$A:$A,0)-4,0,COUNTIF('Smelter Reference List'!$A:$A,"Tungsten"),1),'Smelter List'!Y$5:Y$2005))&gt;0),I65,J65))))</f>
        <v>Complete</v>
      </c>
      <c r="D65" s="121" t="str">
        <f>IF(H65=0,"","Click here to provide smelter information")</f>
        <v/>
      </c>
      <c r="E65" s="93" t="s">
        <v>1452</v>
      </c>
      <c r="F65" s="120">
        <f>F$50</f>
        <v>1</v>
      </c>
      <c r="G65" s="90">
        <f>IF(COUNTIF('Smelter List'!C8:C17,"")&lt;10,0,1)</f>
        <v>0</v>
      </c>
      <c r="H65" s="91">
        <f>IF(AND(OR(Declaration!D29="Yes",Declaration!D35="Yes"),(COUNTIF(SmelterIdetifiedForMetal,"Tungsten")&lt;1)),(1*K65),(0*K65))</f>
        <v>0</v>
      </c>
      <c r="I65" s="215" t="str">
        <f ca="1">OFFSET(L!$C$1,MATCH("Checker"&amp;"Comp",L!$A:$A,0)-1,SL,,)</f>
        <v>Complete</v>
      </c>
      <c r="J65" s="22" t="str">
        <f ca="1">OFFSET(L!$C$1,MATCH("Checker"&amp;ADDRESS(ROW(),COLUMN(),4),L!$A:$A,0)-1,SL,,)</f>
        <v>Provide list of tungsten smelters contributing material to supply chain on Smelter List tab</v>
      </c>
      <c r="K65" s="222">
        <f>IF(AND(Declaration!D29="No",Declaration!D35="No"),0,1)</f>
        <v>1</v>
      </c>
      <c r="L65" s="22" t="str">
        <f ca="1">OFFSET(L!$C$1,MATCH("Checker"&amp;ADDRESS(ROW(),COLUMN(),4),L!$A:$A,0)-1,SL,,)</f>
        <v>Please answer Questions 1 and 2 on Declaration tab</v>
      </c>
    </row>
    <row r="66" spans="1:12" ht="48.75" customHeight="1">
      <c r="A66" s="259" t="s">
        <v>4774</v>
      </c>
      <c r="B66" s="111"/>
      <c r="C66" s="259" t="e">
        <f ca="1">IF(F66=0,J66,IF(G66=0,I66,L66))</f>
        <v>#REF!</v>
      </c>
      <c r="D66" s="121"/>
      <c r="E66" s="93"/>
      <c r="F66" s="120">
        <f ca="1">IF(COUNTIF('Smelter List'!$C:$C,"Smelter Not Listed")&gt;0,1,0)</f>
        <v>1</v>
      </c>
      <c r="G66" s="90" t="e">
        <f>SUM('Smelter List'!U5:U2504)</f>
        <v>#REF!</v>
      </c>
      <c r="H66" s="91" t="e">
        <f ca="1">F66*G66</f>
        <v>#REF!</v>
      </c>
      <c r="I66" s="215" t="s">
        <v>2944</v>
      </c>
      <c r="J66" s="22" t="s">
        <v>4775</v>
      </c>
      <c r="K66" s="222"/>
      <c r="L66" s="22" t="s">
        <v>4776</v>
      </c>
    </row>
    <row r="67" spans="1:12" ht="39.75" customHeight="1">
      <c r="H67" s="22" t="e">
        <f ca="1">SUM(H4:H66)</f>
        <v>#REF!</v>
      </c>
    </row>
    <row r="68" spans="1:12">
      <c r="A68" s="24"/>
    </row>
    <row r="69" spans="1:12">
      <c r="A69" s="24"/>
    </row>
    <row r="70" spans="1:12">
      <c r="A70" s="24"/>
    </row>
  </sheetData>
  <sheetProtection password="E985" sheet="1" objects="1" scenarios="1" formatRows="0"/>
  <mergeCells count="1">
    <mergeCell ref="A1:C1"/>
  </mergeCells>
  <phoneticPr fontId="29"/>
  <conditionalFormatting sqref="B62">
    <cfRule type="expression" dxfId="71" priority="331" stopIfTrue="1">
      <formula>IF(F62=0,TRUE)</formula>
    </cfRule>
  </conditionalFormatting>
  <conditionalFormatting sqref="A5:A13">
    <cfRule type="expression" dxfId="70" priority="39" stopIfTrue="1">
      <formula>$F5=0</formula>
    </cfRule>
    <cfRule type="expression" dxfId="69" priority="40" stopIfTrue="1">
      <formula>AND($F5=1,$G5=0)</formula>
    </cfRule>
    <cfRule type="expression" dxfId="68" priority="41" stopIfTrue="1">
      <formula>AND($F5&lt;&gt;0,$G5&lt;&gt;0)</formula>
    </cfRule>
  </conditionalFormatting>
  <conditionalFormatting sqref="B61">
    <cfRule type="expression" dxfId="67" priority="37" stopIfTrue="1">
      <formula>$F61=0</formula>
    </cfRule>
  </conditionalFormatting>
  <conditionalFormatting sqref="D52">
    <cfRule type="expression" dxfId="66" priority="348" stopIfTrue="1">
      <formula>$H$52=0</formula>
    </cfRule>
  </conditionalFormatting>
  <conditionalFormatting sqref="B63">
    <cfRule type="expression" dxfId="65" priority="29" stopIfTrue="1">
      <formula>IF(F63=0,TRUE)</formula>
    </cfRule>
  </conditionalFormatting>
  <conditionalFormatting sqref="B64">
    <cfRule type="expression" dxfId="64" priority="25" stopIfTrue="1">
      <formula>IF(F64=0,TRUE)</formula>
    </cfRule>
  </conditionalFormatting>
  <conditionalFormatting sqref="B65:B66">
    <cfRule type="expression" dxfId="63" priority="21" stopIfTrue="1">
      <formula>IF(F65=0,TRUE)</formula>
    </cfRule>
  </conditionalFormatting>
  <conditionalFormatting sqref="C62:C66">
    <cfRule type="expression" dxfId="62" priority="3" stopIfTrue="1">
      <formula>C62="Not Required"</formula>
    </cfRule>
    <cfRule type="expression" dxfId="61" priority="11" stopIfTrue="1">
      <formula>OR(C62="Complete",C62="填写", C62="記入",C62="완료",C62="Complétez",C62="Concluído",C62="Vollständig",C62="Completare")</formula>
    </cfRule>
  </conditionalFormatting>
  <conditionalFormatting sqref="A62:A66">
    <cfRule type="expression" dxfId="60" priority="4" stopIfTrue="1">
      <formula>C62="Not Required"</formula>
    </cfRule>
    <cfRule type="expression" dxfId="59" priority="12" stopIfTrue="1">
      <formula>OR(C62="Complete",C62="填写", C62="記入",C62="완료",C62="Complétez",C62="Concluído",C62="Vollständig",C62="Completare")</formula>
    </cfRule>
  </conditionalFormatting>
  <conditionalFormatting sqref="A4 A15:A18 A50:A61 C15:C18 A20:A23 C25:C28 A35:A38 A40:A43 C50:C61 C20:C23 A30:A33 C35:C38 C40:C43 A25:A28 C30:C33 C45:C48 A45:A48 C4:C13">
    <cfRule type="expression" dxfId="58" priority="337" stopIfTrue="1">
      <formula>$F4=0</formula>
    </cfRule>
    <cfRule type="expression" dxfId="57" priority="338" stopIfTrue="1">
      <formula>$H4=0</formula>
    </cfRule>
    <cfRule type="expression" dxfId="56" priority="339" stopIfTrue="1">
      <formula>$H4=1</formula>
    </cfRule>
  </conditionalFormatting>
  <conditionalFormatting sqref="C66 A66">
    <cfRule type="expression" dxfId="55" priority="1" stopIfTrue="1">
      <formula>IF(AND($F$66=1,$G$66=1),TRUE,FALSE)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7" location="Declaration!B81" display="Declaration!B81"/>
    <hyperlink ref="D58" location="Declaration!B83" display="Declaration!B83"/>
    <hyperlink ref="D59" location="Declaration!B85" display="Declaration!B85"/>
    <hyperlink ref="D60" location="Declaration!B87" display="Declaration!B87"/>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baseColWidth="10" defaultColWidth="8.75" defaultRowHeight="12.75"/>
  <cols>
    <col min="1" max="1" width="3.125" style="130" customWidth="1"/>
    <col min="2" max="2" width="39.875" style="131" customWidth="1"/>
    <col min="3" max="3" width="39.875" style="130" customWidth="1"/>
    <col min="4" max="4" width="58.75" style="130" customWidth="1"/>
    <col min="5" max="5" width="1.625" style="130" customWidth="1"/>
    <col min="6" max="35" width="9" customWidth="1"/>
    <col min="36" max="16384" width="8.75" style="26"/>
  </cols>
  <sheetData>
    <row r="1" spans="1:35" ht="34.9" customHeight="1" thickTop="1">
      <c r="A1" s="392" t="str">
        <f ca="1">OFFSET(L!$C$1,MATCH("Product List"&amp;ADDRESS(ROW(),COLUMN(),4),L!$A:$A,0)-1,SL,,)</f>
        <v>Completion required only if reporting level "Product (or List of Products)" selected on the 'Declaration' worksheet.</v>
      </c>
      <c r="B1" s="393"/>
      <c r="C1" s="393"/>
      <c r="D1" s="393"/>
      <c r="E1" s="159"/>
    </row>
    <row r="2" spans="1:35">
      <c r="A2" s="29"/>
      <c r="B2" s="165"/>
      <c r="C2" s="165"/>
      <c r="D2"/>
      <c r="E2" s="30"/>
    </row>
    <row r="3" spans="1:35">
      <c r="A3" s="29"/>
      <c r="B3" s="165"/>
      <c r="C3" s="165"/>
      <c r="D3" s="165"/>
      <c r="E3" s="30"/>
    </row>
    <row r="4" spans="1:35" ht="15.75" customHeight="1">
      <c r="A4" s="29"/>
      <c r="B4" s="391" t="s">
        <v>1779</v>
      </c>
      <c r="C4" s="391"/>
      <c r="D4" s="391"/>
      <c r="E4" s="30"/>
    </row>
    <row r="5" spans="1:35" ht="15.75">
      <c r="A5" s="180"/>
      <c r="B5" s="183" t="str">
        <f ca="1">OFFSET(L!$C$1,MATCH("Product List"&amp;ADDRESS(ROW(),COLUMN(),4),L!$A:$A,0)-1,SL,,)</f>
        <v>Manufacturer’s Product Number (*)</v>
      </c>
      <c r="C5" s="183" t="str">
        <f ca="1">OFFSET(L!$C$1,MATCH("Product List"&amp;ADDRESS(ROW(),COLUMN(),4),L!$A:$A,0)-1,SL,,)</f>
        <v>Manufacturer’s Product Name</v>
      </c>
      <c r="D5" s="94" t="str">
        <f ca="1">OFFSET(L!$C$1,MATCH("Product List"&amp;ADDRESS(ROW(),COLUMN(),4),L!$A:$A,0)-1,SL,,)</f>
        <v>Comments</v>
      </c>
      <c r="E5" s="30"/>
    </row>
    <row r="6" spans="1:35" s="33" customFormat="1" ht="15.75">
      <c r="A6" s="177"/>
      <c r="B6" s="166"/>
      <c r="C6" s="125"/>
      <c r="D6" s="125"/>
      <c r="E6" s="32"/>
      <c r="F6"/>
      <c r="G6"/>
      <c r="H6"/>
      <c r="I6"/>
      <c r="J6"/>
      <c r="K6"/>
      <c r="L6"/>
      <c r="M6"/>
      <c r="N6"/>
      <c r="O6"/>
      <c r="P6"/>
      <c r="Q6"/>
      <c r="R6"/>
      <c r="S6"/>
      <c r="T6"/>
      <c r="U6"/>
      <c r="V6"/>
      <c r="W6"/>
      <c r="X6"/>
      <c r="Y6"/>
      <c r="Z6"/>
      <c r="AA6"/>
      <c r="AB6"/>
      <c r="AC6"/>
      <c r="AD6"/>
      <c r="AE6"/>
      <c r="AF6"/>
      <c r="AG6"/>
      <c r="AH6"/>
      <c r="AI6"/>
    </row>
    <row r="7" spans="1:35" s="33" customFormat="1" ht="15.75">
      <c r="A7" s="178"/>
      <c r="B7" s="166"/>
      <c r="C7" s="125"/>
      <c r="D7" s="125"/>
      <c r="E7" s="32"/>
      <c r="F7"/>
      <c r="G7"/>
      <c r="H7"/>
      <c r="I7"/>
      <c r="J7"/>
      <c r="K7"/>
      <c r="L7"/>
      <c r="M7"/>
      <c r="N7"/>
      <c r="O7"/>
      <c r="P7"/>
      <c r="Q7"/>
      <c r="R7"/>
      <c r="S7"/>
      <c r="T7"/>
      <c r="U7"/>
      <c r="V7"/>
      <c r="W7"/>
      <c r="X7"/>
      <c r="Y7"/>
      <c r="Z7"/>
      <c r="AA7"/>
      <c r="AB7"/>
      <c r="AC7"/>
      <c r="AD7"/>
      <c r="AE7"/>
      <c r="AF7"/>
      <c r="AG7"/>
      <c r="AH7"/>
      <c r="AI7"/>
    </row>
    <row r="8" spans="1:35" s="33" customFormat="1" ht="15.75">
      <c r="A8" s="178"/>
      <c r="B8" s="166"/>
      <c r="C8" s="125"/>
      <c r="D8" s="125"/>
      <c r="E8" s="32"/>
      <c r="F8"/>
      <c r="G8"/>
      <c r="H8"/>
      <c r="I8"/>
      <c r="J8"/>
      <c r="K8"/>
      <c r="L8"/>
      <c r="M8"/>
      <c r="N8"/>
      <c r="O8"/>
      <c r="P8"/>
      <c r="Q8"/>
      <c r="R8"/>
      <c r="S8"/>
      <c r="T8"/>
      <c r="U8"/>
      <c r="V8"/>
      <c r="W8"/>
      <c r="X8"/>
      <c r="Y8"/>
      <c r="Z8"/>
      <c r="AA8"/>
      <c r="AB8"/>
      <c r="AC8"/>
      <c r="AD8"/>
      <c r="AE8"/>
      <c r="AF8"/>
      <c r="AG8"/>
      <c r="AH8"/>
      <c r="AI8"/>
    </row>
    <row r="9" spans="1:35" s="33" customFormat="1" ht="15.75">
      <c r="A9" s="178"/>
      <c r="B9" s="166"/>
      <c r="C9" s="125"/>
      <c r="D9" s="125"/>
      <c r="E9" s="32"/>
      <c r="F9"/>
      <c r="G9"/>
      <c r="H9"/>
      <c r="I9"/>
      <c r="J9"/>
      <c r="K9"/>
      <c r="L9"/>
      <c r="M9"/>
      <c r="N9"/>
      <c r="O9"/>
      <c r="P9"/>
      <c r="Q9"/>
      <c r="R9"/>
      <c r="S9"/>
      <c r="T9"/>
      <c r="U9"/>
      <c r="V9"/>
      <c r="W9"/>
      <c r="X9"/>
      <c r="Y9"/>
      <c r="Z9"/>
      <c r="AA9"/>
      <c r="AB9"/>
      <c r="AC9"/>
      <c r="AD9"/>
      <c r="AE9"/>
      <c r="AF9"/>
      <c r="AG9"/>
      <c r="AH9"/>
      <c r="AI9"/>
    </row>
    <row r="10" spans="1:35" s="33" customFormat="1" ht="15.75">
      <c r="A10" s="178"/>
      <c r="B10" s="166"/>
      <c r="C10" s="125"/>
      <c r="D10" s="125"/>
      <c r="E10" s="32"/>
      <c r="F10"/>
      <c r="G10"/>
      <c r="H10"/>
      <c r="I10"/>
      <c r="J10"/>
      <c r="K10"/>
      <c r="L10"/>
      <c r="M10"/>
      <c r="N10"/>
      <c r="O10"/>
      <c r="P10"/>
      <c r="Q10"/>
      <c r="R10"/>
      <c r="S10"/>
      <c r="T10"/>
      <c r="U10"/>
      <c r="V10"/>
      <c r="W10"/>
      <c r="X10"/>
      <c r="Y10"/>
      <c r="Z10"/>
      <c r="AA10"/>
      <c r="AB10"/>
      <c r="AC10"/>
      <c r="AD10"/>
      <c r="AE10"/>
      <c r="AF10"/>
      <c r="AG10"/>
      <c r="AH10"/>
      <c r="AI10"/>
    </row>
    <row r="11" spans="1:35" s="33" customFormat="1" ht="15.75">
      <c r="A11" s="178"/>
      <c r="B11" s="166"/>
      <c r="C11" s="125"/>
      <c r="D11" s="125"/>
      <c r="E11" s="32"/>
      <c r="F11"/>
      <c r="G11"/>
      <c r="H11"/>
      <c r="I11"/>
      <c r="J11"/>
      <c r="K11"/>
      <c r="L11"/>
      <c r="M11"/>
      <c r="N11"/>
      <c r="O11"/>
      <c r="P11"/>
      <c r="Q11"/>
      <c r="R11"/>
      <c r="S11"/>
      <c r="T11"/>
      <c r="U11"/>
      <c r="V11"/>
      <c r="W11"/>
      <c r="X11"/>
      <c r="Y11"/>
      <c r="Z11"/>
      <c r="AA11"/>
      <c r="AB11"/>
      <c r="AC11"/>
      <c r="AD11"/>
      <c r="AE11"/>
      <c r="AF11"/>
      <c r="AG11"/>
      <c r="AH11"/>
      <c r="AI11"/>
    </row>
    <row r="12" spans="1:35" s="33" customFormat="1" ht="15.75">
      <c r="A12" s="178"/>
      <c r="B12" s="166"/>
      <c r="C12" s="125"/>
      <c r="D12" s="125"/>
      <c r="E12" s="32"/>
      <c r="F12"/>
      <c r="G12"/>
      <c r="H12"/>
      <c r="I12"/>
      <c r="J12"/>
      <c r="K12"/>
      <c r="L12"/>
      <c r="M12"/>
      <c r="N12"/>
      <c r="O12"/>
      <c r="P12"/>
      <c r="Q12"/>
      <c r="R12"/>
      <c r="S12"/>
      <c r="T12"/>
      <c r="U12"/>
      <c r="V12"/>
      <c r="W12"/>
      <c r="X12"/>
      <c r="Y12"/>
      <c r="Z12"/>
      <c r="AA12"/>
      <c r="AB12"/>
      <c r="AC12"/>
      <c r="AD12"/>
      <c r="AE12"/>
      <c r="AF12"/>
      <c r="AG12"/>
      <c r="AH12"/>
      <c r="AI12"/>
    </row>
    <row r="13" spans="1:35" s="33" customFormat="1" ht="15.75">
      <c r="A13" s="178"/>
      <c r="B13" s="166"/>
      <c r="C13" s="125"/>
      <c r="D13" s="125"/>
      <c r="E13" s="32"/>
      <c r="F13"/>
      <c r="G13"/>
      <c r="H13"/>
      <c r="I13"/>
      <c r="J13"/>
      <c r="K13"/>
      <c r="L13"/>
      <c r="M13"/>
      <c r="N13"/>
      <c r="O13"/>
      <c r="P13"/>
      <c r="Q13"/>
      <c r="R13"/>
      <c r="S13"/>
      <c r="T13"/>
      <c r="U13"/>
      <c r="V13"/>
      <c r="W13"/>
      <c r="X13"/>
      <c r="Y13"/>
      <c r="Z13"/>
      <c r="AA13"/>
      <c r="AB13"/>
      <c r="AC13"/>
      <c r="AD13"/>
      <c r="AE13"/>
      <c r="AF13"/>
      <c r="AG13"/>
      <c r="AH13"/>
      <c r="AI13"/>
    </row>
    <row r="14" spans="1:35" s="33" customFormat="1" ht="15.75">
      <c r="A14" s="178"/>
      <c r="B14" s="166"/>
      <c r="C14" s="125"/>
      <c r="D14" s="125"/>
      <c r="E14" s="32"/>
      <c r="F14"/>
      <c r="G14"/>
      <c r="H14"/>
      <c r="I14"/>
      <c r="J14"/>
      <c r="K14"/>
      <c r="L14"/>
      <c r="M14"/>
      <c r="N14"/>
      <c r="O14"/>
      <c r="P14"/>
      <c r="Q14"/>
      <c r="R14"/>
      <c r="S14"/>
      <c r="T14"/>
      <c r="U14"/>
      <c r="V14"/>
      <c r="W14"/>
      <c r="X14"/>
      <c r="Y14"/>
      <c r="Z14"/>
      <c r="AA14"/>
      <c r="AB14"/>
      <c r="AC14"/>
      <c r="AD14"/>
      <c r="AE14"/>
      <c r="AF14"/>
      <c r="AG14"/>
      <c r="AH14"/>
      <c r="AI14"/>
    </row>
    <row r="15" spans="1:35" s="33" customFormat="1" ht="15.75">
      <c r="A15" s="178"/>
      <c r="B15" s="166"/>
      <c r="C15" s="125"/>
      <c r="D15" s="125"/>
      <c r="E15" s="32"/>
      <c r="F15"/>
      <c r="G15"/>
      <c r="H15"/>
      <c r="I15"/>
      <c r="J15"/>
      <c r="K15"/>
      <c r="L15"/>
      <c r="M15"/>
      <c r="N15"/>
      <c r="O15"/>
      <c r="P15"/>
      <c r="Q15"/>
      <c r="R15"/>
      <c r="S15"/>
      <c r="T15"/>
      <c r="U15"/>
      <c r="V15"/>
      <c r="W15"/>
      <c r="X15"/>
      <c r="Y15"/>
      <c r="Z15"/>
      <c r="AA15"/>
      <c r="AB15"/>
      <c r="AC15"/>
      <c r="AD15"/>
      <c r="AE15"/>
      <c r="AF15"/>
      <c r="AG15"/>
      <c r="AH15"/>
      <c r="AI15"/>
    </row>
    <row r="16" spans="1:35" s="33" customFormat="1" ht="15.75">
      <c r="A16" s="178"/>
      <c r="B16" s="166"/>
      <c r="C16" s="125"/>
      <c r="D16" s="125"/>
      <c r="E16" s="32"/>
      <c r="F16"/>
      <c r="G16"/>
      <c r="H16"/>
      <c r="I16"/>
      <c r="J16"/>
      <c r="K16"/>
      <c r="L16"/>
      <c r="M16"/>
      <c r="N16"/>
      <c r="O16"/>
      <c r="P16"/>
      <c r="Q16"/>
      <c r="R16"/>
      <c r="S16"/>
      <c r="T16"/>
      <c r="U16"/>
      <c r="V16"/>
      <c r="W16"/>
      <c r="X16"/>
      <c r="Y16"/>
      <c r="Z16"/>
      <c r="AA16"/>
      <c r="AB16"/>
      <c r="AC16"/>
      <c r="AD16"/>
      <c r="AE16"/>
      <c r="AF16"/>
      <c r="AG16"/>
      <c r="AH16"/>
      <c r="AI16"/>
    </row>
    <row r="17" spans="1:35" s="33" customFormat="1" ht="15.75">
      <c r="A17" s="178"/>
      <c r="B17" s="166"/>
      <c r="C17" s="125"/>
      <c r="D17" s="125"/>
      <c r="E17" s="32"/>
      <c r="F17"/>
      <c r="G17"/>
      <c r="H17"/>
      <c r="I17"/>
      <c r="J17"/>
      <c r="K17"/>
      <c r="L17"/>
      <c r="M17"/>
      <c r="N17"/>
      <c r="O17"/>
      <c r="P17"/>
      <c r="Q17"/>
      <c r="R17"/>
      <c r="S17"/>
      <c r="T17"/>
      <c r="U17"/>
      <c r="V17"/>
      <c r="W17"/>
      <c r="X17"/>
      <c r="Y17"/>
      <c r="Z17"/>
      <c r="AA17"/>
      <c r="AB17"/>
      <c r="AC17"/>
      <c r="AD17"/>
      <c r="AE17"/>
      <c r="AF17"/>
      <c r="AG17"/>
      <c r="AH17"/>
      <c r="AI17"/>
    </row>
    <row r="18" spans="1:35" s="33" customFormat="1" ht="15.75">
      <c r="A18" s="178"/>
      <c r="B18" s="166"/>
      <c r="C18" s="125"/>
      <c r="D18" s="125"/>
      <c r="E18" s="32"/>
      <c r="F18"/>
      <c r="G18"/>
      <c r="H18"/>
      <c r="I18"/>
      <c r="J18"/>
      <c r="K18"/>
      <c r="L18"/>
      <c r="M18"/>
      <c r="N18"/>
      <c r="O18"/>
      <c r="P18"/>
      <c r="Q18"/>
      <c r="R18"/>
      <c r="S18"/>
      <c r="T18"/>
      <c r="U18"/>
      <c r="V18"/>
      <c r="W18"/>
      <c r="X18"/>
      <c r="Y18"/>
      <c r="Z18"/>
      <c r="AA18"/>
      <c r="AB18"/>
      <c r="AC18"/>
      <c r="AD18"/>
      <c r="AE18"/>
      <c r="AF18"/>
      <c r="AG18"/>
      <c r="AH18"/>
      <c r="AI18"/>
    </row>
    <row r="19" spans="1:35" s="33" customFormat="1" ht="15.75">
      <c r="A19" s="178"/>
      <c r="B19" s="166"/>
      <c r="C19" s="125"/>
      <c r="D19" s="125"/>
      <c r="E19" s="32"/>
      <c r="F19"/>
      <c r="G19"/>
      <c r="H19"/>
      <c r="I19"/>
      <c r="J19"/>
      <c r="K19"/>
      <c r="L19"/>
      <c r="M19"/>
      <c r="N19"/>
      <c r="O19"/>
      <c r="P19"/>
      <c r="Q19"/>
      <c r="R19"/>
      <c r="S19"/>
      <c r="T19"/>
      <c r="U19"/>
      <c r="V19"/>
      <c r="W19"/>
      <c r="X19"/>
      <c r="Y19"/>
      <c r="Z19"/>
      <c r="AA19"/>
      <c r="AB19"/>
      <c r="AC19"/>
      <c r="AD19"/>
      <c r="AE19"/>
      <c r="AF19"/>
      <c r="AG19"/>
      <c r="AH19"/>
      <c r="AI19"/>
    </row>
    <row r="20" spans="1:35" s="33" customFormat="1" ht="15.75">
      <c r="A20" s="178"/>
      <c r="B20" s="166"/>
      <c r="C20" s="125"/>
      <c r="D20" s="125"/>
      <c r="E20" s="32"/>
      <c r="F20"/>
      <c r="G20"/>
      <c r="H20"/>
      <c r="I20"/>
      <c r="J20"/>
      <c r="K20"/>
      <c r="L20"/>
      <c r="M20"/>
      <c r="N20"/>
      <c r="O20"/>
      <c r="P20"/>
      <c r="Q20"/>
      <c r="R20"/>
      <c r="S20"/>
      <c r="T20"/>
      <c r="U20"/>
      <c r="V20"/>
      <c r="W20"/>
      <c r="X20"/>
      <c r="Y20"/>
      <c r="Z20"/>
      <c r="AA20"/>
      <c r="AB20"/>
      <c r="AC20"/>
      <c r="AD20"/>
      <c r="AE20"/>
      <c r="AF20"/>
      <c r="AG20"/>
      <c r="AH20"/>
      <c r="AI20"/>
    </row>
    <row r="21" spans="1:35" s="33" customFormat="1" ht="15.75">
      <c r="A21" s="178"/>
      <c r="B21" s="166"/>
      <c r="C21" s="125"/>
      <c r="D21" s="125"/>
      <c r="E21" s="32"/>
      <c r="F21"/>
      <c r="G21"/>
      <c r="H21"/>
      <c r="I21"/>
      <c r="J21"/>
      <c r="K21"/>
      <c r="L21"/>
      <c r="M21"/>
      <c r="N21"/>
      <c r="O21"/>
      <c r="P21"/>
      <c r="Q21"/>
      <c r="R21"/>
      <c r="S21"/>
      <c r="T21"/>
      <c r="U21"/>
      <c r="V21"/>
      <c r="W21"/>
      <c r="X21"/>
      <c r="Y21"/>
      <c r="Z21"/>
      <c r="AA21"/>
      <c r="AB21"/>
      <c r="AC21"/>
      <c r="AD21"/>
      <c r="AE21"/>
      <c r="AF21"/>
      <c r="AG21"/>
      <c r="AH21"/>
      <c r="AI21"/>
    </row>
    <row r="22" spans="1:35" s="33" customFormat="1" ht="15.75">
      <c r="A22" s="178"/>
      <c r="B22" s="166"/>
      <c r="C22" s="125"/>
      <c r="D22" s="125"/>
      <c r="E22" s="32"/>
      <c r="F22"/>
      <c r="G22"/>
      <c r="H22"/>
      <c r="I22"/>
      <c r="J22"/>
      <c r="K22"/>
      <c r="L22"/>
      <c r="M22"/>
      <c r="N22"/>
      <c r="O22"/>
      <c r="P22"/>
      <c r="Q22"/>
      <c r="R22"/>
      <c r="S22"/>
      <c r="T22"/>
      <c r="U22"/>
      <c r="V22"/>
      <c r="W22"/>
      <c r="X22"/>
      <c r="Y22"/>
      <c r="Z22"/>
      <c r="AA22"/>
      <c r="AB22"/>
      <c r="AC22"/>
      <c r="AD22"/>
      <c r="AE22"/>
      <c r="AF22"/>
      <c r="AG22"/>
      <c r="AH22"/>
      <c r="AI22"/>
    </row>
    <row r="23" spans="1:35" s="33" customFormat="1" ht="15.75">
      <c r="A23" s="178"/>
      <c r="B23" s="166"/>
      <c r="C23" s="125"/>
      <c r="D23" s="125"/>
      <c r="E23" s="32"/>
      <c r="F23"/>
      <c r="G23"/>
      <c r="H23"/>
      <c r="I23"/>
      <c r="J23"/>
      <c r="K23"/>
      <c r="L23"/>
      <c r="M23"/>
      <c r="N23"/>
      <c r="O23"/>
      <c r="P23"/>
      <c r="Q23"/>
      <c r="R23"/>
      <c r="S23"/>
      <c r="T23"/>
      <c r="U23"/>
      <c r="V23"/>
      <c r="W23"/>
      <c r="X23"/>
      <c r="Y23"/>
      <c r="Z23"/>
      <c r="AA23"/>
      <c r="AB23"/>
      <c r="AC23"/>
      <c r="AD23"/>
      <c r="AE23"/>
      <c r="AF23"/>
      <c r="AG23"/>
      <c r="AH23"/>
      <c r="AI23"/>
    </row>
    <row r="24" spans="1:35" s="33" customFormat="1" ht="15.75">
      <c r="A24" s="178"/>
      <c r="B24" s="166"/>
      <c r="C24" s="125"/>
      <c r="D24" s="125"/>
      <c r="E24" s="32"/>
      <c r="F24"/>
      <c r="G24"/>
      <c r="H24"/>
      <c r="I24"/>
      <c r="J24"/>
      <c r="K24"/>
      <c r="L24"/>
      <c r="M24"/>
      <c r="N24"/>
      <c r="O24"/>
      <c r="P24"/>
      <c r="Q24"/>
      <c r="R24"/>
      <c r="S24"/>
      <c r="T24"/>
      <c r="U24"/>
      <c r="V24"/>
      <c r="W24"/>
      <c r="X24"/>
      <c r="Y24"/>
      <c r="Z24"/>
      <c r="AA24"/>
      <c r="AB24"/>
      <c r="AC24"/>
      <c r="AD24"/>
      <c r="AE24"/>
      <c r="AF24"/>
      <c r="AG24"/>
      <c r="AH24"/>
      <c r="AI24"/>
    </row>
    <row r="25" spans="1:35" s="33" customFormat="1" ht="15.75">
      <c r="A25" s="178"/>
      <c r="B25" s="166"/>
      <c r="C25" s="125"/>
      <c r="D25" s="125"/>
      <c r="E25" s="32"/>
      <c r="F25"/>
      <c r="G25"/>
      <c r="H25"/>
      <c r="I25"/>
      <c r="J25"/>
      <c r="K25"/>
      <c r="L25"/>
      <c r="M25"/>
      <c r="N25"/>
      <c r="O25"/>
      <c r="P25"/>
      <c r="Q25"/>
      <c r="R25"/>
      <c r="S25"/>
      <c r="T25"/>
      <c r="U25"/>
      <c r="V25"/>
      <c r="W25"/>
      <c r="X25"/>
      <c r="Y25"/>
      <c r="Z25"/>
      <c r="AA25"/>
      <c r="AB25"/>
      <c r="AC25"/>
      <c r="AD25"/>
      <c r="AE25"/>
      <c r="AF25"/>
      <c r="AG25"/>
      <c r="AH25"/>
      <c r="AI25"/>
    </row>
    <row r="26" spans="1:35" s="33" customFormat="1" ht="15.75">
      <c r="A26" s="178"/>
      <c r="B26" s="166"/>
      <c r="C26" s="125"/>
      <c r="D26" s="125"/>
      <c r="E26" s="32"/>
      <c r="F26"/>
      <c r="G26"/>
      <c r="H26"/>
      <c r="I26"/>
      <c r="J26"/>
      <c r="K26"/>
      <c r="L26"/>
      <c r="M26"/>
      <c r="N26"/>
      <c r="O26"/>
      <c r="P26"/>
      <c r="Q26"/>
      <c r="R26"/>
      <c r="S26"/>
      <c r="T26"/>
      <c r="U26"/>
      <c r="V26"/>
      <c r="W26"/>
      <c r="X26"/>
      <c r="Y26"/>
      <c r="Z26"/>
      <c r="AA26"/>
      <c r="AB26"/>
      <c r="AC26"/>
      <c r="AD26"/>
      <c r="AE26"/>
      <c r="AF26"/>
      <c r="AG26"/>
      <c r="AH26"/>
      <c r="AI26"/>
    </row>
    <row r="27" spans="1:35" s="33" customFormat="1" ht="15.75">
      <c r="A27" s="178"/>
      <c r="B27" s="166"/>
      <c r="C27" s="125"/>
      <c r="D27" s="125"/>
      <c r="E27" s="32"/>
      <c r="F27"/>
      <c r="G27"/>
      <c r="H27"/>
      <c r="I27"/>
      <c r="J27"/>
      <c r="K27"/>
      <c r="L27"/>
      <c r="M27"/>
      <c r="N27"/>
      <c r="O27"/>
      <c r="P27"/>
      <c r="Q27"/>
      <c r="R27"/>
      <c r="S27"/>
      <c r="T27"/>
      <c r="U27"/>
      <c r="V27"/>
      <c r="W27"/>
      <c r="X27"/>
      <c r="Y27"/>
      <c r="Z27"/>
      <c r="AA27"/>
      <c r="AB27"/>
      <c r="AC27"/>
      <c r="AD27"/>
      <c r="AE27"/>
      <c r="AF27"/>
      <c r="AG27"/>
      <c r="AH27"/>
      <c r="AI27"/>
    </row>
    <row r="28" spans="1:35" s="33" customFormat="1" ht="15.75">
      <c r="A28" s="178"/>
      <c r="B28" s="166"/>
      <c r="C28" s="125"/>
      <c r="D28" s="125"/>
      <c r="E28" s="32"/>
      <c r="F28"/>
      <c r="G28"/>
      <c r="H28"/>
      <c r="I28"/>
      <c r="J28"/>
      <c r="K28"/>
      <c r="L28"/>
      <c r="M28"/>
      <c r="N28"/>
      <c r="O28"/>
      <c r="P28"/>
      <c r="Q28"/>
      <c r="R28"/>
      <c r="S28"/>
      <c r="T28"/>
      <c r="U28"/>
      <c r="V28"/>
      <c r="W28"/>
      <c r="X28"/>
      <c r="Y28"/>
      <c r="Z28"/>
      <c r="AA28"/>
      <c r="AB28"/>
      <c r="AC28"/>
      <c r="AD28"/>
      <c r="AE28"/>
      <c r="AF28"/>
      <c r="AG28"/>
      <c r="AH28"/>
      <c r="AI28"/>
    </row>
    <row r="29" spans="1:35" s="33" customFormat="1" ht="15.75">
      <c r="A29" s="178"/>
      <c r="B29" s="166"/>
      <c r="C29" s="125"/>
      <c r="D29" s="125"/>
      <c r="E29" s="32"/>
      <c r="F29"/>
      <c r="G29"/>
      <c r="H29"/>
      <c r="I29"/>
      <c r="J29"/>
      <c r="K29"/>
      <c r="L29"/>
      <c r="M29"/>
      <c r="N29"/>
      <c r="O29"/>
      <c r="P29"/>
      <c r="Q29"/>
      <c r="R29"/>
      <c r="S29"/>
      <c r="T29"/>
      <c r="U29"/>
      <c r="V29"/>
      <c r="W29"/>
      <c r="X29"/>
      <c r="Y29"/>
      <c r="Z29"/>
      <c r="AA29"/>
      <c r="AB29"/>
      <c r="AC29"/>
      <c r="AD29"/>
      <c r="AE29"/>
      <c r="AF29"/>
      <c r="AG29"/>
      <c r="AH29"/>
      <c r="AI29"/>
    </row>
    <row r="30" spans="1:35" s="33" customFormat="1" ht="15.75">
      <c r="A30" s="178"/>
      <c r="B30" s="166"/>
      <c r="C30" s="125"/>
      <c r="D30" s="125"/>
      <c r="E30" s="32"/>
      <c r="F30"/>
      <c r="G30"/>
      <c r="H30"/>
      <c r="I30"/>
      <c r="J30"/>
      <c r="K30"/>
      <c r="L30"/>
      <c r="M30"/>
      <c r="N30"/>
      <c r="O30"/>
      <c r="P30"/>
      <c r="Q30"/>
      <c r="R30"/>
      <c r="S30"/>
      <c r="T30"/>
      <c r="U30"/>
      <c r="V30"/>
      <c r="W30"/>
      <c r="X30"/>
      <c r="Y30"/>
      <c r="Z30"/>
      <c r="AA30"/>
      <c r="AB30"/>
      <c r="AC30"/>
      <c r="AD30"/>
      <c r="AE30"/>
      <c r="AF30"/>
      <c r="AG30"/>
      <c r="AH30"/>
      <c r="AI30"/>
    </row>
    <row r="31" spans="1:35" s="33" customFormat="1" ht="15.75">
      <c r="A31" s="178"/>
      <c r="B31" s="166"/>
      <c r="C31" s="125"/>
      <c r="D31" s="125"/>
      <c r="E31" s="32"/>
      <c r="F31"/>
      <c r="G31"/>
      <c r="H31"/>
      <c r="I31"/>
      <c r="J31"/>
      <c r="K31"/>
      <c r="L31"/>
      <c r="M31"/>
      <c r="N31"/>
      <c r="O31"/>
      <c r="P31"/>
      <c r="Q31"/>
      <c r="R31"/>
      <c r="S31"/>
      <c r="T31"/>
      <c r="U31"/>
      <c r="V31"/>
      <c r="W31"/>
      <c r="X31"/>
      <c r="Y31"/>
      <c r="Z31"/>
      <c r="AA31"/>
      <c r="AB31"/>
      <c r="AC31"/>
      <c r="AD31"/>
      <c r="AE31"/>
      <c r="AF31"/>
      <c r="AG31"/>
      <c r="AH31"/>
      <c r="AI31"/>
    </row>
    <row r="32" spans="1:35" s="33" customFormat="1" ht="15.75">
      <c r="A32" s="178"/>
      <c r="B32" s="166"/>
      <c r="C32" s="125"/>
      <c r="D32" s="125"/>
      <c r="E32" s="32"/>
      <c r="F32"/>
      <c r="G32"/>
      <c r="H32"/>
      <c r="I32"/>
      <c r="J32"/>
      <c r="K32"/>
      <c r="L32"/>
      <c r="M32"/>
      <c r="N32"/>
      <c r="O32"/>
      <c r="P32"/>
      <c r="Q32"/>
      <c r="R32"/>
      <c r="S32"/>
      <c r="T32"/>
      <c r="U32"/>
      <c r="V32"/>
      <c r="W32"/>
      <c r="X32"/>
      <c r="Y32"/>
      <c r="Z32"/>
      <c r="AA32"/>
      <c r="AB32"/>
      <c r="AC32"/>
      <c r="AD32"/>
      <c r="AE32"/>
      <c r="AF32"/>
      <c r="AG32"/>
      <c r="AH32"/>
      <c r="AI32"/>
    </row>
    <row r="33" spans="1:35" s="33" customFormat="1" ht="15.75">
      <c r="A33" s="178"/>
      <c r="B33" s="166"/>
      <c r="C33" s="125"/>
      <c r="D33" s="125"/>
      <c r="E33" s="32"/>
      <c r="F33"/>
      <c r="G33"/>
      <c r="H33"/>
      <c r="I33"/>
      <c r="J33"/>
      <c r="K33"/>
      <c r="L33"/>
      <c r="M33"/>
      <c r="N33"/>
      <c r="O33"/>
      <c r="P33"/>
      <c r="Q33"/>
      <c r="R33"/>
      <c r="S33"/>
      <c r="T33"/>
      <c r="U33"/>
      <c r="V33"/>
      <c r="W33"/>
      <c r="X33"/>
      <c r="Y33"/>
      <c r="Z33"/>
      <c r="AA33"/>
      <c r="AB33"/>
      <c r="AC33"/>
      <c r="AD33"/>
      <c r="AE33"/>
      <c r="AF33"/>
      <c r="AG33"/>
      <c r="AH33"/>
      <c r="AI33"/>
    </row>
    <row r="34" spans="1:35" s="33" customFormat="1" ht="15.75">
      <c r="A34" s="178"/>
      <c r="B34" s="166"/>
      <c r="C34" s="125"/>
      <c r="D34" s="125"/>
      <c r="E34" s="32"/>
      <c r="F34"/>
      <c r="G34"/>
      <c r="H34"/>
      <c r="I34"/>
      <c r="J34"/>
      <c r="K34"/>
      <c r="L34"/>
      <c r="M34"/>
      <c r="N34"/>
      <c r="O34"/>
      <c r="P34"/>
      <c r="Q34"/>
      <c r="R34"/>
      <c r="S34"/>
      <c r="T34"/>
      <c r="U34"/>
      <c r="V34"/>
      <c r="W34"/>
      <c r="X34"/>
      <c r="Y34"/>
      <c r="Z34"/>
      <c r="AA34"/>
      <c r="AB34"/>
      <c r="AC34"/>
      <c r="AD34"/>
      <c r="AE34"/>
      <c r="AF34"/>
      <c r="AG34"/>
      <c r="AH34"/>
      <c r="AI34"/>
    </row>
    <row r="35" spans="1:35" s="33" customFormat="1" ht="15.75">
      <c r="A35" s="178"/>
      <c r="B35" s="166"/>
      <c r="C35" s="125"/>
      <c r="D35" s="125"/>
      <c r="E35" s="32"/>
      <c r="F35"/>
      <c r="G35"/>
      <c r="H35"/>
      <c r="I35"/>
      <c r="J35"/>
      <c r="K35"/>
      <c r="L35"/>
      <c r="M35"/>
      <c r="N35"/>
      <c r="O35"/>
      <c r="P35"/>
      <c r="Q35"/>
      <c r="R35"/>
      <c r="S35"/>
      <c r="T35"/>
      <c r="U35"/>
      <c r="V35"/>
      <c r="W35"/>
      <c r="X35"/>
      <c r="Y35"/>
      <c r="Z35"/>
      <c r="AA35"/>
      <c r="AB35"/>
      <c r="AC35"/>
      <c r="AD35"/>
      <c r="AE35"/>
      <c r="AF35"/>
      <c r="AG35"/>
      <c r="AH35"/>
      <c r="AI35"/>
    </row>
    <row r="36" spans="1:35" s="33" customFormat="1" ht="15.75">
      <c r="A36" s="178"/>
      <c r="B36" s="166"/>
      <c r="C36" s="125"/>
      <c r="D36" s="125"/>
      <c r="E36" s="32"/>
      <c r="F36"/>
      <c r="G36"/>
      <c r="H36"/>
      <c r="I36"/>
      <c r="J36"/>
      <c r="K36"/>
      <c r="L36"/>
      <c r="M36"/>
      <c r="N36"/>
      <c r="O36"/>
      <c r="P36"/>
      <c r="Q36"/>
      <c r="R36"/>
      <c r="S36"/>
      <c r="T36"/>
      <c r="U36"/>
      <c r="V36"/>
      <c r="W36"/>
      <c r="X36"/>
      <c r="Y36"/>
      <c r="Z36"/>
      <c r="AA36"/>
      <c r="AB36"/>
      <c r="AC36"/>
      <c r="AD36"/>
      <c r="AE36"/>
      <c r="AF36"/>
      <c r="AG36"/>
      <c r="AH36"/>
      <c r="AI36"/>
    </row>
    <row r="37" spans="1:35" s="33" customFormat="1" ht="15.75">
      <c r="A37" s="178"/>
      <c r="B37" s="166"/>
      <c r="C37" s="125"/>
      <c r="D37" s="125"/>
      <c r="E37" s="32"/>
      <c r="F37"/>
      <c r="G37"/>
      <c r="H37"/>
      <c r="I37"/>
      <c r="J37"/>
      <c r="K37"/>
      <c r="L37"/>
      <c r="M37"/>
      <c r="N37"/>
      <c r="O37"/>
      <c r="P37"/>
      <c r="Q37"/>
      <c r="R37"/>
      <c r="S37"/>
      <c r="T37"/>
      <c r="U37"/>
      <c r="V37"/>
      <c r="W37"/>
      <c r="X37"/>
      <c r="Y37"/>
      <c r="Z37"/>
      <c r="AA37"/>
      <c r="AB37"/>
      <c r="AC37"/>
      <c r="AD37"/>
      <c r="AE37"/>
      <c r="AF37"/>
      <c r="AG37"/>
      <c r="AH37"/>
      <c r="AI37"/>
    </row>
    <row r="38" spans="1:35" s="33" customFormat="1" ht="15.75">
      <c r="A38" s="178"/>
      <c r="B38" s="166"/>
      <c r="C38" s="125"/>
      <c r="D38" s="125"/>
      <c r="E38" s="32"/>
      <c r="F38"/>
      <c r="G38"/>
      <c r="H38"/>
      <c r="I38"/>
      <c r="J38"/>
      <c r="K38"/>
      <c r="L38"/>
      <c r="M38"/>
      <c r="N38"/>
      <c r="O38"/>
      <c r="P38"/>
      <c r="Q38"/>
      <c r="R38"/>
      <c r="S38"/>
      <c r="T38"/>
      <c r="U38"/>
      <c r="V38"/>
      <c r="W38"/>
      <c r="X38"/>
      <c r="Y38"/>
      <c r="Z38"/>
      <c r="AA38"/>
      <c r="AB38"/>
      <c r="AC38"/>
      <c r="AD38"/>
      <c r="AE38"/>
      <c r="AF38"/>
      <c r="AG38"/>
      <c r="AH38"/>
      <c r="AI38"/>
    </row>
    <row r="39" spans="1:35" s="33" customFormat="1" ht="15.75">
      <c r="A39" s="178"/>
      <c r="B39" s="166"/>
      <c r="C39" s="125"/>
      <c r="D39" s="125"/>
      <c r="E39" s="32"/>
      <c r="F39"/>
      <c r="G39"/>
      <c r="H39"/>
      <c r="I39"/>
      <c r="J39"/>
      <c r="K39"/>
      <c r="L39"/>
      <c r="M39"/>
      <c r="N39"/>
      <c r="O39"/>
      <c r="P39"/>
      <c r="Q39"/>
      <c r="R39"/>
      <c r="S39"/>
      <c r="T39"/>
      <c r="U39"/>
      <c r="V39"/>
      <c r="W39"/>
      <c r="X39"/>
      <c r="Y39"/>
      <c r="Z39"/>
      <c r="AA39"/>
      <c r="AB39"/>
      <c r="AC39"/>
      <c r="AD39"/>
      <c r="AE39"/>
      <c r="AF39"/>
      <c r="AG39"/>
      <c r="AH39"/>
      <c r="AI39"/>
    </row>
    <row r="40" spans="1:35" s="33" customFormat="1" ht="15.75">
      <c r="A40" s="178"/>
      <c r="B40" s="166"/>
      <c r="C40" s="125"/>
      <c r="D40" s="125"/>
      <c r="E40" s="32"/>
      <c r="F40"/>
      <c r="G40"/>
      <c r="H40"/>
      <c r="I40"/>
      <c r="J40"/>
      <c r="K40"/>
      <c r="L40"/>
      <c r="M40"/>
      <c r="N40"/>
      <c r="O40"/>
      <c r="P40"/>
      <c r="Q40"/>
      <c r="R40"/>
      <c r="S40"/>
      <c r="T40"/>
      <c r="U40"/>
      <c r="V40"/>
      <c r="W40"/>
      <c r="X40"/>
      <c r="Y40"/>
      <c r="Z40"/>
      <c r="AA40"/>
      <c r="AB40"/>
      <c r="AC40"/>
      <c r="AD40"/>
      <c r="AE40"/>
      <c r="AF40"/>
      <c r="AG40"/>
      <c r="AH40"/>
      <c r="AI40"/>
    </row>
    <row r="41" spans="1:35" s="33" customFormat="1" ht="15.75">
      <c r="A41" s="178"/>
      <c r="B41" s="166"/>
      <c r="C41" s="125"/>
      <c r="D41" s="125"/>
      <c r="E41" s="32"/>
      <c r="F41"/>
      <c r="G41"/>
      <c r="H41"/>
      <c r="I41"/>
      <c r="J41"/>
      <c r="K41"/>
      <c r="L41"/>
      <c r="M41"/>
      <c r="N41"/>
      <c r="O41"/>
      <c r="P41"/>
      <c r="Q41"/>
      <c r="R41"/>
      <c r="S41"/>
      <c r="T41"/>
      <c r="U41"/>
      <c r="V41"/>
      <c r="W41"/>
      <c r="X41"/>
      <c r="Y41"/>
      <c r="Z41"/>
      <c r="AA41"/>
      <c r="AB41"/>
      <c r="AC41"/>
      <c r="AD41"/>
      <c r="AE41"/>
      <c r="AF41"/>
      <c r="AG41"/>
      <c r="AH41"/>
      <c r="AI41"/>
    </row>
    <row r="42" spans="1:35" s="33" customFormat="1" ht="15.75">
      <c r="A42" s="178"/>
      <c r="B42" s="166"/>
      <c r="C42" s="125"/>
      <c r="D42" s="125"/>
      <c r="E42" s="32"/>
      <c r="F42"/>
      <c r="G42"/>
      <c r="H42"/>
      <c r="I42"/>
      <c r="J42"/>
      <c r="K42"/>
      <c r="L42"/>
      <c r="M42"/>
      <c r="N42"/>
      <c r="O42"/>
      <c r="P42"/>
      <c r="Q42"/>
      <c r="R42"/>
      <c r="S42"/>
      <c r="T42"/>
      <c r="U42"/>
      <c r="V42"/>
      <c r="W42"/>
      <c r="X42"/>
      <c r="Y42"/>
      <c r="Z42"/>
      <c r="AA42"/>
      <c r="AB42"/>
      <c r="AC42"/>
      <c r="AD42"/>
      <c r="AE42"/>
      <c r="AF42"/>
      <c r="AG42"/>
      <c r="AH42"/>
      <c r="AI42"/>
    </row>
    <row r="43" spans="1:35" s="33" customFormat="1" ht="15.75">
      <c r="A43" s="178"/>
      <c r="B43" s="166"/>
      <c r="C43" s="125"/>
      <c r="D43" s="125"/>
      <c r="E43" s="32"/>
      <c r="F43"/>
      <c r="G43"/>
      <c r="H43"/>
      <c r="I43"/>
      <c r="J43"/>
      <c r="K43"/>
      <c r="L43"/>
      <c r="M43"/>
      <c r="N43"/>
      <c r="O43"/>
      <c r="P43"/>
      <c r="Q43"/>
      <c r="R43"/>
      <c r="S43"/>
      <c r="T43"/>
      <c r="U43"/>
      <c r="V43"/>
      <c r="W43"/>
      <c r="X43"/>
      <c r="Y43"/>
      <c r="Z43"/>
      <c r="AA43"/>
      <c r="AB43"/>
      <c r="AC43"/>
      <c r="AD43"/>
      <c r="AE43"/>
      <c r="AF43"/>
      <c r="AG43"/>
      <c r="AH43"/>
      <c r="AI43"/>
    </row>
    <row r="44" spans="1:35" s="33" customFormat="1" ht="15.75">
      <c r="A44" s="178"/>
      <c r="B44" s="166"/>
      <c r="C44" s="125"/>
      <c r="D44" s="125"/>
      <c r="E44" s="32"/>
      <c r="F44"/>
      <c r="G44"/>
      <c r="H44"/>
      <c r="I44"/>
      <c r="J44"/>
      <c r="K44"/>
      <c r="L44"/>
      <c r="M44"/>
      <c r="N44"/>
      <c r="O44"/>
      <c r="P44"/>
      <c r="Q44"/>
      <c r="R44"/>
      <c r="S44"/>
      <c r="T44"/>
      <c r="U44"/>
      <c r="V44"/>
      <c r="W44"/>
      <c r="X44"/>
      <c r="Y44"/>
      <c r="Z44"/>
      <c r="AA44"/>
      <c r="AB44"/>
      <c r="AC44"/>
      <c r="AD44"/>
      <c r="AE44"/>
      <c r="AF44"/>
      <c r="AG44"/>
      <c r="AH44"/>
      <c r="AI44"/>
    </row>
    <row r="45" spans="1:35" s="33" customFormat="1" ht="15.75">
      <c r="A45" s="178"/>
      <c r="B45" s="166"/>
      <c r="C45" s="125"/>
      <c r="D45" s="125"/>
      <c r="E45" s="32"/>
      <c r="F45"/>
      <c r="G45"/>
      <c r="H45"/>
      <c r="I45"/>
      <c r="J45"/>
      <c r="K45"/>
      <c r="L45"/>
      <c r="M45"/>
      <c r="N45"/>
      <c r="O45"/>
      <c r="P45"/>
      <c r="Q45"/>
      <c r="R45"/>
      <c r="S45"/>
      <c r="T45"/>
      <c r="U45"/>
      <c r="V45"/>
      <c r="W45"/>
      <c r="X45"/>
      <c r="Y45"/>
      <c r="Z45"/>
      <c r="AA45"/>
      <c r="AB45"/>
      <c r="AC45"/>
      <c r="AD45"/>
      <c r="AE45"/>
      <c r="AF45"/>
      <c r="AG45"/>
      <c r="AH45"/>
      <c r="AI45"/>
    </row>
    <row r="46" spans="1:35" s="33" customFormat="1" ht="15.75">
      <c r="A46" s="178"/>
      <c r="B46" s="166"/>
      <c r="C46" s="125"/>
      <c r="D46" s="125"/>
      <c r="E46" s="32"/>
      <c r="F46"/>
      <c r="G46"/>
      <c r="H46"/>
      <c r="I46"/>
      <c r="J46"/>
      <c r="K46"/>
      <c r="L46"/>
      <c r="M46"/>
      <c r="N46"/>
      <c r="O46"/>
      <c r="P46"/>
      <c r="Q46"/>
      <c r="R46"/>
      <c r="S46"/>
      <c r="T46"/>
      <c r="U46"/>
      <c r="V46"/>
      <c r="W46"/>
      <c r="X46"/>
      <c r="Y46"/>
      <c r="Z46"/>
      <c r="AA46"/>
      <c r="AB46"/>
      <c r="AC46"/>
      <c r="AD46"/>
      <c r="AE46"/>
      <c r="AF46"/>
      <c r="AG46"/>
      <c r="AH46"/>
      <c r="AI46"/>
    </row>
    <row r="47" spans="1:35" s="33" customFormat="1" ht="15.75">
      <c r="A47" s="178"/>
      <c r="B47" s="166"/>
      <c r="C47" s="125"/>
      <c r="D47" s="125"/>
      <c r="E47" s="32"/>
      <c r="F47"/>
      <c r="G47"/>
      <c r="H47"/>
      <c r="I47"/>
      <c r="J47"/>
      <c r="K47"/>
      <c r="L47"/>
      <c r="M47"/>
      <c r="N47"/>
      <c r="O47"/>
      <c r="P47"/>
      <c r="Q47"/>
      <c r="R47"/>
      <c r="S47"/>
      <c r="T47"/>
      <c r="U47"/>
      <c r="V47"/>
      <c r="W47"/>
      <c r="X47"/>
      <c r="Y47"/>
      <c r="Z47"/>
      <c r="AA47"/>
      <c r="AB47"/>
      <c r="AC47"/>
      <c r="AD47"/>
      <c r="AE47"/>
      <c r="AF47"/>
      <c r="AG47"/>
      <c r="AH47"/>
      <c r="AI47"/>
    </row>
    <row r="48" spans="1:35" s="33" customFormat="1" ht="15.75">
      <c r="A48" s="178"/>
      <c r="B48" s="166"/>
      <c r="C48" s="125"/>
      <c r="D48" s="125"/>
      <c r="E48" s="32"/>
      <c r="F48"/>
      <c r="G48"/>
      <c r="H48"/>
      <c r="I48"/>
      <c r="J48"/>
      <c r="K48"/>
      <c r="L48"/>
      <c r="M48"/>
      <c r="N48"/>
      <c r="O48"/>
      <c r="P48"/>
      <c r="Q48"/>
      <c r="R48"/>
      <c r="S48"/>
      <c r="T48"/>
      <c r="U48"/>
      <c r="V48"/>
      <c r="W48"/>
      <c r="X48"/>
      <c r="Y48"/>
      <c r="Z48"/>
      <c r="AA48"/>
      <c r="AB48"/>
      <c r="AC48"/>
      <c r="AD48"/>
      <c r="AE48"/>
      <c r="AF48"/>
      <c r="AG48"/>
      <c r="AH48"/>
      <c r="AI48"/>
    </row>
    <row r="49" spans="1:35" s="33" customFormat="1" ht="15.75">
      <c r="A49" s="178"/>
      <c r="B49" s="166"/>
      <c r="C49" s="125"/>
      <c r="D49" s="125"/>
      <c r="E49" s="32"/>
      <c r="F49"/>
      <c r="G49"/>
      <c r="H49"/>
      <c r="I49"/>
      <c r="J49"/>
      <c r="K49"/>
      <c r="L49"/>
      <c r="M49"/>
      <c r="N49"/>
      <c r="O49"/>
      <c r="P49"/>
      <c r="Q49"/>
      <c r="R49"/>
      <c r="S49"/>
      <c r="T49"/>
      <c r="U49"/>
      <c r="V49"/>
      <c r="W49"/>
      <c r="X49"/>
      <c r="Y49"/>
      <c r="Z49"/>
      <c r="AA49"/>
      <c r="AB49"/>
      <c r="AC49"/>
      <c r="AD49"/>
      <c r="AE49"/>
      <c r="AF49"/>
      <c r="AG49"/>
      <c r="AH49"/>
      <c r="AI49"/>
    </row>
    <row r="50" spans="1:35" s="33" customFormat="1" ht="15.75">
      <c r="A50" s="178"/>
      <c r="B50" s="166"/>
      <c r="C50" s="125"/>
      <c r="D50" s="125"/>
      <c r="E50" s="32"/>
      <c r="F50"/>
      <c r="G50"/>
      <c r="H50"/>
      <c r="I50"/>
      <c r="J50"/>
      <c r="K50"/>
      <c r="L50"/>
      <c r="M50"/>
      <c r="N50"/>
      <c r="O50"/>
      <c r="P50"/>
      <c r="Q50"/>
      <c r="R50"/>
      <c r="S50"/>
      <c r="T50"/>
      <c r="U50"/>
      <c r="V50"/>
      <c r="W50"/>
      <c r="X50"/>
      <c r="Y50"/>
      <c r="Z50"/>
      <c r="AA50"/>
      <c r="AB50"/>
      <c r="AC50"/>
      <c r="AD50"/>
      <c r="AE50"/>
      <c r="AF50"/>
      <c r="AG50"/>
      <c r="AH50"/>
      <c r="AI50"/>
    </row>
    <row r="51" spans="1:35" s="33" customFormat="1" ht="15.75">
      <c r="A51" s="178"/>
      <c r="B51" s="166"/>
      <c r="C51" s="125"/>
      <c r="D51" s="125"/>
      <c r="E51" s="32"/>
      <c r="F51"/>
      <c r="G51"/>
      <c r="H51"/>
      <c r="I51"/>
      <c r="J51"/>
      <c r="K51"/>
      <c r="L51"/>
      <c r="M51"/>
      <c r="N51"/>
      <c r="O51"/>
      <c r="P51"/>
      <c r="Q51"/>
      <c r="R51"/>
      <c r="S51"/>
      <c r="T51"/>
      <c r="U51"/>
      <c r="V51"/>
      <c r="W51"/>
      <c r="X51"/>
      <c r="Y51"/>
      <c r="Z51"/>
      <c r="AA51"/>
      <c r="AB51"/>
      <c r="AC51"/>
      <c r="AD51"/>
      <c r="AE51"/>
      <c r="AF51"/>
      <c r="AG51"/>
      <c r="AH51"/>
      <c r="AI51"/>
    </row>
    <row r="52" spans="1:35" s="33" customFormat="1" ht="15.75">
      <c r="A52" s="178"/>
      <c r="B52" s="166"/>
      <c r="C52" s="125"/>
      <c r="D52" s="125"/>
      <c r="E52" s="32"/>
      <c r="F52"/>
      <c r="G52"/>
      <c r="H52"/>
      <c r="I52"/>
      <c r="J52"/>
      <c r="K52"/>
      <c r="L52"/>
      <c r="M52"/>
      <c r="N52"/>
      <c r="O52"/>
      <c r="P52"/>
      <c r="Q52"/>
      <c r="R52"/>
      <c r="S52"/>
      <c r="T52"/>
      <c r="U52"/>
      <c r="V52"/>
      <c r="W52"/>
      <c r="X52"/>
      <c r="Y52"/>
      <c r="Z52"/>
      <c r="AA52"/>
      <c r="AB52"/>
      <c r="AC52"/>
      <c r="AD52"/>
      <c r="AE52"/>
      <c r="AF52"/>
      <c r="AG52"/>
      <c r="AH52"/>
      <c r="AI52"/>
    </row>
    <row r="53" spans="1:35" s="33" customFormat="1" ht="15.75">
      <c r="A53" s="178"/>
      <c r="B53" s="166"/>
      <c r="C53" s="125"/>
      <c r="D53" s="125"/>
      <c r="E53" s="32"/>
      <c r="F53"/>
      <c r="G53"/>
      <c r="H53"/>
      <c r="I53"/>
      <c r="J53"/>
      <c r="K53"/>
      <c r="L53"/>
      <c r="M53"/>
      <c r="N53"/>
      <c r="O53"/>
      <c r="P53"/>
      <c r="Q53"/>
      <c r="R53"/>
      <c r="S53"/>
      <c r="T53"/>
      <c r="U53"/>
      <c r="V53"/>
      <c r="W53"/>
      <c r="X53"/>
      <c r="Y53"/>
      <c r="Z53"/>
      <c r="AA53"/>
      <c r="AB53"/>
      <c r="AC53"/>
      <c r="AD53"/>
      <c r="AE53"/>
      <c r="AF53"/>
      <c r="AG53"/>
      <c r="AH53"/>
      <c r="AI53"/>
    </row>
    <row r="54" spans="1:35" s="33" customFormat="1" ht="15.75">
      <c r="A54" s="178"/>
      <c r="B54" s="166"/>
      <c r="C54" s="125"/>
      <c r="D54" s="125"/>
      <c r="E54" s="32"/>
      <c r="F54"/>
      <c r="G54"/>
      <c r="H54"/>
      <c r="I54"/>
      <c r="J54"/>
      <c r="K54"/>
      <c r="L54"/>
      <c r="M54"/>
      <c r="N54"/>
      <c r="O54"/>
      <c r="P54"/>
      <c r="Q54"/>
      <c r="R54"/>
      <c r="S54"/>
      <c r="T54"/>
      <c r="U54"/>
      <c r="V54"/>
      <c r="W54"/>
      <c r="X54"/>
      <c r="Y54"/>
      <c r="Z54"/>
      <c r="AA54"/>
      <c r="AB54"/>
      <c r="AC54"/>
      <c r="AD54"/>
      <c r="AE54"/>
      <c r="AF54"/>
      <c r="AG54"/>
      <c r="AH54"/>
      <c r="AI54"/>
    </row>
    <row r="55" spans="1:35" s="33" customFormat="1" ht="15.75">
      <c r="A55" s="178"/>
      <c r="B55" s="166"/>
      <c r="C55" s="125"/>
      <c r="D55" s="125"/>
      <c r="E55" s="32"/>
      <c r="F55"/>
      <c r="G55"/>
      <c r="H55"/>
      <c r="I55"/>
      <c r="J55"/>
      <c r="K55"/>
      <c r="L55"/>
      <c r="M55"/>
      <c r="N55"/>
      <c r="O55"/>
      <c r="P55"/>
      <c r="Q55"/>
      <c r="R55"/>
      <c r="S55"/>
      <c r="T55"/>
      <c r="U55"/>
      <c r="V55"/>
      <c r="W55"/>
      <c r="X55"/>
      <c r="Y55"/>
      <c r="Z55"/>
      <c r="AA55"/>
      <c r="AB55"/>
      <c r="AC55"/>
      <c r="AD55"/>
      <c r="AE55"/>
      <c r="AF55"/>
      <c r="AG55"/>
      <c r="AH55"/>
      <c r="AI55"/>
    </row>
    <row r="56" spans="1:35" s="33" customFormat="1" ht="15.75">
      <c r="A56" s="178"/>
      <c r="B56" s="166"/>
      <c r="C56" s="125"/>
      <c r="D56" s="125"/>
      <c r="E56" s="32"/>
      <c r="F56"/>
      <c r="G56"/>
      <c r="H56"/>
      <c r="I56"/>
      <c r="J56"/>
      <c r="K56"/>
      <c r="L56"/>
      <c r="M56"/>
      <c r="N56"/>
      <c r="O56"/>
      <c r="P56"/>
      <c r="Q56"/>
      <c r="R56"/>
      <c r="S56"/>
      <c r="T56"/>
      <c r="U56"/>
      <c r="V56"/>
      <c r="W56"/>
      <c r="X56"/>
      <c r="Y56"/>
      <c r="Z56"/>
      <c r="AA56"/>
      <c r="AB56"/>
      <c r="AC56"/>
      <c r="AD56"/>
      <c r="AE56"/>
      <c r="AF56"/>
      <c r="AG56"/>
      <c r="AH56"/>
      <c r="AI56"/>
    </row>
    <row r="57" spans="1:35" s="33" customFormat="1" ht="15.75">
      <c r="A57" s="178"/>
      <c r="B57" s="166"/>
      <c r="C57" s="125"/>
      <c r="D57" s="125"/>
      <c r="E57" s="32"/>
      <c r="F57"/>
      <c r="G57"/>
      <c r="H57"/>
      <c r="I57"/>
      <c r="J57"/>
      <c r="K57"/>
      <c r="L57"/>
      <c r="M57"/>
      <c r="N57"/>
      <c r="O57"/>
      <c r="P57"/>
      <c r="Q57"/>
      <c r="R57"/>
      <c r="S57"/>
      <c r="T57"/>
      <c r="U57"/>
      <c r="V57"/>
      <c r="W57"/>
      <c r="X57"/>
      <c r="Y57"/>
      <c r="Z57"/>
      <c r="AA57"/>
      <c r="AB57"/>
      <c r="AC57"/>
      <c r="AD57"/>
      <c r="AE57"/>
      <c r="AF57"/>
      <c r="AG57"/>
      <c r="AH57"/>
      <c r="AI57"/>
    </row>
    <row r="58" spans="1:35" s="33" customFormat="1" ht="15.75">
      <c r="A58" s="178"/>
      <c r="B58" s="166"/>
      <c r="C58" s="125"/>
      <c r="D58" s="125"/>
      <c r="E58" s="32"/>
      <c r="F58"/>
      <c r="G58"/>
      <c r="H58"/>
      <c r="I58"/>
      <c r="J58"/>
      <c r="K58"/>
      <c r="L58"/>
      <c r="M58"/>
      <c r="N58"/>
      <c r="O58"/>
      <c r="P58"/>
      <c r="Q58"/>
      <c r="R58"/>
      <c r="S58"/>
      <c r="T58"/>
      <c r="U58"/>
      <c r="V58"/>
      <c r="W58"/>
      <c r="X58"/>
      <c r="Y58"/>
      <c r="Z58"/>
      <c r="AA58"/>
      <c r="AB58"/>
      <c r="AC58"/>
      <c r="AD58"/>
      <c r="AE58"/>
      <c r="AF58"/>
      <c r="AG58"/>
      <c r="AH58"/>
      <c r="AI58"/>
    </row>
    <row r="59" spans="1:35" s="33" customFormat="1" ht="15.75">
      <c r="A59" s="178"/>
      <c r="B59" s="166"/>
      <c r="C59" s="125"/>
      <c r="D59" s="125"/>
      <c r="E59" s="32"/>
      <c r="F59"/>
      <c r="G59"/>
      <c r="H59"/>
      <c r="I59"/>
      <c r="J59"/>
      <c r="K59"/>
      <c r="L59"/>
      <c r="M59"/>
      <c r="N59"/>
      <c r="O59"/>
      <c r="P59"/>
      <c r="Q59"/>
      <c r="R59"/>
      <c r="S59"/>
      <c r="T59"/>
      <c r="U59"/>
      <c r="V59"/>
      <c r="W59"/>
      <c r="X59"/>
      <c r="Y59"/>
      <c r="Z59"/>
      <c r="AA59"/>
      <c r="AB59"/>
      <c r="AC59"/>
      <c r="AD59"/>
      <c r="AE59"/>
      <c r="AF59"/>
      <c r="AG59"/>
      <c r="AH59"/>
      <c r="AI59"/>
    </row>
    <row r="60" spans="1:35" s="33" customFormat="1" ht="15.75">
      <c r="A60" s="178"/>
      <c r="B60" s="166"/>
      <c r="C60" s="125"/>
      <c r="D60" s="125"/>
      <c r="E60" s="32"/>
      <c r="F60"/>
      <c r="G60"/>
      <c r="H60"/>
      <c r="I60"/>
      <c r="J60"/>
      <c r="K60"/>
      <c r="L60"/>
      <c r="M60"/>
      <c r="N60"/>
      <c r="O60"/>
      <c r="P60"/>
      <c r="Q60"/>
      <c r="R60"/>
      <c r="S60"/>
      <c r="T60"/>
      <c r="U60"/>
      <c r="V60"/>
      <c r="W60"/>
      <c r="X60"/>
      <c r="Y60"/>
      <c r="Z60"/>
      <c r="AA60"/>
      <c r="AB60"/>
      <c r="AC60"/>
      <c r="AD60"/>
      <c r="AE60"/>
      <c r="AF60"/>
      <c r="AG60"/>
      <c r="AH60"/>
      <c r="AI60"/>
    </row>
    <row r="61" spans="1:35" s="33" customFormat="1" ht="15.75">
      <c r="A61" s="178"/>
      <c r="B61" s="166"/>
      <c r="C61" s="125"/>
      <c r="D61" s="125"/>
      <c r="E61" s="32"/>
      <c r="F61"/>
      <c r="G61"/>
      <c r="H61"/>
      <c r="I61"/>
      <c r="J61"/>
      <c r="K61"/>
      <c r="L61"/>
      <c r="M61"/>
      <c r="N61"/>
      <c r="O61"/>
      <c r="P61"/>
      <c r="Q61"/>
      <c r="R61"/>
      <c r="S61"/>
      <c r="T61"/>
      <c r="U61"/>
      <c r="V61"/>
      <c r="W61"/>
      <c r="X61"/>
      <c r="Y61"/>
      <c r="Z61"/>
      <c r="AA61"/>
      <c r="AB61"/>
      <c r="AC61"/>
      <c r="AD61"/>
      <c r="AE61"/>
      <c r="AF61"/>
      <c r="AG61"/>
      <c r="AH61"/>
      <c r="AI61"/>
    </row>
    <row r="62" spans="1:35" s="33" customFormat="1" ht="15.75">
      <c r="A62" s="178"/>
      <c r="B62" s="166"/>
      <c r="C62" s="125"/>
      <c r="D62" s="125"/>
      <c r="E62" s="32"/>
      <c r="F62"/>
      <c r="G62"/>
      <c r="H62"/>
      <c r="I62"/>
      <c r="J62"/>
      <c r="K62"/>
      <c r="L62"/>
      <c r="M62"/>
      <c r="N62"/>
      <c r="O62"/>
      <c r="P62"/>
      <c r="Q62"/>
      <c r="R62"/>
      <c r="S62"/>
      <c r="T62"/>
      <c r="U62"/>
      <c r="V62"/>
      <c r="W62"/>
      <c r="X62"/>
      <c r="Y62"/>
      <c r="Z62"/>
      <c r="AA62"/>
      <c r="AB62"/>
      <c r="AC62"/>
      <c r="AD62"/>
      <c r="AE62"/>
      <c r="AF62"/>
      <c r="AG62"/>
      <c r="AH62"/>
      <c r="AI62"/>
    </row>
    <row r="63" spans="1:35" s="33" customFormat="1" ht="15.75">
      <c r="A63" s="178"/>
      <c r="B63" s="166"/>
      <c r="C63" s="125"/>
      <c r="D63" s="125"/>
      <c r="E63" s="32"/>
      <c r="F63"/>
      <c r="G63"/>
      <c r="H63"/>
      <c r="I63"/>
      <c r="J63"/>
      <c r="K63"/>
      <c r="L63"/>
      <c r="M63"/>
      <c r="N63"/>
      <c r="O63"/>
      <c r="P63"/>
      <c r="Q63"/>
      <c r="R63"/>
      <c r="S63"/>
      <c r="T63"/>
      <c r="U63"/>
      <c r="V63"/>
      <c r="W63"/>
      <c r="X63"/>
      <c r="Y63"/>
      <c r="Z63"/>
      <c r="AA63"/>
      <c r="AB63"/>
      <c r="AC63"/>
      <c r="AD63"/>
      <c r="AE63"/>
      <c r="AF63"/>
      <c r="AG63"/>
      <c r="AH63"/>
      <c r="AI63"/>
    </row>
    <row r="64" spans="1:35" s="33" customFormat="1" ht="15.75">
      <c r="A64" s="178"/>
      <c r="B64" s="166"/>
      <c r="C64" s="125"/>
      <c r="D64" s="125"/>
      <c r="E64" s="32"/>
      <c r="F64"/>
      <c r="G64"/>
      <c r="H64"/>
      <c r="I64"/>
      <c r="J64"/>
      <c r="K64"/>
      <c r="L64"/>
      <c r="M64"/>
      <c r="N64"/>
      <c r="O64"/>
      <c r="P64"/>
      <c r="Q64"/>
      <c r="R64"/>
      <c r="S64"/>
      <c r="T64"/>
      <c r="U64"/>
      <c r="V64"/>
      <c r="W64"/>
      <c r="X64"/>
      <c r="Y64"/>
      <c r="Z64"/>
      <c r="AA64"/>
      <c r="AB64"/>
      <c r="AC64"/>
      <c r="AD64"/>
      <c r="AE64"/>
      <c r="AF64"/>
      <c r="AG64"/>
      <c r="AH64"/>
      <c r="AI64"/>
    </row>
    <row r="65" spans="1:35" s="33" customFormat="1" ht="15.75">
      <c r="A65" s="178"/>
      <c r="B65" s="166"/>
      <c r="C65" s="125"/>
      <c r="D65" s="125"/>
      <c r="E65" s="32"/>
      <c r="F65"/>
      <c r="G65"/>
      <c r="H65"/>
      <c r="I65"/>
      <c r="J65"/>
      <c r="K65"/>
      <c r="L65"/>
      <c r="M65"/>
      <c r="N65"/>
      <c r="O65"/>
      <c r="P65"/>
      <c r="Q65"/>
      <c r="R65"/>
      <c r="S65"/>
      <c r="T65"/>
      <c r="U65"/>
      <c r="V65"/>
      <c r="W65"/>
      <c r="X65"/>
      <c r="Y65"/>
      <c r="Z65"/>
      <c r="AA65"/>
      <c r="AB65"/>
      <c r="AC65"/>
      <c r="AD65"/>
      <c r="AE65"/>
      <c r="AF65"/>
      <c r="AG65"/>
      <c r="AH65"/>
      <c r="AI65"/>
    </row>
    <row r="66" spans="1:35" s="33" customFormat="1" ht="15.75">
      <c r="A66" s="178"/>
      <c r="B66" s="166"/>
      <c r="C66" s="125"/>
      <c r="D66" s="125"/>
      <c r="E66" s="32"/>
      <c r="F66"/>
      <c r="G66"/>
      <c r="H66"/>
      <c r="I66"/>
      <c r="J66"/>
      <c r="K66"/>
      <c r="L66"/>
      <c r="M66"/>
      <c r="N66"/>
      <c r="O66"/>
      <c r="P66"/>
      <c r="Q66"/>
      <c r="R66"/>
      <c r="S66"/>
      <c r="T66"/>
      <c r="U66"/>
      <c r="V66"/>
      <c r="W66"/>
      <c r="X66"/>
      <c r="Y66"/>
      <c r="Z66"/>
      <c r="AA66"/>
      <c r="AB66"/>
      <c r="AC66"/>
      <c r="AD66"/>
      <c r="AE66"/>
      <c r="AF66"/>
      <c r="AG66"/>
      <c r="AH66"/>
      <c r="AI66"/>
    </row>
    <row r="67" spans="1:35" s="33" customFormat="1" ht="15.75">
      <c r="A67" s="178"/>
      <c r="B67" s="166"/>
      <c r="C67" s="125"/>
      <c r="D67" s="125"/>
      <c r="E67" s="32"/>
      <c r="F67"/>
      <c r="G67"/>
      <c r="H67"/>
      <c r="I67"/>
      <c r="J67"/>
      <c r="K67"/>
      <c r="L67"/>
      <c r="M67"/>
      <c r="N67"/>
      <c r="O67"/>
      <c r="P67"/>
      <c r="Q67"/>
      <c r="R67"/>
      <c r="S67"/>
      <c r="T67"/>
      <c r="U67"/>
      <c r="V67"/>
      <c r="W67"/>
      <c r="X67"/>
      <c r="Y67"/>
      <c r="Z67"/>
      <c r="AA67"/>
      <c r="AB67"/>
      <c r="AC67"/>
      <c r="AD67"/>
      <c r="AE67"/>
      <c r="AF67"/>
      <c r="AG67"/>
      <c r="AH67"/>
      <c r="AI67"/>
    </row>
    <row r="68" spans="1:35" s="33" customFormat="1" ht="15.75">
      <c r="A68" s="178"/>
      <c r="B68" s="166"/>
      <c r="C68" s="125"/>
      <c r="D68" s="125"/>
      <c r="E68" s="32"/>
      <c r="F68"/>
      <c r="G68"/>
      <c r="H68"/>
      <c r="I68"/>
      <c r="J68"/>
      <c r="K68"/>
      <c r="L68"/>
      <c r="M68"/>
      <c r="N68"/>
      <c r="O68"/>
      <c r="P68"/>
      <c r="Q68"/>
      <c r="R68"/>
      <c r="S68"/>
      <c r="T68"/>
      <c r="U68"/>
      <c r="V68"/>
      <c r="W68"/>
      <c r="X68"/>
      <c r="Y68"/>
      <c r="Z68"/>
      <c r="AA68"/>
      <c r="AB68"/>
      <c r="AC68"/>
      <c r="AD68"/>
      <c r="AE68"/>
      <c r="AF68"/>
      <c r="AG68"/>
      <c r="AH68"/>
      <c r="AI68"/>
    </row>
    <row r="69" spans="1:35" s="33" customFormat="1" ht="15.75">
      <c r="A69" s="178"/>
      <c r="B69" s="166"/>
      <c r="C69" s="125"/>
      <c r="D69" s="125"/>
      <c r="E69" s="32"/>
      <c r="F69"/>
      <c r="G69"/>
      <c r="H69"/>
      <c r="I69"/>
      <c r="J69"/>
      <c r="K69"/>
      <c r="L69"/>
      <c r="M69"/>
      <c r="N69"/>
      <c r="O69"/>
      <c r="P69"/>
      <c r="Q69"/>
      <c r="R69"/>
      <c r="S69"/>
      <c r="T69"/>
      <c r="U69"/>
      <c r="V69"/>
      <c r="W69"/>
      <c r="X69"/>
      <c r="Y69"/>
      <c r="Z69"/>
      <c r="AA69"/>
      <c r="AB69"/>
      <c r="AC69"/>
      <c r="AD69"/>
      <c r="AE69"/>
      <c r="AF69"/>
      <c r="AG69"/>
      <c r="AH69"/>
      <c r="AI69"/>
    </row>
    <row r="70" spans="1:35" s="33" customFormat="1" ht="15.75">
      <c r="A70" s="178"/>
      <c r="B70" s="166"/>
      <c r="C70" s="125"/>
      <c r="D70" s="125"/>
      <c r="E70" s="32"/>
      <c r="F70"/>
      <c r="G70"/>
      <c r="H70"/>
      <c r="I70"/>
      <c r="J70"/>
      <c r="K70"/>
      <c r="L70"/>
      <c r="M70"/>
      <c r="N70"/>
      <c r="O70"/>
      <c r="P70"/>
      <c r="Q70"/>
      <c r="R70"/>
      <c r="S70"/>
      <c r="T70"/>
      <c r="U70"/>
      <c r="V70"/>
      <c r="W70"/>
      <c r="X70"/>
      <c r="Y70"/>
      <c r="Z70"/>
      <c r="AA70"/>
      <c r="AB70"/>
      <c r="AC70"/>
      <c r="AD70"/>
      <c r="AE70"/>
      <c r="AF70"/>
      <c r="AG70"/>
      <c r="AH70"/>
      <c r="AI70"/>
    </row>
    <row r="71" spans="1:35" s="33" customFormat="1" ht="15.75">
      <c r="A71" s="178"/>
      <c r="B71" s="166"/>
      <c r="C71" s="125"/>
      <c r="D71" s="125"/>
      <c r="E71" s="32"/>
      <c r="F71"/>
      <c r="G71"/>
      <c r="H71"/>
      <c r="I71"/>
      <c r="J71"/>
      <c r="K71"/>
      <c r="L71"/>
      <c r="M71"/>
      <c r="N71"/>
      <c r="O71"/>
      <c r="P71"/>
      <c r="Q71"/>
      <c r="R71"/>
      <c r="S71"/>
      <c r="T71"/>
      <c r="U71"/>
      <c r="V71"/>
      <c r="W71"/>
      <c r="X71"/>
      <c r="Y71"/>
      <c r="Z71"/>
      <c r="AA71"/>
      <c r="AB71"/>
      <c r="AC71"/>
      <c r="AD71"/>
      <c r="AE71"/>
      <c r="AF71"/>
      <c r="AG71"/>
      <c r="AH71"/>
      <c r="AI71"/>
    </row>
    <row r="72" spans="1:35" s="33" customFormat="1" ht="15.75">
      <c r="A72" s="178"/>
      <c r="B72" s="166"/>
      <c r="C72" s="125"/>
      <c r="D72" s="125"/>
      <c r="E72" s="32"/>
      <c r="F72"/>
      <c r="G72"/>
      <c r="H72"/>
      <c r="I72"/>
      <c r="J72"/>
      <c r="K72"/>
      <c r="L72"/>
      <c r="M72"/>
      <c r="N72"/>
      <c r="O72"/>
      <c r="P72"/>
      <c r="Q72"/>
      <c r="R72"/>
      <c r="S72"/>
      <c r="T72"/>
      <c r="U72"/>
      <c r="V72"/>
      <c r="W72"/>
      <c r="X72"/>
      <c r="Y72"/>
      <c r="Z72"/>
      <c r="AA72"/>
      <c r="AB72"/>
      <c r="AC72"/>
      <c r="AD72"/>
      <c r="AE72"/>
      <c r="AF72"/>
      <c r="AG72"/>
      <c r="AH72"/>
      <c r="AI72"/>
    </row>
    <row r="73" spans="1:35" s="33" customFormat="1" ht="15.75">
      <c r="A73" s="178"/>
      <c r="B73" s="166"/>
      <c r="C73" s="125"/>
      <c r="D73" s="125"/>
      <c r="E73" s="32"/>
      <c r="F73"/>
      <c r="G73"/>
      <c r="H73"/>
      <c r="I73"/>
      <c r="J73"/>
      <c r="K73"/>
      <c r="L73"/>
      <c r="M73"/>
      <c r="N73"/>
      <c r="O73"/>
      <c r="P73"/>
      <c r="Q73"/>
      <c r="R73"/>
      <c r="S73"/>
      <c r="T73"/>
      <c r="U73"/>
      <c r="V73"/>
      <c r="W73"/>
      <c r="X73"/>
      <c r="Y73"/>
      <c r="Z73"/>
      <c r="AA73"/>
      <c r="AB73"/>
      <c r="AC73"/>
      <c r="AD73"/>
      <c r="AE73"/>
      <c r="AF73"/>
      <c r="AG73"/>
      <c r="AH73"/>
      <c r="AI73"/>
    </row>
    <row r="74" spans="1:35" s="33" customFormat="1" ht="15.75">
      <c r="A74" s="178"/>
      <c r="B74" s="166"/>
      <c r="C74" s="125"/>
      <c r="D74" s="125"/>
      <c r="E74" s="32"/>
      <c r="F74"/>
      <c r="G74"/>
      <c r="H74"/>
      <c r="I74"/>
      <c r="J74"/>
      <c r="K74"/>
      <c r="L74"/>
      <c r="M74"/>
      <c r="N74"/>
      <c r="O74"/>
      <c r="P74"/>
      <c r="Q74"/>
      <c r="R74"/>
      <c r="S74"/>
      <c r="T74"/>
      <c r="U74"/>
      <c r="V74"/>
      <c r="W74"/>
      <c r="X74"/>
      <c r="Y74"/>
      <c r="Z74"/>
      <c r="AA74"/>
      <c r="AB74"/>
      <c r="AC74"/>
      <c r="AD74"/>
      <c r="AE74"/>
      <c r="AF74"/>
      <c r="AG74"/>
      <c r="AH74"/>
      <c r="AI74"/>
    </row>
    <row r="75" spans="1:35" s="33" customFormat="1" ht="15.75">
      <c r="A75" s="178"/>
      <c r="B75" s="166"/>
      <c r="C75" s="125"/>
      <c r="D75" s="125"/>
      <c r="E75" s="32"/>
      <c r="F75"/>
      <c r="G75"/>
      <c r="H75"/>
      <c r="I75"/>
      <c r="J75"/>
      <c r="K75"/>
      <c r="L75"/>
      <c r="M75"/>
      <c r="N75"/>
      <c r="O75"/>
      <c r="P75"/>
      <c r="Q75"/>
      <c r="R75"/>
      <c r="S75"/>
      <c r="T75"/>
      <c r="U75"/>
      <c r="V75"/>
      <c r="W75"/>
      <c r="X75"/>
      <c r="Y75"/>
      <c r="Z75"/>
      <c r="AA75"/>
      <c r="AB75"/>
      <c r="AC75"/>
      <c r="AD75"/>
      <c r="AE75"/>
      <c r="AF75"/>
      <c r="AG75"/>
      <c r="AH75"/>
      <c r="AI75"/>
    </row>
    <row r="76" spans="1:35" s="33" customFormat="1" ht="15.75">
      <c r="A76" s="178"/>
      <c r="B76" s="166"/>
      <c r="C76" s="125"/>
      <c r="D76" s="125"/>
      <c r="E76" s="32"/>
      <c r="F76"/>
      <c r="G76"/>
      <c r="H76"/>
      <c r="I76"/>
      <c r="J76"/>
      <c r="K76"/>
      <c r="L76"/>
      <c r="M76"/>
      <c r="N76"/>
      <c r="O76"/>
      <c r="P76"/>
      <c r="Q76"/>
      <c r="R76"/>
      <c r="S76"/>
      <c r="T76"/>
      <c r="U76"/>
      <c r="V76"/>
      <c r="W76"/>
      <c r="X76"/>
      <c r="Y76"/>
      <c r="Z76"/>
      <c r="AA76"/>
      <c r="AB76"/>
      <c r="AC76"/>
      <c r="AD76"/>
      <c r="AE76"/>
      <c r="AF76"/>
      <c r="AG76"/>
      <c r="AH76"/>
      <c r="AI76"/>
    </row>
    <row r="77" spans="1:35" s="33" customFormat="1" ht="15.75">
      <c r="A77" s="178"/>
      <c r="B77" s="166"/>
      <c r="C77" s="125"/>
      <c r="D77" s="125"/>
      <c r="E77" s="32"/>
      <c r="F77"/>
      <c r="G77"/>
      <c r="H77"/>
      <c r="I77"/>
      <c r="J77"/>
      <c r="K77"/>
      <c r="L77"/>
      <c r="M77"/>
      <c r="N77"/>
      <c r="O77"/>
      <c r="P77"/>
      <c r="Q77"/>
      <c r="R77"/>
      <c r="S77"/>
      <c r="T77"/>
      <c r="U77"/>
      <c r="V77"/>
      <c r="W77"/>
      <c r="X77"/>
      <c r="Y77"/>
      <c r="Z77"/>
      <c r="AA77"/>
      <c r="AB77"/>
      <c r="AC77"/>
      <c r="AD77"/>
      <c r="AE77"/>
      <c r="AF77"/>
      <c r="AG77"/>
      <c r="AH77"/>
      <c r="AI77"/>
    </row>
    <row r="78" spans="1:35" s="33" customFormat="1" ht="15.75">
      <c r="A78" s="178"/>
      <c r="B78" s="166"/>
      <c r="C78" s="125"/>
      <c r="D78" s="125"/>
      <c r="E78" s="32"/>
      <c r="F78"/>
      <c r="G78"/>
      <c r="H78"/>
      <c r="I78"/>
      <c r="J78"/>
      <c r="K78"/>
      <c r="L78"/>
      <c r="M78"/>
      <c r="N78"/>
      <c r="O78"/>
      <c r="P78"/>
      <c r="Q78"/>
      <c r="R78"/>
      <c r="S78"/>
      <c r="T78"/>
      <c r="U78"/>
      <c r="V78"/>
      <c r="W78"/>
      <c r="X78"/>
      <c r="Y78"/>
      <c r="Z78"/>
      <c r="AA78"/>
      <c r="AB78"/>
      <c r="AC78"/>
      <c r="AD78"/>
      <c r="AE78"/>
      <c r="AF78"/>
      <c r="AG78"/>
      <c r="AH78"/>
      <c r="AI78"/>
    </row>
    <row r="79" spans="1:35" s="33" customFormat="1" ht="15.75">
      <c r="A79" s="178"/>
      <c r="B79" s="166"/>
      <c r="C79" s="125"/>
      <c r="D79" s="125"/>
      <c r="E79" s="32"/>
      <c r="F79"/>
      <c r="G79"/>
      <c r="H79"/>
      <c r="I79"/>
      <c r="J79"/>
      <c r="K79"/>
      <c r="L79"/>
      <c r="M79"/>
      <c r="N79"/>
      <c r="O79"/>
      <c r="P79"/>
      <c r="Q79"/>
      <c r="R79"/>
      <c r="S79"/>
      <c r="T79"/>
      <c r="U79"/>
      <c r="V79"/>
      <c r="W79"/>
      <c r="X79"/>
      <c r="Y79"/>
      <c r="Z79"/>
      <c r="AA79"/>
      <c r="AB79"/>
      <c r="AC79"/>
      <c r="AD79"/>
      <c r="AE79"/>
      <c r="AF79"/>
      <c r="AG79"/>
      <c r="AH79"/>
      <c r="AI79"/>
    </row>
    <row r="80" spans="1:35" s="33" customFormat="1" ht="15.75">
      <c r="A80" s="178"/>
      <c r="B80" s="166"/>
      <c r="C80" s="125"/>
      <c r="D80" s="125"/>
      <c r="E80" s="32"/>
      <c r="F80"/>
      <c r="G80"/>
      <c r="H80"/>
      <c r="I80"/>
      <c r="J80"/>
      <c r="K80"/>
      <c r="L80"/>
      <c r="M80"/>
      <c r="N80"/>
      <c r="O80"/>
      <c r="P80"/>
      <c r="Q80"/>
      <c r="R80"/>
      <c r="S80"/>
      <c r="T80"/>
      <c r="U80"/>
      <c r="V80"/>
      <c r="W80"/>
      <c r="X80"/>
      <c r="Y80"/>
      <c r="Z80"/>
      <c r="AA80"/>
      <c r="AB80"/>
      <c r="AC80"/>
      <c r="AD80"/>
      <c r="AE80"/>
      <c r="AF80"/>
      <c r="AG80"/>
      <c r="AH80"/>
      <c r="AI80"/>
    </row>
    <row r="81" spans="1:35" s="33" customFormat="1" ht="15.75">
      <c r="A81" s="178"/>
      <c r="B81" s="166"/>
      <c r="C81" s="125"/>
      <c r="D81" s="125"/>
      <c r="E81" s="32"/>
      <c r="F81"/>
      <c r="G81"/>
      <c r="H81"/>
      <c r="I81"/>
      <c r="J81"/>
      <c r="K81"/>
      <c r="L81"/>
      <c r="M81"/>
      <c r="N81"/>
      <c r="O81"/>
      <c r="P81"/>
      <c r="Q81"/>
      <c r="R81"/>
      <c r="S81"/>
      <c r="T81"/>
      <c r="U81"/>
      <c r="V81"/>
      <c r="W81"/>
      <c r="X81"/>
      <c r="Y81"/>
      <c r="Z81"/>
      <c r="AA81"/>
      <c r="AB81"/>
      <c r="AC81"/>
      <c r="AD81"/>
      <c r="AE81"/>
      <c r="AF81"/>
      <c r="AG81"/>
      <c r="AH81"/>
      <c r="AI81"/>
    </row>
    <row r="82" spans="1:35" s="33" customFormat="1" ht="15.75">
      <c r="A82" s="178"/>
      <c r="B82" s="166"/>
      <c r="C82" s="125"/>
      <c r="D82" s="125"/>
      <c r="E82" s="32"/>
      <c r="F82"/>
      <c r="G82"/>
      <c r="H82"/>
      <c r="I82"/>
      <c r="J82"/>
      <c r="K82"/>
      <c r="L82"/>
      <c r="M82"/>
      <c r="N82"/>
      <c r="O82"/>
      <c r="P82"/>
      <c r="Q82"/>
      <c r="R82"/>
      <c r="S82"/>
      <c r="T82"/>
      <c r="U82"/>
      <c r="V82"/>
      <c r="W82"/>
      <c r="X82"/>
      <c r="Y82"/>
      <c r="Z82"/>
      <c r="AA82"/>
      <c r="AB82"/>
      <c r="AC82"/>
      <c r="AD82"/>
      <c r="AE82"/>
      <c r="AF82"/>
      <c r="AG82"/>
      <c r="AH82"/>
      <c r="AI82"/>
    </row>
    <row r="83" spans="1:35" s="33" customFormat="1" ht="15.75">
      <c r="A83" s="178"/>
      <c r="B83" s="166"/>
      <c r="C83" s="125"/>
      <c r="D83" s="125"/>
      <c r="E83" s="32"/>
      <c r="F83"/>
      <c r="G83"/>
      <c r="H83"/>
      <c r="I83"/>
      <c r="J83"/>
      <c r="K83"/>
      <c r="L83"/>
      <c r="M83"/>
      <c r="N83"/>
      <c r="O83"/>
      <c r="P83"/>
      <c r="Q83"/>
      <c r="R83"/>
      <c r="S83"/>
      <c r="T83"/>
      <c r="U83"/>
      <c r="V83"/>
      <c r="W83"/>
      <c r="X83"/>
      <c r="Y83"/>
      <c r="Z83"/>
      <c r="AA83"/>
      <c r="AB83"/>
      <c r="AC83"/>
      <c r="AD83"/>
      <c r="AE83"/>
      <c r="AF83"/>
      <c r="AG83"/>
      <c r="AH83"/>
      <c r="AI83"/>
    </row>
    <row r="84" spans="1:35" s="33" customFormat="1" ht="15.75">
      <c r="A84" s="178"/>
      <c r="B84" s="166"/>
      <c r="C84" s="125"/>
      <c r="D84" s="125"/>
      <c r="E84" s="32"/>
      <c r="F84"/>
      <c r="G84"/>
      <c r="H84"/>
      <c r="I84"/>
      <c r="J84"/>
      <c r="K84"/>
      <c r="L84"/>
      <c r="M84"/>
      <c r="N84"/>
      <c r="O84"/>
      <c r="P84"/>
      <c r="Q84"/>
      <c r="R84"/>
      <c r="S84"/>
      <c r="T84"/>
      <c r="U84"/>
      <c r="V84"/>
      <c r="W84"/>
      <c r="X84"/>
      <c r="Y84"/>
      <c r="Z84"/>
      <c r="AA84"/>
      <c r="AB84"/>
      <c r="AC84"/>
      <c r="AD84"/>
      <c r="AE84"/>
      <c r="AF84"/>
      <c r="AG84"/>
      <c r="AH84"/>
      <c r="AI84"/>
    </row>
    <row r="85" spans="1:35" s="33" customFormat="1" ht="15.75">
      <c r="A85" s="178"/>
      <c r="B85" s="166"/>
      <c r="C85" s="125"/>
      <c r="D85" s="125"/>
      <c r="E85" s="32"/>
      <c r="F85"/>
      <c r="G85"/>
      <c r="H85"/>
      <c r="I85"/>
      <c r="J85"/>
      <c r="K85"/>
      <c r="L85"/>
      <c r="M85"/>
      <c r="N85"/>
      <c r="O85"/>
      <c r="P85"/>
      <c r="Q85"/>
      <c r="R85"/>
      <c r="S85"/>
      <c r="T85"/>
      <c r="U85"/>
      <c r="V85"/>
      <c r="W85"/>
      <c r="X85"/>
      <c r="Y85"/>
      <c r="Z85"/>
      <c r="AA85"/>
      <c r="AB85"/>
      <c r="AC85"/>
      <c r="AD85"/>
      <c r="AE85"/>
      <c r="AF85"/>
      <c r="AG85"/>
      <c r="AH85"/>
      <c r="AI85"/>
    </row>
    <row r="86" spans="1:35" s="33" customFormat="1" ht="15.75">
      <c r="A86" s="178"/>
      <c r="B86" s="166"/>
      <c r="C86" s="125"/>
      <c r="D86" s="125"/>
      <c r="E86" s="32"/>
      <c r="F86"/>
      <c r="G86"/>
      <c r="H86"/>
      <c r="I86"/>
      <c r="J86"/>
      <c r="K86"/>
      <c r="L86"/>
      <c r="M86"/>
      <c r="N86"/>
      <c r="O86"/>
      <c r="P86"/>
      <c r="Q86"/>
      <c r="R86"/>
      <c r="S86"/>
      <c r="T86"/>
      <c r="U86"/>
      <c r="V86"/>
      <c r="W86"/>
      <c r="X86"/>
      <c r="Y86"/>
      <c r="Z86"/>
      <c r="AA86"/>
      <c r="AB86"/>
      <c r="AC86"/>
      <c r="AD86"/>
      <c r="AE86"/>
      <c r="AF86"/>
      <c r="AG86"/>
      <c r="AH86"/>
      <c r="AI86"/>
    </row>
    <row r="87" spans="1:35" s="33" customFormat="1" ht="15.75">
      <c r="A87" s="178"/>
      <c r="B87" s="166"/>
      <c r="C87" s="125"/>
      <c r="D87" s="125"/>
      <c r="E87" s="32"/>
      <c r="F87"/>
      <c r="G87"/>
      <c r="H87"/>
      <c r="I87"/>
      <c r="J87"/>
      <c r="K87"/>
      <c r="L87"/>
      <c r="M87"/>
      <c r="N87"/>
      <c r="O87"/>
      <c r="P87"/>
      <c r="Q87"/>
      <c r="R87"/>
      <c r="S87"/>
      <c r="T87"/>
      <c r="U87"/>
      <c r="V87"/>
      <c r="W87"/>
      <c r="X87"/>
      <c r="Y87"/>
      <c r="Z87"/>
      <c r="AA87"/>
      <c r="AB87"/>
      <c r="AC87"/>
      <c r="AD87"/>
      <c r="AE87"/>
      <c r="AF87"/>
      <c r="AG87"/>
      <c r="AH87"/>
      <c r="AI87"/>
    </row>
    <row r="88" spans="1:35" s="33" customFormat="1" ht="15.75">
      <c r="A88" s="178"/>
      <c r="B88" s="166"/>
      <c r="C88" s="125"/>
      <c r="D88" s="125"/>
      <c r="E88" s="32"/>
      <c r="F88"/>
      <c r="G88"/>
      <c r="H88"/>
      <c r="I88"/>
      <c r="J88"/>
      <c r="K88"/>
      <c r="L88"/>
      <c r="M88"/>
      <c r="N88"/>
      <c r="O88"/>
      <c r="P88"/>
      <c r="Q88"/>
      <c r="R88"/>
      <c r="S88"/>
      <c r="T88"/>
      <c r="U88"/>
      <c r="V88"/>
      <c r="W88"/>
      <c r="X88"/>
      <c r="Y88"/>
      <c r="Z88"/>
      <c r="AA88"/>
      <c r="AB88"/>
      <c r="AC88"/>
      <c r="AD88"/>
      <c r="AE88"/>
      <c r="AF88"/>
      <c r="AG88"/>
      <c r="AH88"/>
      <c r="AI88"/>
    </row>
    <row r="89" spans="1:35" s="33" customFormat="1" ht="15.75">
      <c r="A89" s="178"/>
      <c r="B89" s="166"/>
      <c r="C89" s="125"/>
      <c r="D89" s="125"/>
      <c r="E89" s="32"/>
      <c r="F89"/>
      <c r="G89"/>
      <c r="H89"/>
      <c r="I89"/>
      <c r="J89"/>
      <c r="K89"/>
      <c r="L89"/>
      <c r="M89"/>
      <c r="N89"/>
      <c r="O89"/>
      <c r="P89"/>
      <c r="Q89"/>
      <c r="R89"/>
      <c r="S89"/>
      <c r="T89"/>
      <c r="U89"/>
      <c r="V89"/>
      <c r="W89"/>
      <c r="X89"/>
      <c r="Y89"/>
      <c r="Z89"/>
      <c r="AA89"/>
      <c r="AB89"/>
      <c r="AC89"/>
      <c r="AD89"/>
      <c r="AE89"/>
      <c r="AF89"/>
      <c r="AG89"/>
      <c r="AH89"/>
      <c r="AI89"/>
    </row>
    <row r="90" spans="1:35" s="33" customFormat="1" ht="15.75">
      <c r="A90" s="178"/>
      <c r="B90" s="166"/>
      <c r="C90" s="125"/>
      <c r="D90" s="125"/>
      <c r="E90" s="32"/>
      <c r="F90"/>
      <c r="G90"/>
      <c r="H90"/>
      <c r="I90"/>
      <c r="J90"/>
      <c r="K90"/>
      <c r="L90"/>
      <c r="M90"/>
      <c r="N90"/>
      <c r="O90"/>
      <c r="P90"/>
      <c r="Q90"/>
      <c r="R90"/>
      <c r="S90"/>
      <c r="T90"/>
      <c r="U90"/>
      <c r="V90"/>
      <c r="W90"/>
      <c r="X90"/>
      <c r="Y90"/>
      <c r="Z90"/>
      <c r="AA90"/>
      <c r="AB90"/>
      <c r="AC90"/>
      <c r="AD90"/>
      <c r="AE90"/>
      <c r="AF90"/>
      <c r="AG90"/>
      <c r="AH90"/>
      <c r="AI90"/>
    </row>
    <row r="91" spans="1:35" s="33" customFormat="1" ht="15.75">
      <c r="A91" s="178"/>
      <c r="B91" s="166"/>
      <c r="C91" s="125"/>
      <c r="D91" s="125"/>
      <c r="E91" s="32"/>
      <c r="F91"/>
      <c r="G91"/>
      <c r="H91"/>
      <c r="I91"/>
      <c r="J91"/>
      <c r="K91"/>
      <c r="L91"/>
      <c r="M91"/>
      <c r="N91"/>
      <c r="O91"/>
      <c r="P91"/>
      <c r="Q91"/>
      <c r="R91"/>
      <c r="S91"/>
      <c r="T91"/>
      <c r="U91"/>
      <c r="V91"/>
      <c r="W91"/>
      <c r="X91"/>
      <c r="Y91"/>
      <c r="Z91"/>
      <c r="AA91"/>
      <c r="AB91"/>
      <c r="AC91"/>
      <c r="AD91"/>
      <c r="AE91"/>
      <c r="AF91"/>
      <c r="AG91"/>
      <c r="AH91"/>
      <c r="AI91"/>
    </row>
    <row r="92" spans="1:35" s="33" customFormat="1" ht="15.75">
      <c r="A92" s="178"/>
      <c r="B92" s="166"/>
      <c r="C92" s="125"/>
      <c r="D92" s="125"/>
      <c r="E92" s="32"/>
      <c r="F92"/>
      <c r="G92"/>
      <c r="H92"/>
      <c r="I92"/>
      <c r="J92"/>
      <c r="K92"/>
      <c r="L92"/>
      <c r="M92"/>
      <c r="N92"/>
      <c r="O92"/>
      <c r="P92"/>
      <c r="Q92"/>
      <c r="R92"/>
      <c r="S92"/>
      <c r="T92"/>
      <c r="U92"/>
      <c r="V92"/>
      <c r="W92"/>
      <c r="X92"/>
      <c r="Y92"/>
      <c r="Z92"/>
      <c r="AA92"/>
      <c r="AB92"/>
      <c r="AC92"/>
      <c r="AD92"/>
      <c r="AE92"/>
      <c r="AF92"/>
      <c r="AG92"/>
      <c r="AH92"/>
      <c r="AI92"/>
    </row>
    <row r="93" spans="1:35" s="33" customFormat="1" ht="15.75">
      <c r="A93" s="178"/>
      <c r="B93" s="166"/>
      <c r="C93" s="125"/>
      <c r="D93" s="125"/>
      <c r="E93" s="32"/>
      <c r="F93"/>
      <c r="G93"/>
      <c r="H93"/>
      <c r="I93"/>
      <c r="J93"/>
      <c r="K93"/>
      <c r="L93"/>
      <c r="M93"/>
      <c r="N93"/>
      <c r="O93"/>
      <c r="P93"/>
      <c r="Q93"/>
      <c r="R93"/>
      <c r="S93"/>
      <c r="T93"/>
      <c r="U93"/>
      <c r="V93"/>
      <c r="W93"/>
      <c r="X93"/>
      <c r="Y93"/>
      <c r="Z93"/>
      <c r="AA93"/>
      <c r="AB93"/>
      <c r="AC93"/>
      <c r="AD93"/>
      <c r="AE93"/>
      <c r="AF93"/>
      <c r="AG93"/>
      <c r="AH93"/>
      <c r="AI93"/>
    </row>
    <row r="94" spans="1:35" s="33" customFormat="1" ht="15.75">
      <c r="A94" s="178"/>
      <c r="B94" s="166"/>
      <c r="C94" s="125"/>
      <c r="D94" s="125"/>
      <c r="E94" s="32"/>
      <c r="F94"/>
      <c r="G94"/>
      <c r="H94"/>
      <c r="I94"/>
      <c r="J94"/>
      <c r="K94"/>
      <c r="L94"/>
      <c r="M94"/>
      <c r="N94"/>
      <c r="O94"/>
      <c r="P94"/>
      <c r="Q94"/>
      <c r="R94"/>
      <c r="S94"/>
      <c r="T94"/>
      <c r="U94"/>
      <c r="V94"/>
      <c r="W94"/>
      <c r="X94"/>
      <c r="Y94"/>
      <c r="Z94"/>
      <c r="AA94"/>
      <c r="AB94"/>
      <c r="AC94"/>
      <c r="AD94"/>
      <c r="AE94"/>
      <c r="AF94"/>
      <c r="AG94"/>
      <c r="AH94"/>
      <c r="AI94"/>
    </row>
    <row r="95" spans="1:35" s="33" customFormat="1" ht="15.75">
      <c r="A95" s="178"/>
      <c r="B95" s="166"/>
      <c r="C95" s="125"/>
      <c r="D95" s="125"/>
      <c r="E95" s="32"/>
      <c r="F95"/>
      <c r="G95"/>
      <c r="H95"/>
      <c r="I95"/>
      <c r="J95"/>
      <c r="K95"/>
      <c r="L95"/>
      <c r="M95"/>
      <c r="N95"/>
      <c r="O95"/>
      <c r="P95"/>
      <c r="Q95"/>
      <c r="R95"/>
      <c r="S95"/>
      <c r="T95"/>
      <c r="U95"/>
      <c r="V95"/>
      <c r="W95"/>
      <c r="X95"/>
      <c r="Y95"/>
      <c r="Z95"/>
      <c r="AA95"/>
      <c r="AB95"/>
      <c r="AC95"/>
      <c r="AD95"/>
      <c r="AE95"/>
      <c r="AF95"/>
      <c r="AG95"/>
      <c r="AH95"/>
      <c r="AI95"/>
    </row>
    <row r="96" spans="1:35" s="33" customFormat="1" ht="15.75">
      <c r="A96" s="178"/>
      <c r="B96" s="166"/>
      <c r="C96" s="125"/>
      <c r="D96" s="125"/>
      <c r="E96" s="32"/>
      <c r="F96"/>
      <c r="G96"/>
      <c r="H96"/>
      <c r="I96"/>
      <c r="J96"/>
      <c r="K96"/>
      <c r="L96"/>
      <c r="M96"/>
      <c r="N96"/>
      <c r="O96"/>
      <c r="P96"/>
      <c r="Q96"/>
      <c r="R96"/>
      <c r="S96"/>
      <c r="T96"/>
      <c r="U96"/>
      <c r="V96"/>
      <c r="W96"/>
      <c r="X96"/>
      <c r="Y96"/>
      <c r="Z96"/>
      <c r="AA96"/>
      <c r="AB96"/>
      <c r="AC96"/>
      <c r="AD96"/>
      <c r="AE96"/>
      <c r="AF96"/>
      <c r="AG96"/>
      <c r="AH96"/>
      <c r="AI96"/>
    </row>
    <row r="97" spans="1:35" s="33" customFormat="1" ht="15.75">
      <c r="A97" s="178"/>
      <c r="B97" s="166"/>
      <c r="C97" s="125"/>
      <c r="D97" s="125"/>
      <c r="E97" s="32"/>
      <c r="F97"/>
      <c r="G97"/>
      <c r="H97"/>
      <c r="I97"/>
      <c r="J97"/>
      <c r="K97"/>
      <c r="L97"/>
      <c r="M97"/>
      <c r="N97"/>
      <c r="O97"/>
      <c r="P97"/>
      <c r="Q97"/>
      <c r="R97"/>
      <c r="S97"/>
      <c r="T97"/>
      <c r="U97"/>
      <c r="V97"/>
      <c r="W97"/>
      <c r="X97"/>
      <c r="Y97"/>
      <c r="Z97"/>
      <c r="AA97"/>
      <c r="AB97"/>
      <c r="AC97"/>
      <c r="AD97"/>
      <c r="AE97"/>
      <c r="AF97"/>
      <c r="AG97"/>
      <c r="AH97"/>
      <c r="AI97"/>
    </row>
    <row r="98" spans="1:35" s="33" customFormat="1" ht="15.75">
      <c r="A98" s="178"/>
      <c r="B98" s="166"/>
      <c r="C98" s="125"/>
      <c r="D98" s="125"/>
      <c r="E98" s="32"/>
      <c r="F98"/>
      <c r="G98"/>
      <c r="H98"/>
      <c r="I98"/>
      <c r="J98"/>
      <c r="K98"/>
      <c r="L98"/>
      <c r="M98"/>
      <c r="N98"/>
      <c r="O98"/>
      <c r="P98"/>
      <c r="Q98"/>
      <c r="R98"/>
      <c r="S98"/>
      <c r="T98"/>
      <c r="U98"/>
      <c r="V98"/>
      <c r="W98"/>
      <c r="X98"/>
      <c r="Y98"/>
      <c r="Z98"/>
      <c r="AA98"/>
      <c r="AB98"/>
      <c r="AC98"/>
      <c r="AD98"/>
      <c r="AE98"/>
      <c r="AF98"/>
      <c r="AG98"/>
      <c r="AH98"/>
      <c r="AI98"/>
    </row>
    <row r="99" spans="1:35" s="33" customFormat="1" ht="15.75">
      <c r="A99" s="178"/>
      <c r="B99" s="166"/>
      <c r="C99" s="125"/>
      <c r="D99" s="125"/>
      <c r="E99" s="32"/>
      <c r="F99"/>
      <c r="G99"/>
      <c r="H99"/>
      <c r="I99"/>
      <c r="J99"/>
      <c r="K99"/>
      <c r="L99"/>
      <c r="M99"/>
      <c r="N99"/>
      <c r="O99"/>
      <c r="P99"/>
      <c r="Q99"/>
      <c r="R99"/>
      <c r="S99"/>
      <c r="T99"/>
      <c r="U99"/>
      <c r="V99"/>
      <c r="W99"/>
      <c r="X99"/>
      <c r="Y99"/>
      <c r="Z99"/>
      <c r="AA99"/>
      <c r="AB99"/>
      <c r="AC99"/>
      <c r="AD99"/>
      <c r="AE99"/>
      <c r="AF99"/>
      <c r="AG99"/>
      <c r="AH99"/>
      <c r="AI99"/>
    </row>
    <row r="100" spans="1:35" s="33" customFormat="1" ht="15.75">
      <c r="A100" s="178"/>
      <c r="B100" s="166"/>
      <c r="C100" s="125"/>
      <c r="D100" s="125"/>
      <c r="E100" s="32"/>
      <c r="F100"/>
      <c r="G100"/>
      <c r="H100"/>
      <c r="I100"/>
      <c r="J100"/>
      <c r="K100"/>
      <c r="L100"/>
      <c r="M100"/>
      <c r="N100"/>
      <c r="O100"/>
      <c r="P100"/>
      <c r="Q100"/>
      <c r="R100"/>
      <c r="S100"/>
      <c r="T100"/>
      <c r="U100"/>
      <c r="V100"/>
      <c r="W100"/>
      <c r="X100"/>
      <c r="Y100"/>
      <c r="Z100"/>
      <c r="AA100"/>
      <c r="AB100"/>
      <c r="AC100"/>
      <c r="AD100"/>
      <c r="AE100"/>
      <c r="AF100"/>
      <c r="AG100"/>
      <c r="AH100"/>
      <c r="AI100"/>
    </row>
    <row r="101" spans="1:35" s="33" customFormat="1" ht="15.75">
      <c r="A101" s="178"/>
      <c r="B101" s="166"/>
      <c r="C101" s="125"/>
      <c r="D101" s="125"/>
      <c r="E101" s="32"/>
      <c r="F101"/>
      <c r="G101"/>
      <c r="H101"/>
      <c r="I101"/>
      <c r="J101"/>
      <c r="K101"/>
      <c r="L101"/>
      <c r="M101"/>
      <c r="N101"/>
      <c r="O101"/>
      <c r="P101"/>
      <c r="Q101"/>
      <c r="R101"/>
      <c r="S101"/>
      <c r="T101"/>
      <c r="U101"/>
      <c r="V101"/>
      <c r="W101"/>
      <c r="X101"/>
      <c r="Y101"/>
      <c r="Z101"/>
      <c r="AA101"/>
      <c r="AB101"/>
      <c r="AC101"/>
      <c r="AD101"/>
      <c r="AE101"/>
      <c r="AF101"/>
      <c r="AG101"/>
      <c r="AH101"/>
      <c r="AI101"/>
    </row>
    <row r="102" spans="1:35" s="33" customFormat="1" ht="15.75">
      <c r="A102" s="178"/>
      <c r="B102" s="166"/>
      <c r="C102" s="125"/>
      <c r="D102" s="125"/>
      <c r="E102" s="32"/>
      <c r="F102"/>
      <c r="G102"/>
      <c r="H102"/>
      <c r="I102"/>
      <c r="J102"/>
      <c r="K102"/>
      <c r="L102"/>
      <c r="M102"/>
      <c r="N102"/>
      <c r="O102"/>
      <c r="P102"/>
      <c r="Q102"/>
      <c r="R102"/>
      <c r="S102"/>
      <c r="T102"/>
      <c r="U102"/>
      <c r="V102"/>
      <c r="W102"/>
      <c r="X102"/>
      <c r="Y102"/>
      <c r="Z102"/>
      <c r="AA102"/>
      <c r="AB102"/>
      <c r="AC102"/>
      <c r="AD102"/>
      <c r="AE102"/>
      <c r="AF102"/>
      <c r="AG102"/>
      <c r="AH102"/>
      <c r="AI102"/>
    </row>
    <row r="103" spans="1:35" s="33" customFormat="1" ht="15.75">
      <c r="A103" s="178"/>
      <c r="B103" s="166"/>
      <c r="C103" s="125"/>
      <c r="D103" s="125"/>
      <c r="E103" s="32"/>
      <c r="F103"/>
      <c r="G103"/>
      <c r="H103"/>
      <c r="I103"/>
      <c r="J103"/>
      <c r="K103"/>
      <c r="L103"/>
      <c r="M103"/>
      <c r="N103"/>
      <c r="O103"/>
      <c r="P103"/>
      <c r="Q103"/>
      <c r="R103"/>
      <c r="S103"/>
      <c r="T103"/>
      <c r="U103"/>
      <c r="V103"/>
      <c r="W103"/>
      <c r="X103"/>
      <c r="Y103"/>
      <c r="Z103"/>
      <c r="AA103"/>
      <c r="AB103"/>
      <c r="AC103"/>
      <c r="AD103"/>
      <c r="AE103"/>
      <c r="AF103"/>
      <c r="AG103"/>
      <c r="AH103"/>
      <c r="AI103"/>
    </row>
    <row r="104" spans="1:35" s="33" customFormat="1" ht="15.75">
      <c r="A104" s="178"/>
      <c r="B104" s="166"/>
      <c r="C104" s="125"/>
      <c r="D104" s="125"/>
      <c r="E104" s="32"/>
      <c r="F104"/>
      <c r="G104"/>
      <c r="H104"/>
      <c r="I104"/>
      <c r="J104"/>
      <c r="K104"/>
      <c r="L104"/>
      <c r="M104"/>
      <c r="N104"/>
      <c r="O104"/>
      <c r="P104"/>
      <c r="Q104"/>
      <c r="R104"/>
      <c r="S104"/>
      <c r="T104"/>
      <c r="U104"/>
      <c r="V104"/>
      <c r="W104"/>
      <c r="X104"/>
      <c r="Y104"/>
      <c r="Z104"/>
      <c r="AA104"/>
      <c r="AB104"/>
      <c r="AC104"/>
      <c r="AD104"/>
      <c r="AE104"/>
      <c r="AF104"/>
      <c r="AG104"/>
      <c r="AH104"/>
      <c r="AI104"/>
    </row>
    <row r="105" spans="1:35" s="33" customFormat="1" ht="15.75">
      <c r="A105" s="178"/>
      <c r="B105" s="166"/>
      <c r="C105" s="125"/>
      <c r="D105" s="125"/>
      <c r="E105" s="32"/>
      <c r="F105"/>
      <c r="G105"/>
      <c r="H105"/>
      <c r="I105"/>
      <c r="J105"/>
      <c r="K105"/>
      <c r="L105"/>
      <c r="M105"/>
      <c r="N105"/>
      <c r="O105"/>
      <c r="P105"/>
      <c r="Q105"/>
      <c r="R105"/>
      <c r="S105"/>
      <c r="T105"/>
      <c r="U105"/>
      <c r="V105"/>
      <c r="W105"/>
      <c r="X105"/>
      <c r="Y105"/>
      <c r="Z105"/>
      <c r="AA105"/>
      <c r="AB105"/>
      <c r="AC105"/>
      <c r="AD105"/>
      <c r="AE105"/>
      <c r="AF105"/>
      <c r="AG105"/>
      <c r="AH105"/>
      <c r="AI105"/>
    </row>
    <row r="106" spans="1:35" s="33" customFormat="1" ht="15.75">
      <c r="A106" s="178"/>
      <c r="B106" s="166"/>
      <c r="C106" s="125"/>
      <c r="D106" s="125"/>
      <c r="E106" s="32"/>
      <c r="F106"/>
      <c r="G106"/>
      <c r="H106"/>
      <c r="I106"/>
      <c r="J106"/>
      <c r="K106"/>
      <c r="L106"/>
      <c r="M106"/>
      <c r="N106"/>
      <c r="O106"/>
      <c r="P106"/>
      <c r="Q106"/>
      <c r="R106"/>
      <c r="S106"/>
      <c r="T106"/>
      <c r="U106"/>
      <c r="V106"/>
      <c r="W106"/>
      <c r="X106"/>
      <c r="Y106"/>
      <c r="Z106"/>
      <c r="AA106"/>
      <c r="AB106"/>
      <c r="AC106"/>
      <c r="AD106"/>
      <c r="AE106"/>
      <c r="AF106"/>
      <c r="AG106"/>
      <c r="AH106"/>
      <c r="AI106"/>
    </row>
    <row r="107" spans="1:35" s="33" customFormat="1" ht="15.75">
      <c r="A107" s="178"/>
      <c r="B107" s="166"/>
      <c r="C107" s="125"/>
      <c r="D107" s="125"/>
      <c r="E107" s="32"/>
      <c r="F107"/>
      <c r="G107"/>
      <c r="H107"/>
      <c r="I107"/>
      <c r="J107"/>
      <c r="K107"/>
      <c r="L107"/>
      <c r="M107"/>
      <c r="N107"/>
      <c r="O107"/>
      <c r="P107"/>
      <c r="Q107"/>
      <c r="R107"/>
      <c r="S107"/>
      <c r="T107"/>
      <c r="U107"/>
      <c r="V107"/>
      <c r="W107"/>
      <c r="X107"/>
      <c r="Y107"/>
      <c r="Z107"/>
      <c r="AA107"/>
      <c r="AB107"/>
      <c r="AC107"/>
      <c r="AD107"/>
      <c r="AE107"/>
      <c r="AF107"/>
      <c r="AG107"/>
      <c r="AH107"/>
      <c r="AI107"/>
    </row>
    <row r="108" spans="1:35" s="33" customFormat="1" ht="15.75">
      <c r="A108" s="178"/>
      <c r="B108" s="166"/>
      <c r="C108" s="125"/>
      <c r="D108" s="125"/>
      <c r="E108" s="32"/>
      <c r="F108"/>
      <c r="G108"/>
      <c r="H108"/>
      <c r="I108"/>
      <c r="J108"/>
      <c r="K108"/>
      <c r="L108"/>
      <c r="M108"/>
      <c r="N108"/>
      <c r="O108"/>
      <c r="P108"/>
      <c r="Q108"/>
      <c r="R108"/>
      <c r="S108"/>
      <c r="T108"/>
      <c r="U108"/>
      <c r="V108"/>
      <c r="W108"/>
      <c r="X108"/>
      <c r="Y108"/>
      <c r="Z108"/>
      <c r="AA108"/>
      <c r="AB108"/>
      <c r="AC108"/>
      <c r="AD108"/>
      <c r="AE108"/>
      <c r="AF108"/>
      <c r="AG108"/>
      <c r="AH108"/>
      <c r="AI108"/>
    </row>
    <row r="109" spans="1:35" s="33" customFormat="1" ht="15.75">
      <c r="A109" s="178"/>
      <c r="B109" s="166"/>
      <c r="C109" s="125"/>
      <c r="D109" s="125"/>
      <c r="E109" s="32"/>
      <c r="F109"/>
      <c r="G109"/>
      <c r="H109"/>
      <c r="I109"/>
      <c r="J109"/>
      <c r="K109"/>
      <c r="L109"/>
      <c r="M109"/>
      <c r="N109"/>
      <c r="O109"/>
      <c r="P109"/>
      <c r="Q109"/>
      <c r="R109"/>
      <c r="S109"/>
      <c r="T109"/>
      <c r="U109"/>
      <c r="V109"/>
      <c r="W109"/>
      <c r="X109"/>
      <c r="Y109"/>
      <c r="Z109"/>
      <c r="AA109"/>
      <c r="AB109"/>
      <c r="AC109"/>
      <c r="AD109"/>
      <c r="AE109"/>
      <c r="AF109"/>
      <c r="AG109"/>
      <c r="AH109"/>
      <c r="AI109"/>
    </row>
    <row r="110" spans="1:35" s="33" customFormat="1" ht="15.75">
      <c r="A110" s="178"/>
      <c r="B110" s="166"/>
      <c r="C110" s="125"/>
      <c r="D110" s="125"/>
      <c r="E110" s="32"/>
      <c r="F110"/>
      <c r="G110"/>
      <c r="H110"/>
      <c r="I110"/>
      <c r="J110"/>
      <c r="K110"/>
      <c r="L110"/>
      <c r="M110"/>
      <c r="N110"/>
      <c r="O110"/>
      <c r="P110"/>
      <c r="Q110"/>
      <c r="R110"/>
      <c r="S110"/>
      <c r="T110"/>
      <c r="U110"/>
      <c r="V110"/>
      <c r="W110"/>
      <c r="X110"/>
      <c r="Y110"/>
      <c r="Z110"/>
      <c r="AA110"/>
      <c r="AB110"/>
      <c r="AC110"/>
      <c r="AD110"/>
      <c r="AE110"/>
      <c r="AF110"/>
      <c r="AG110"/>
      <c r="AH110"/>
      <c r="AI110"/>
    </row>
    <row r="111" spans="1:35" s="33" customFormat="1" ht="15.75">
      <c r="A111" s="178"/>
      <c r="B111" s="166"/>
      <c r="C111" s="125"/>
      <c r="D111" s="125"/>
      <c r="E111" s="32"/>
      <c r="F111"/>
      <c r="G111"/>
      <c r="H111"/>
      <c r="I111"/>
      <c r="J111"/>
      <c r="K111"/>
      <c r="L111"/>
      <c r="M111"/>
      <c r="N111"/>
      <c r="O111"/>
      <c r="P111"/>
      <c r="Q111"/>
      <c r="R111"/>
      <c r="S111"/>
      <c r="T111"/>
      <c r="U111"/>
      <c r="V111"/>
      <c r="W111"/>
      <c r="X111"/>
      <c r="Y111"/>
      <c r="Z111"/>
      <c r="AA111"/>
      <c r="AB111"/>
      <c r="AC111"/>
      <c r="AD111"/>
      <c r="AE111"/>
      <c r="AF111"/>
      <c r="AG111"/>
      <c r="AH111"/>
      <c r="AI111"/>
    </row>
    <row r="112" spans="1:35" s="33" customFormat="1" ht="15.75">
      <c r="A112" s="178"/>
      <c r="B112" s="166"/>
      <c r="C112" s="125"/>
      <c r="D112" s="125"/>
      <c r="E112" s="32"/>
      <c r="F112"/>
      <c r="G112"/>
      <c r="H112"/>
      <c r="I112"/>
      <c r="J112"/>
      <c r="K112"/>
      <c r="L112"/>
      <c r="M112"/>
      <c r="N112"/>
      <c r="O112"/>
      <c r="P112"/>
      <c r="Q112"/>
      <c r="R112"/>
      <c r="S112"/>
      <c r="T112"/>
      <c r="U112"/>
      <c r="V112"/>
      <c r="W112"/>
      <c r="X112"/>
      <c r="Y112"/>
      <c r="Z112"/>
      <c r="AA112"/>
      <c r="AB112"/>
      <c r="AC112"/>
      <c r="AD112"/>
      <c r="AE112"/>
      <c r="AF112"/>
      <c r="AG112"/>
      <c r="AH112"/>
      <c r="AI112"/>
    </row>
    <row r="113" spans="1:35" s="33" customFormat="1" ht="15.75">
      <c r="A113" s="178"/>
      <c r="B113" s="166"/>
      <c r="C113" s="125"/>
      <c r="D113" s="125"/>
      <c r="E113" s="32"/>
      <c r="F113"/>
      <c r="G113"/>
      <c r="H113"/>
      <c r="I113"/>
      <c r="J113"/>
      <c r="K113"/>
      <c r="L113"/>
      <c r="M113"/>
      <c r="N113"/>
      <c r="O113"/>
      <c r="P113"/>
      <c r="Q113"/>
      <c r="R113"/>
      <c r="S113"/>
      <c r="T113"/>
      <c r="U113"/>
      <c r="V113"/>
      <c r="W113"/>
      <c r="X113"/>
      <c r="Y113"/>
      <c r="Z113"/>
      <c r="AA113"/>
      <c r="AB113"/>
      <c r="AC113"/>
      <c r="AD113"/>
      <c r="AE113"/>
      <c r="AF113"/>
      <c r="AG113"/>
      <c r="AH113"/>
      <c r="AI113"/>
    </row>
    <row r="114" spans="1:35" s="33" customFormat="1" ht="15.75">
      <c r="A114" s="178"/>
      <c r="B114" s="166"/>
      <c r="C114" s="125"/>
      <c r="D114" s="125"/>
      <c r="E114" s="32"/>
      <c r="F114"/>
      <c r="G114"/>
      <c r="H114"/>
      <c r="I114"/>
      <c r="J114"/>
      <c r="K114"/>
      <c r="L114"/>
      <c r="M114"/>
      <c r="N114"/>
      <c r="O114"/>
      <c r="P114"/>
      <c r="Q114"/>
      <c r="R114"/>
      <c r="S114"/>
      <c r="T114"/>
      <c r="U114"/>
      <c r="V114"/>
      <c r="W114"/>
      <c r="X114"/>
      <c r="Y114"/>
      <c r="Z114"/>
      <c r="AA114"/>
      <c r="AB114"/>
      <c r="AC114"/>
      <c r="AD114"/>
      <c r="AE114"/>
      <c r="AF114"/>
      <c r="AG114"/>
      <c r="AH114"/>
      <c r="AI114"/>
    </row>
    <row r="115" spans="1:35" s="33" customFormat="1" ht="15.75">
      <c r="A115" s="178"/>
      <c r="B115" s="166"/>
      <c r="C115" s="125"/>
      <c r="D115" s="125"/>
      <c r="E115" s="32"/>
      <c r="F115"/>
      <c r="G115"/>
      <c r="H115"/>
      <c r="I115"/>
      <c r="J115"/>
      <c r="K115"/>
      <c r="L115"/>
      <c r="M115"/>
      <c r="N115"/>
      <c r="O115"/>
      <c r="P115"/>
      <c r="Q115"/>
      <c r="R115"/>
      <c r="S115"/>
      <c r="T115"/>
      <c r="U115"/>
      <c r="V115"/>
      <c r="W115"/>
      <c r="X115"/>
      <c r="Y115"/>
      <c r="Z115"/>
      <c r="AA115"/>
      <c r="AB115"/>
      <c r="AC115"/>
      <c r="AD115"/>
      <c r="AE115"/>
      <c r="AF115"/>
      <c r="AG115"/>
      <c r="AH115"/>
      <c r="AI115"/>
    </row>
    <row r="116" spans="1:35" s="33" customFormat="1" ht="15.75">
      <c r="A116" s="178"/>
      <c r="B116" s="166"/>
      <c r="C116" s="125"/>
      <c r="D116" s="125"/>
      <c r="E116" s="32"/>
      <c r="F116"/>
      <c r="G116"/>
      <c r="H116"/>
      <c r="I116"/>
      <c r="J116"/>
      <c r="K116"/>
      <c r="L116"/>
      <c r="M116"/>
      <c r="N116"/>
      <c r="O116"/>
      <c r="P116"/>
      <c r="Q116"/>
      <c r="R116"/>
      <c r="S116"/>
      <c r="T116"/>
      <c r="U116"/>
      <c r="V116"/>
      <c r="W116"/>
      <c r="X116"/>
      <c r="Y116"/>
      <c r="Z116"/>
      <c r="AA116"/>
      <c r="AB116"/>
      <c r="AC116"/>
      <c r="AD116"/>
      <c r="AE116"/>
      <c r="AF116"/>
      <c r="AG116"/>
      <c r="AH116"/>
      <c r="AI116"/>
    </row>
    <row r="117" spans="1:35" s="33" customFormat="1" ht="15.75">
      <c r="A117" s="178"/>
      <c r="B117" s="166"/>
      <c r="C117" s="125"/>
      <c r="D117" s="125"/>
      <c r="E117" s="32"/>
      <c r="F117"/>
      <c r="G117"/>
      <c r="H117"/>
      <c r="I117"/>
      <c r="J117"/>
      <c r="K117"/>
      <c r="L117"/>
      <c r="M117"/>
      <c r="N117"/>
      <c r="O117"/>
      <c r="P117"/>
      <c r="Q117"/>
      <c r="R117"/>
      <c r="S117"/>
      <c r="T117"/>
      <c r="U117"/>
      <c r="V117"/>
      <c r="W117"/>
      <c r="X117"/>
      <c r="Y117"/>
      <c r="Z117"/>
      <c r="AA117"/>
      <c r="AB117"/>
      <c r="AC117"/>
      <c r="AD117"/>
      <c r="AE117"/>
      <c r="AF117"/>
      <c r="AG117"/>
      <c r="AH117"/>
      <c r="AI117"/>
    </row>
    <row r="118" spans="1:35" s="33" customFormat="1" ht="15.75">
      <c r="A118" s="178"/>
      <c r="B118" s="166"/>
      <c r="C118" s="125"/>
      <c r="D118" s="125"/>
      <c r="E118" s="32"/>
      <c r="F118"/>
      <c r="G118"/>
      <c r="H118"/>
      <c r="I118"/>
      <c r="J118"/>
      <c r="K118"/>
      <c r="L118"/>
      <c r="M118"/>
      <c r="N118"/>
      <c r="O118"/>
      <c r="P118"/>
      <c r="Q118"/>
      <c r="R118"/>
      <c r="S118"/>
      <c r="T118"/>
      <c r="U118"/>
      <c r="V118"/>
      <c r="W118"/>
      <c r="X118"/>
      <c r="Y118"/>
      <c r="Z118"/>
      <c r="AA118"/>
      <c r="AB118"/>
      <c r="AC118"/>
      <c r="AD118"/>
      <c r="AE118"/>
      <c r="AF118"/>
      <c r="AG118"/>
      <c r="AH118"/>
      <c r="AI118"/>
    </row>
    <row r="119" spans="1:35" s="33" customFormat="1" ht="15.75">
      <c r="A119" s="178"/>
      <c r="B119" s="166"/>
      <c r="C119" s="125"/>
      <c r="D119" s="125"/>
      <c r="E119" s="32"/>
      <c r="F119"/>
      <c r="G119"/>
      <c r="H119"/>
      <c r="I119"/>
      <c r="J119"/>
      <c r="K119"/>
      <c r="L119"/>
      <c r="M119"/>
      <c r="N119"/>
      <c r="O119"/>
      <c r="P119"/>
      <c r="Q119"/>
      <c r="R119"/>
      <c r="S119"/>
      <c r="T119"/>
      <c r="U119"/>
      <c r="V119"/>
      <c r="W119"/>
      <c r="X119"/>
      <c r="Y119"/>
      <c r="Z119"/>
      <c r="AA119"/>
      <c r="AB119"/>
      <c r="AC119"/>
      <c r="AD119"/>
      <c r="AE119"/>
      <c r="AF119"/>
      <c r="AG119"/>
      <c r="AH119"/>
      <c r="AI119"/>
    </row>
    <row r="120" spans="1:35" s="33" customFormat="1" ht="15.75">
      <c r="A120" s="178"/>
      <c r="B120" s="166"/>
      <c r="C120" s="125"/>
      <c r="D120" s="125"/>
      <c r="E120" s="32"/>
      <c r="F120"/>
      <c r="G120"/>
      <c r="H120"/>
      <c r="I120"/>
      <c r="J120"/>
      <c r="K120"/>
      <c r="L120"/>
      <c r="M120"/>
      <c r="N120"/>
      <c r="O120"/>
      <c r="P120"/>
      <c r="Q120"/>
      <c r="R120"/>
      <c r="S120"/>
      <c r="T120"/>
      <c r="U120"/>
      <c r="V120"/>
      <c r="W120"/>
      <c r="X120"/>
      <c r="Y120"/>
      <c r="Z120"/>
      <c r="AA120"/>
      <c r="AB120"/>
      <c r="AC120"/>
      <c r="AD120"/>
      <c r="AE120"/>
      <c r="AF120"/>
      <c r="AG120"/>
      <c r="AH120"/>
      <c r="AI120"/>
    </row>
    <row r="121" spans="1:35" s="33" customFormat="1" ht="15.75">
      <c r="A121" s="178"/>
      <c r="B121" s="166"/>
      <c r="C121" s="125"/>
      <c r="D121" s="125"/>
      <c r="E121" s="32"/>
      <c r="F121"/>
      <c r="G121"/>
      <c r="H121"/>
      <c r="I121"/>
      <c r="J121"/>
      <c r="K121"/>
      <c r="L121"/>
      <c r="M121"/>
      <c r="N121"/>
      <c r="O121"/>
      <c r="P121"/>
      <c r="Q121"/>
      <c r="R121"/>
      <c r="S121"/>
      <c r="T121"/>
      <c r="U121"/>
      <c r="V121"/>
      <c r="W121"/>
      <c r="X121"/>
      <c r="Y121"/>
      <c r="Z121"/>
      <c r="AA121"/>
      <c r="AB121"/>
      <c r="AC121"/>
      <c r="AD121"/>
      <c r="AE121"/>
      <c r="AF121"/>
      <c r="AG121"/>
      <c r="AH121"/>
      <c r="AI121"/>
    </row>
    <row r="122" spans="1:35" s="33" customFormat="1" ht="15.75">
      <c r="A122" s="178"/>
      <c r="B122" s="166"/>
      <c r="C122" s="125"/>
      <c r="D122" s="125"/>
      <c r="E122" s="32"/>
      <c r="F122"/>
      <c r="G122"/>
      <c r="H122"/>
      <c r="I122"/>
      <c r="J122"/>
      <c r="K122"/>
      <c r="L122"/>
      <c r="M122"/>
      <c r="N122"/>
      <c r="O122"/>
      <c r="P122"/>
      <c r="Q122"/>
      <c r="R122"/>
      <c r="S122"/>
      <c r="T122"/>
      <c r="U122"/>
      <c r="V122"/>
      <c r="W122"/>
      <c r="X122"/>
      <c r="Y122"/>
      <c r="Z122"/>
      <c r="AA122"/>
      <c r="AB122"/>
      <c r="AC122"/>
      <c r="AD122"/>
      <c r="AE122"/>
      <c r="AF122"/>
      <c r="AG122"/>
      <c r="AH122"/>
      <c r="AI122"/>
    </row>
    <row r="123" spans="1:35" s="33" customFormat="1" ht="15.75">
      <c r="A123" s="178"/>
      <c r="B123" s="166"/>
      <c r="C123" s="125"/>
      <c r="D123" s="125"/>
      <c r="E123" s="32"/>
      <c r="F123"/>
      <c r="G123"/>
      <c r="H123"/>
      <c r="I123"/>
      <c r="J123"/>
      <c r="K123"/>
      <c r="L123"/>
      <c r="M123"/>
      <c r="N123"/>
      <c r="O123"/>
      <c r="P123"/>
      <c r="Q123"/>
      <c r="R123"/>
      <c r="S123"/>
      <c r="T123"/>
      <c r="U123"/>
      <c r="V123"/>
      <c r="W123"/>
      <c r="X123"/>
      <c r="Y123"/>
      <c r="Z123"/>
      <c r="AA123"/>
      <c r="AB123"/>
      <c r="AC123"/>
      <c r="AD123"/>
      <c r="AE123"/>
      <c r="AF123"/>
      <c r="AG123"/>
      <c r="AH123"/>
      <c r="AI123"/>
    </row>
    <row r="124" spans="1:35" s="33" customFormat="1" ht="15.75">
      <c r="A124" s="178"/>
      <c r="B124" s="166"/>
      <c r="C124" s="125"/>
      <c r="D124" s="125"/>
      <c r="E124" s="32"/>
      <c r="F124"/>
      <c r="G124"/>
      <c r="H124"/>
      <c r="I124"/>
      <c r="J124"/>
      <c r="K124"/>
      <c r="L124"/>
      <c r="M124"/>
      <c r="N124"/>
      <c r="O124"/>
      <c r="P124"/>
      <c r="Q124"/>
      <c r="R124"/>
      <c r="S124"/>
      <c r="T124"/>
      <c r="U124"/>
      <c r="V124"/>
      <c r="W124"/>
      <c r="X124"/>
      <c r="Y124"/>
      <c r="Z124"/>
      <c r="AA124"/>
      <c r="AB124"/>
      <c r="AC124"/>
      <c r="AD124"/>
      <c r="AE124"/>
      <c r="AF124"/>
      <c r="AG124"/>
      <c r="AH124"/>
      <c r="AI124"/>
    </row>
    <row r="125" spans="1:35" s="33" customFormat="1" ht="15.75">
      <c r="A125" s="178"/>
      <c r="B125" s="166"/>
      <c r="C125" s="125"/>
      <c r="D125" s="125"/>
      <c r="E125" s="32"/>
      <c r="F125"/>
      <c r="G125"/>
      <c r="H125"/>
      <c r="I125"/>
      <c r="J125"/>
      <c r="K125"/>
      <c r="L125"/>
      <c r="M125"/>
      <c r="N125"/>
      <c r="O125"/>
      <c r="P125"/>
      <c r="Q125"/>
      <c r="R125"/>
      <c r="S125"/>
      <c r="T125"/>
      <c r="U125"/>
      <c r="V125"/>
      <c r="W125"/>
      <c r="X125"/>
      <c r="Y125"/>
      <c r="Z125"/>
      <c r="AA125"/>
      <c r="AB125"/>
      <c r="AC125"/>
      <c r="AD125"/>
      <c r="AE125"/>
      <c r="AF125"/>
      <c r="AG125"/>
      <c r="AH125"/>
      <c r="AI125"/>
    </row>
    <row r="126" spans="1:35" s="33" customFormat="1" ht="15.75">
      <c r="A126" s="178"/>
      <c r="B126" s="166"/>
      <c r="C126" s="125"/>
      <c r="D126" s="125"/>
      <c r="E126" s="32"/>
      <c r="F126"/>
      <c r="G126"/>
      <c r="H126"/>
      <c r="I126"/>
      <c r="J126"/>
      <c r="K126"/>
      <c r="L126"/>
      <c r="M126"/>
      <c r="N126"/>
      <c r="O126"/>
      <c r="P126"/>
      <c r="Q126"/>
      <c r="R126"/>
      <c r="S126"/>
      <c r="T126"/>
      <c r="U126"/>
      <c r="V126"/>
      <c r="W126"/>
      <c r="X126"/>
      <c r="Y126"/>
      <c r="Z126"/>
      <c r="AA126"/>
      <c r="AB126"/>
      <c r="AC126"/>
      <c r="AD126"/>
      <c r="AE126"/>
      <c r="AF126"/>
      <c r="AG126"/>
      <c r="AH126"/>
      <c r="AI126"/>
    </row>
    <row r="127" spans="1:35" s="33" customFormat="1" ht="15.75">
      <c r="A127" s="178"/>
      <c r="B127" s="166"/>
      <c r="C127" s="125"/>
      <c r="D127" s="125"/>
      <c r="E127" s="32"/>
      <c r="F127"/>
      <c r="G127"/>
      <c r="H127"/>
      <c r="I127"/>
      <c r="J127"/>
      <c r="K127"/>
      <c r="L127"/>
      <c r="M127"/>
      <c r="N127"/>
      <c r="O127"/>
      <c r="P127"/>
      <c r="Q127"/>
      <c r="R127"/>
      <c r="S127"/>
      <c r="T127"/>
      <c r="U127"/>
      <c r="V127"/>
      <c r="W127"/>
      <c r="X127"/>
      <c r="Y127"/>
      <c r="Z127"/>
      <c r="AA127"/>
      <c r="AB127"/>
      <c r="AC127"/>
      <c r="AD127"/>
      <c r="AE127"/>
      <c r="AF127"/>
      <c r="AG127"/>
      <c r="AH127"/>
      <c r="AI127"/>
    </row>
    <row r="128" spans="1:35" s="33" customFormat="1" ht="15.75">
      <c r="A128" s="178"/>
      <c r="B128" s="166"/>
      <c r="C128" s="125"/>
      <c r="D128" s="125"/>
      <c r="E128" s="32"/>
      <c r="F128"/>
      <c r="G128"/>
      <c r="H128"/>
      <c r="I128"/>
      <c r="J128"/>
      <c r="K128"/>
      <c r="L128"/>
      <c r="M128"/>
      <c r="N128"/>
      <c r="O128"/>
      <c r="P128"/>
      <c r="Q128"/>
      <c r="R128"/>
      <c r="S128"/>
      <c r="T128"/>
      <c r="U128"/>
      <c r="V128"/>
      <c r="W128"/>
      <c r="X128"/>
      <c r="Y128"/>
      <c r="Z128"/>
      <c r="AA128"/>
      <c r="AB128"/>
      <c r="AC128"/>
      <c r="AD128"/>
      <c r="AE128"/>
      <c r="AF128"/>
      <c r="AG128"/>
      <c r="AH128"/>
      <c r="AI128"/>
    </row>
    <row r="129" spans="1:35" s="33" customFormat="1" ht="15.75">
      <c r="A129" s="178"/>
      <c r="B129" s="166"/>
      <c r="C129" s="125"/>
      <c r="D129" s="125"/>
      <c r="E129" s="32"/>
      <c r="F129"/>
      <c r="G129"/>
      <c r="H129"/>
      <c r="I129"/>
      <c r="J129"/>
      <c r="K129"/>
      <c r="L129"/>
      <c r="M129"/>
      <c r="N129"/>
      <c r="O129"/>
      <c r="P129"/>
      <c r="Q129"/>
      <c r="R129"/>
      <c r="S129"/>
      <c r="T129"/>
      <c r="U129"/>
      <c r="V129"/>
      <c r="W129"/>
      <c r="X129"/>
      <c r="Y129"/>
      <c r="Z129"/>
      <c r="AA129"/>
      <c r="AB129"/>
      <c r="AC129"/>
      <c r="AD129"/>
      <c r="AE129"/>
      <c r="AF129"/>
      <c r="AG129"/>
      <c r="AH129"/>
      <c r="AI129"/>
    </row>
    <row r="130" spans="1:35" s="33" customFormat="1" ht="15.75">
      <c r="A130" s="178"/>
      <c r="B130" s="166"/>
      <c r="C130" s="125"/>
      <c r="D130" s="125"/>
      <c r="E130" s="32"/>
      <c r="F130"/>
      <c r="G130"/>
      <c r="H130"/>
      <c r="I130"/>
      <c r="J130"/>
      <c r="K130"/>
      <c r="L130"/>
      <c r="M130"/>
      <c r="N130"/>
      <c r="O130"/>
      <c r="P130"/>
      <c r="Q130"/>
      <c r="R130"/>
      <c r="S130"/>
      <c r="T130"/>
      <c r="U130"/>
      <c r="V130"/>
      <c r="W130"/>
      <c r="X130"/>
      <c r="Y130"/>
      <c r="Z130"/>
      <c r="AA130"/>
      <c r="AB130"/>
      <c r="AC130"/>
      <c r="AD130"/>
      <c r="AE130"/>
      <c r="AF130"/>
      <c r="AG130"/>
      <c r="AH130"/>
      <c r="AI130"/>
    </row>
    <row r="131" spans="1:35" s="33" customFormat="1" ht="15.75">
      <c r="A131" s="178"/>
      <c r="B131" s="166"/>
      <c r="C131" s="125"/>
      <c r="D131" s="125"/>
      <c r="E131" s="32"/>
      <c r="F131"/>
      <c r="G131"/>
      <c r="H131"/>
      <c r="I131"/>
      <c r="J131"/>
      <c r="K131"/>
      <c r="L131"/>
      <c r="M131"/>
      <c r="N131"/>
      <c r="O131"/>
      <c r="P131"/>
      <c r="Q131"/>
      <c r="R131"/>
      <c r="S131"/>
      <c r="T131"/>
      <c r="U131"/>
      <c r="V131"/>
      <c r="W131"/>
      <c r="X131"/>
      <c r="Y131"/>
      <c r="Z131"/>
      <c r="AA131"/>
      <c r="AB131"/>
      <c r="AC131"/>
      <c r="AD131"/>
      <c r="AE131"/>
      <c r="AF131"/>
      <c r="AG131"/>
      <c r="AH131"/>
      <c r="AI131"/>
    </row>
    <row r="132" spans="1:35" s="33" customFormat="1" ht="15.75">
      <c r="A132" s="178"/>
      <c r="B132" s="166"/>
      <c r="C132" s="125"/>
      <c r="D132" s="125"/>
      <c r="E132" s="32"/>
      <c r="F132"/>
      <c r="G132"/>
      <c r="H132"/>
      <c r="I132"/>
      <c r="J132"/>
      <c r="K132"/>
      <c r="L132"/>
      <c r="M132"/>
      <c r="N132"/>
      <c r="O132"/>
      <c r="P132"/>
      <c r="Q132"/>
      <c r="R132"/>
      <c r="S132"/>
      <c r="T132"/>
      <c r="U132"/>
      <c r="V132"/>
      <c r="W132"/>
      <c r="X132"/>
      <c r="Y132"/>
      <c r="Z132"/>
      <c r="AA132"/>
      <c r="AB132"/>
      <c r="AC132"/>
      <c r="AD132"/>
      <c r="AE132"/>
      <c r="AF132"/>
      <c r="AG132"/>
      <c r="AH132"/>
      <c r="AI132"/>
    </row>
    <row r="133" spans="1:35" s="33" customFormat="1" ht="15.75">
      <c r="A133" s="178"/>
      <c r="B133" s="166"/>
      <c r="C133" s="125"/>
      <c r="D133" s="125"/>
      <c r="E133" s="32"/>
      <c r="F133"/>
      <c r="G133"/>
      <c r="H133"/>
      <c r="I133"/>
      <c r="J133"/>
      <c r="K133"/>
      <c r="L133"/>
      <c r="M133"/>
      <c r="N133"/>
      <c r="O133"/>
      <c r="P133"/>
      <c r="Q133"/>
      <c r="R133"/>
      <c r="S133"/>
      <c r="T133"/>
      <c r="U133"/>
      <c r="V133"/>
      <c r="W133"/>
      <c r="X133"/>
      <c r="Y133"/>
      <c r="Z133"/>
      <c r="AA133"/>
      <c r="AB133"/>
      <c r="AC133"/>
      <c r="AD133"/>
      <c r="AE133"/>
      <c r="AF133"/>
      <c r="AG133"/>
      <c r="AH133"/>
      <c r="AI133"/>
    </row>
    <row r="134" spans="1:35" s="33" customFormat="1" ht="15.75">
      <c r="A134" s="178"/>
      <c r="B134" s="166"/>
      <c r="C134" s="125"/>
      <c r="D134" s="125"/>
      <c r="E134" s="32"/>
      <c r="F134"/>
      <c r="G134"/>
      <c r="H134"/>
      <c r="I134"/>
      <c r="J134"/>
      <c r="K134"/>
      <c r="L134"/>
      <c r="M134"/>
      <c r="N134"/>
      <c r="O134"/>
      <c r="P134"/>
      <c r="Q134"/>
      <c r="R134"/>
      <c r="S134"/>
      <c r="T134"/>
      <c r="U134"/>
      <c r="V134"/>
      <c r="W134"/>
      <c r="X134"/>
      <c r="Y134"/>
      <c r="Z134"/>
      <c r="AA134"/>
      <c r="AB134"/>
      <c r="AC134"/>
      <c r="AD134"/>
      <c r="AE134"/>
      <c r="AF134"/>
      <c r="AG134"/>
      <c r="AH134"/>
      <c r="AI134"/>
    </row>
    <row r="135" spans="1:35" s="33" customFormat="1" ht="15.75">
      <c r="A135" s="178"/>
      <c r="B135" s="166"/>
      <c r="C135" s="125"/>
      <c r="D135" s="125"/>
      <c r="E135" s="32"/>
      <c r="F135"/>
      <c r="G135"/>
      <c r="H135"/>
      <c r="I135"/>
      <c r="J135"/>
      <c r="K135"/>
      <c r="L135"/>
      <c r="M135"/>
      <c r="N135"/>
      <c r="O135"/>
      <c r="P135"/>
      <c r="Q135"/>
      <c r="R135"/>
      <c r="S135"/>
      <c r="T135"/>
      <c r="U135"/>
      <c r="V135"/>
      <c r="W135"/>
      <c r="X135"/>
      <c r="Y135"/>
      <c r="Z135"/>
      <c r="AA135"/>
      <c r="AB135"/>
      <c r="AC135"/>
      <c r="AD135"/>
      <c r="AE135"/>
      <c r="AF135"/>
      <c r="AG135"/>
      <c r="AH135"/>
      <c r="AI135"/>
    </row>
    <row r="136" spans="1:35" s="33" customFormat="1" ht="15.75">
      <c r="A136" s="178"/>
      <c r="B136" s="166"/>
      <c r="C136" s="125"/>
      <c r="D136" s="125"/>
      <c r="E136" s="32"/>
      <c r="F136"/>
      <c r="G136"/>
      <c r="H136"/>
      <c r="I136"/>
      <c r="J136"/>
      <c r="K136"/>
      <c r="L136"/>
      <c r="M136"/>
      <c r="N136"/>
      <c r="O136"/>
      <c r="P136"/>
      <c r="Q136"/>
      <c r="R136"/>
      <c r="S136"/>
      <c r="T136"/>
      <c r="U136"/>
      <c r="V136"/>
      <c r="W136"/>
      <c r="X136"/>
      <c r="Y136"/>
      <c r="Z136"/>
      <c r="AA136"/>
      <c r="AB136"/>
      <c r="AC136"/>
      <c r="AD136"/>
      <c r="AE136"/>
      <c r="AF136"/>
      <c r="AG136"/>
      <c r="AH136"/>
      <c r="AI136"/>
    </row>
    <row r="137" spans="1:35" s="33" customFormat="1" ht="15.75">
      <c r="A137" s="178"/>
      <c r="B137" s="166"/>
      <c r="C137" s="125"/>
      <c r="D137" s="125"/>
      <c r="E137" s="32"/>
      <c r="F137"/>
      <c r="G137"/>
      <c r="H137"/>
      <c r="I137"/>
      <c r="J137"/>
      <c r="K137"/>
      <c r="L137"/>
      <c r="M137"/>
      <c r="N137"/>
      <c r="O137"/>
      <c r="P137"/>
      <c r="Q137"/>
      <c r="R137"/>
      <c r="S137"/>
      <c r="T137"/>
      <c r="U137"/>
      <c r="V137"/>
      <c r="W137"/>
      <c r="X137"/>
      <c r="Y137"/>
      <c r="Z137"/>
      <c r="AA137"/>
      <c r="AB137"/>
      <c r="AC137"/>
      <c r="AD137"/>
      <c r="AE137"/>
      <c r="AF137"/>
      <c r="AG137"/>
      <c r="AH137"/>
      <c r="AI137"/>
    </row>
    <row r="138" spans="1:35" s="33" customFormat="1" ht="15.75">
      <c r="A138" s="178"/>
      <c r="B138" s="166"/>
      <c r="C138" s="125"/>
      <c r="D138" s="125"/>
      <c r="E138" s="32"/>
      <c r="F138"/>
      <c r="G138"/>
      <c r="H138"/>
      <c r="I138"/>
      <c r="J138"/>
      <c r="K138"/>
      <c r="L138"/>
      <c r="M138"/>
      <c r="N138"/>
      <c r="O138"/>
      <c r="P138"/>
      <c r="Q138"/>
      <c r="R138"/>
      <c r="S138"/>
      <c r="T138"/>
      <c r="U138"/>
      <c r="V138"/>
      <c r="W138"/>
      <c r="X138"/>
      <c r="Y138"/>
      <c r="Z138"/>
      <c r="AA138"/>
      <c r="AB138"/>
      <c r="AC138"/>
      <c r="AD138"/>
      <c r="AE138"/>
      <c r="AF138"/>
      <c r="AG138"/>
      <c r="AH138"/>
      <c r="AI138"/>
    </row>
    <row r="139" spans="1:35" s="33" customFormat="1" ht="15.75">
      <c r="A139" s="178"/>
      <c r="B139" s="166"/>
      <c r="C139" s="125"/>
      <c r="D139" s="125"/>
      <c r="E139" s="32"/>
      <c r="F139"/>
      <c r="G139"/>
      <c r="H139"/>
      <c r="I139"/>
      <c r="J139"/>
      <c r="K139"/>
      <c r="L139"/>
      <c r="M139"/>
      <c r="N139"/>
      <c r="O139"/>
      <c r="P139"/>
      <c r="Q139"/>
      <c r="R139"/>
      <c r="S139"/>
      <c r="T139"/>
      <c r="U139"/>
      <c r="V139"/>
      <c r="W139"/>
      <c r="X139"/>
      <c r="Y139"/>
      <c r="Z139"/>
      <c r="AA139"/>
      <c r="AB139"/>
      <c r="AC139"/>
      <c r="AD139"/>
      <c r="AE139"/>
      <c r="AF139"/>
      <c r="AG139"/>
      <c r="AH139"/>
      <c r="AI139"/>
    </row>
    <row r="140" spans="1:35" s="33" customFormat="1" ht="15.75">
      <c r="A140" s="178"/>
      <c r="B140" s="166"/>
      <c r="C140" s="125"/>
      <c r="D140" s="125"/>
      <c r="E140" s="32"/>
      <c r="F140"/>
      <c r="G140"/>
      <c r="H140"/>
      <c r="I140"/>
      <c r="J140"/>
      <c r="K140"/>
      <c r="L140"/>
      <c r="M140"/>
      <c r="N140"/>
      <c r="O140"/>
      <c r="P140"/>
      <c r="Q140"/>
      <c r="R140"/>
      <c r="S140"/>
      <c r="T140"/>
      <c r="U140"/>
      <c r="V140"/>
      <c r="W140"/>
      <c r="X140"/>
      <c r="Y140"/>
      <c r="Z140"/>
      <c r="AA140"/>
      <c r="AB140"/>
      <c r="AC140"/>
      <c r="AD140"/>
      <c r="AE140"/>
      <c r="AF140"/>
      <c r="AG140"/>
      <c r="AH140"/>
      <c r="AI140"/>
    </row>
    <row r="141" spans="1:35" s="33" customFormat="1" ht="15.75">
      <c r="A141" s="178"/>
      <c r="B141" s="166"/>
      <c r="C141" s="125"/>
      <c r="D141" s="125"/>
      <c r="E141" s="32"/>
      <c r="F141"/>
      <c r="G141"/>
      <c r="H141"/>
      <c r="I141"/>
      <c r="J141"/>
      <c r="K141"/>
      <c r="L141"/>
      <c r="M141"/>
      <c r="N141"/>
      <c r="O141"/>
      <c r="P141"/>
      <c r="Q141"/>
      <c r="R141"/>
      <c r="S141"/>
      <c r="T141"/>
      <c r="U141"/>
      <c r="V141"/>
      <c r="W141"/>
      <c r="X141"/>
      <c r="Y141"/>
      <c r="Z141"/>
      <c r="AA141"/>
      <c r="AB141"/>
      <c r="AC141"/>
      <c r="AD141"/>
      <c r="AE141"/>
      <c r="AF141"/>
      <c r="AG141"/>
      <c r="AH141"/>
      <c r="AI141"/>
    </row>
    <row r="142" spans="1:35" s="33" customFormat="1" ht="15.75">
      <c r="A142" s="178"/>
      <c r="B142" s="166"/>
      <c r="C142" s="125"/>
      <c r="D142" s="125"/>
      <c r="E142" s="32"/>
      <c r="F142"/>
      <c r="G142"/>
      <c r="H142"/>
      <c r="I142"/>
      <c r="J142"/>
      <c r="K142"/>
      <c r="L142"/>
      <c r="M142"/>
      <c r="N142"/>
      <c r="O142"/>
      <c r="P142"/>
      <c r="Q142"/>
      <c r="R142"/>
      <c r="S142"/>
      <c r="T142"/>
      <c r="U142"/>
      <c r="V142"/>
      <c r="W142"/>
      <c r="X142"/>
      <c r="Y142"/>
      <c r="Z142"/>
      <c r="AA142"/>
      <c r="AB142"/>
      <c r="AC142"/>
      <c r="AD142"/>
      <c r="AE142"/>
      <c r="AF142"/>
      <c r="AG142"/>
      <c r="AH142"/>
      <c r="AI142"/>
    </row>
    <row r="143" spans="1:35" s="33" customFormat="1" ht="15.75">
      <c r="A143" s="178"/>
      <c r="B143" s="166"/>
      <c r="C143" s="125"/>
      <c r="D143" s="125"/>
      <c r="E143" s="32"/>
      <c r="F143"/>
      <c r="G143"/>
      <c r="H143"/>
      <c r="I143"/>
      <c r="J143"/>
      <c r="K143"/>
      <c r="L143"/>
      <c r="M143"/>
      <c r="N143"/>
      <c r="O143"/>
      <c r="P143"/>
      <c r="Q143"/>
      <c r="R143"/>
      <c r="S143"/>
      <c r="T143"/>
      <c r="U143"/>
      <c r="V143"/>
      <c r="W143"/>
      <c r="X143"/>
      <c r="Y143"/>
      <c r="Z143"/>
      <c r="AA143"/>
      <c r="AB143"/>
      <c r="AC143"/>
      <c r="AD143"/>
      <c r="AE143"/>
      <c r="AF143"/>
      <c r="AG143"/>
      <c r="AH143"/>
      <c r="AI143"/>
    </row>
    <row r="144" spans="1:35" s="33" customFormat="1" ht="15.75">
      <c r="A144" s="178"/>
      <c r="B144" s="166"/>
      <c r="C144" s="125"/>
      <c r="D144" s="125"/>
      <c r="E144" s="32"/>
      <c r="F144"/>
      <c r="G144"/>
      <c r="H144"/>
      <c r="I144"/>
      <c r="J144"/>
      <c r="K144"/>
      <c r="L144"/>
      <c r="M144"/>
      <c r="N144"/>
      <c r="O144"/>
      <c r="P144"/>
      <c r="Q144"/>
      <c r="R144"/>
      <c r="S144"/>
      <c r="T144"/>
      <c r="U144"/>
      <c r="V144"/>
      <c r="W144"/>
      <c r="X144"/>
      <c r="Y144"/>
      <c r="Z144"/>
      <c r="AA144"/>
      <c r="AB144"/>
      <c r="AC144"/>
      <c r="AD144"/>
      <c r="AE144"/>
      <c r="AF144"/>
      <c r="AG144"/>
      <c r="AH144"/>
      <c r="AI144"/>
    </row>
    <row r="145" spans="1:35" s="33" customFormat="1" ht="15.75">
      <c r="A145" s="178"/>
      <c r="B145" s="166"/>
      <c r="C145" s="125"/>
      <c r="D145" s="125"/>
      <c r="E145" s="32"/>
      <c r="F145"/>
      <c r="G145"/>
      <c r="H145"/>
      <c r="I145"/>
      <c r="J145"/>
      <c r="K145"/>
      <c r="L145"/>
      <c r="M145"/>
      <c r="N145"/>
      <c r="O145"/>
      <c r="P145"/>
      <c r="Q145"/>
      <c r="R145"/>
      <c r="S145"/>
      <c r="T145"/>
      <c r="U145"/>
      <c r="V145"/>
      <c r="W145"/>
      <c r="X145"/>
      <c r="Y145"/>
      <c r="Z145"/>
      <c r="AA145"/>
      <c r="AB145"/>
      <c r="AC145"/>
      <c r="AD145"/>
      <c r="AE145"/>
      <c r="AF145"/>
      <c r="AG145"/>
      <c r="AH145"/>
      <c r="AI145"/>
    </row>
    <row r="146" spans="1:35" s="33" customFormat="1" ht="15.75">
      <c r="A146" s="178"/>
      <c r="B146" s="166"/>
      <c r="C146" s="125"/>
      <c r="D146" s="125"/>
      <c r="E146" s="32"/>
      <c r="F146"/>
      <c r="G146"/>
      <c r="H146"/>
      <c r="I146"/>
      <c r="J146"/>
      <c r="K146"/>
      <c r="L146"/>
      <c r="M146"/>
      <c r="N146"/>
      <c r="O146"/>
      <c r="P146"/>
      <c r="Q146"/>
      <c r="R146"/>
      <c r="S146"/>
      <c r="T146"/>
      <c r="U146"/>
      <c r="V146"/>
      <c r="W146"/>
      <c r="X146"/>
      <c r="Y146"/>
      <c r="Z146"/>
      <c r="AA146"/>
      <c r="AB146"/>
      <c r="AC146"/>
      <c r="AD146"/>
      <c r="AE146"/>
      <c r="AF146"/>
      <c r="AG146"/>
      <c r="AH146"/>
      <c r="AI146"/>
    </row>
    <row r="147" spans="1:35" s="33" customFormat="1" ht="15.75">
      <c r="A147" s="178"/>
      <c r="B147" s="166"/>
      <c r="C147" s="125"/>
      <c r="D147" s="125"/>
      <c r="E147" s="32"/>
      <c r="F147"/>
      <c r="G147"/>
      <c r="H147"/>
      <c r="I147"/>
      <c r="J147"/>
      <c r="K147"/>
      <c r="L147"/>
      <c r="M147"/>
      <c r="N147"/>
      <c r="O147"/>
      <c r="P147"/>
      <c r="Q147"/>
      <c r="R147"/>
      <c r="S147"/>
      <c r="T147"/>
      <c r="U147"/>
      <c r="V147"/>
      <c r="W147"/>
      <c r="X147"/>
      <c r="Y147"/>
      <c r="Z147"/>
      <c r="AA147"/>
      <c r="AB147"/>
      <c r="AC147"/>
      <c r="AD147"/>
      <c r="AE147"/>
      <c r="AF147"/>
      <c r="AG147"/>
      <c r="AH147"/>
      <c r="AI147"/>
    </row>
    <row r="148" spans="1:35" s="33" customFormat="1" ht="15.75">
      <c r="A148" s="178"/>
      <c r="B148" s="166"/>
      <c r="C148" s="125"/>
      <c r="D148" s="125"/>
      <c r="E148" s="32"/>
      <c r="F148"/>
      <c r="G148"/>
      <c r="H148"/>
      <c r="I148"/>
      <c r="J148"/>
      <c r="K148"/>
      <c r="L148"/>
      <c r="M148"/>
      <c r="N148"/>
      <c r="O148"/>
      <c r="P148"/>
      <c r="Q148"/>
      <c r="R148"/>
      <c r="S148"/>
      <c r="T148"/>
      <c r="U148"/>
      <c r="V148"/>
      <c r="W148"/>
      <c r="X148"/>
      <c r="Y148"/>
      <c r="Z148"/>
      <c r="AA148"/>
      <c r="AB148"/>
      <c r="AC148"/>
      <c r="AD148"/>
      <c r="AE148"/>
      <c r="AF148"/>
      <c r="AG148"/>
      <c r="AH148"/>
      <c r="AI148"/>
    </row>
    <row r="149" spans="1:35" s="33" customFormat="1" ht="15.75">
      <c r="A149" s="178"/>
      <c r="B149" s="166"/>
      <c r="C149" s="125"/>
      <c r="D149" s="125"/>
      <c r="E149" s="32"/>
      <c r="F149"/>
      <c r="G149"/>
      <c r="H149"/>
      <c r="I149"/>
      <c r="J149"/>
      <c r="K149"/>
      <c r="L149"/>
      <c r="M149"/>
      <c r="N149"/>
      <c r="O149"/>
      <c r="P149"/>
      <c r="Q149"/>
      <c r="R149"/>
      <c r="S149"/>
      <c r="T149"/>
      <c r="U149"/>
      <c r="V149"/>
      <c r="W149"/>
      <c r="X149"/>
      <c r="Y149"/>
      <c r="Z149"/>
      <c r="AA149"/>
      <c r="AB149"/>
      <c r="AC149"/>
      <c r="AD149"/>
      <c r="AE149"/>
      <c r="AF149"/>
      <c r="AG149"/>
      <c r="AH149"/>
      <c r="AI149"/>
    </row>
    <row r="150" spans="1:35" s="33" customFormat="1" ht="15.75">
      <c r="A150" s="178"/>
      <c r="B150" s="166"/>
      <c r="C150" s="125"/>
      <c r="D150" s="125"/>
      <c r="E150" s="32"/>
      <c r="F150"/>
      <c r="G150"/>
      <c r="H150"/>
      <c r="I150"/>
      <c r="J150"/>
      <c r="K150"/>
      <c r="L150"/>
      <c r="M150"/>
      <c r="N150"/>
      <c r="O150"/>
      <c r="P150"/>
      <c r="Q150"/>
      <c r="R150"/>
      <c r="S150"/>
      <c r="T150"/>
      <c r="U150"/>
      <c r="V150"/>
      <c r="W150"/>
      <c r="X150"/>
      <c r="Y150"/>
      <c r="Z150"/>
      <c r="AA150"/>
      <c r="AB150"/>
      <c r="AC150"/>
      <c r="AD150"/>
      <c r="AE150"/>
      <c r="AF150"/>
      <c r="AG150"/>
      <c r="AH150"/>
      <c r="AI150"/>
    </row>
    <row r="151" spans="1:35" s="33" customFormat="1" ht="15.75">
      <c r="A151" s="178"/>
      <c r="B151" s="166"/>
      <c r="C151" s="125"/>
      <c r="D151" s="125"/>
      <c r="E151" s="32"/>
      <c r="F151"/>
      <c r="G151"/>
      <c r="H151"/>
      <c r="I151"/>
      <c r="J151"/>
      <c r="K151"/>
      <c r="L151"/>
      <c r="M151"/>
      <c r="N151"/>
      <c r="O151"/>
      <c r="P151"/>
      <c r="Q151"/>
      <c r="R151"/>
      <c r="S151"/>
      <c r="T151"/>
      <c r="U151"/>
      <c r="V151"/>
      <c r="W151"/>
      <c r="X151"/>
      <c r="Y151"/>
      <c r="Z151"/>
      <c r="AA151"/>
      <c r="AB151"/>
      <c r="AC151"/>
      <c r="AD151"/>
      <c r="AE151"/>
      <c r="AF151"/>
      <c r="AG151"/>
      <c r="AH151"/>
      <c r="AI151"/>
    </row>
    <row r="152" spans="1:35" s="33" customFormat="1" ht="15.75">
      <c r="A152" s="178"/>
      <c r="B152" s="166"/>
      <c r="C152" s="125"/>
      <c r="D152" s="125"/>
      <c r="E152" s="32"/>
      <c r="F152"/>
      <c r="G152"/>
      <c r="H152"/>
      <c r="I152"/>
      <c r="J152"/>
      <c r="K152"/>
      <c r="L152"/>
      <c r="M152"/>
      <c r="N152"/>
      <c r="O152"/>
      <c r="P152"/>
      <c r="Q152"/>
      <c r="R152"/>
      <c r="S152"/>
      <c r="T152"/>
      <c r="U152"/>
      <c r="V152"/>
      <c r="W152"/>
      <c r="X152"/>
      <c r="Y152"/>
      <c r="Z152"/>
      <c r="AA152"/>
      <c r="AB152"/>
      <c r="AC152"/>
      <c r="AD152"/>
      <c r="AE152"/>
      <c r="AF152"/>
      <c r="AG152"/>
      <c r="AH152"/>
      <c r="AI152"/>
    </row>
    <row r="153" spans="1:35" s="33" customFormat="1" ht="15.75">
      <c r="A153" s="178"/>
      <c r="B153" s="166"/>
      <c r="C153" s="125"/>
      <c r="D153" s="125"/>
      <c r="E153" s="32"/>
      <c r="F153"/>
      <c r="G153"/>
      <c r="H153"/>
      <c r="I153"/>
      <c r="J153"/>
      <c r="K153"/>
      <c r="L153"/>
      <c r="M153"/>
      <c r="N153"/>
      <c r="O153"/>
      <c r="P153"/>
      <c r="Q153"/>
      <c r="R153"/>
      <c r="S153"/>
      <c r="T153"/>
      <c r="U153"/>
      <c r="V153"/>
      <c r="W153"/>
      <c r="X153"/>
      <c r="Y153"/>
      <c r="Z153"/>
      <c r="AA153"/>
      <c r="AB153"/>
      <c r="AC153"/>
      <c r="AD153"/>
      <c r="AE153"/>
      <c r="AF153"/>
      <c r="AG153"/>
      <c r="AH153"/>
      <c r="AI153"/>
    </row>
    <row r="154" spans="1:35" s="33" customFormat="1" ht="15.75">
      <c r="A154" s="178"/>
      <c r="B154" s="166"/>
      <c r="C154" s="125"/>
      <c r="D154" s="125"/>
      <c r="E154" s="32"/>
      <c r="F154"/>
      <c r="G154"/>
      <c r="H154"/>
      <c r="I154"/>
      <c r="J154"/>
      <c r="K154"/>
      <c r="L154"/>
      <c r="M154"/>
      <c r="N154"/>
      <c r="O154"/>
      <c r="P154"/>
      <c r="Q154"/>
      <c r="R154"/>
      <c r="S154"/>
      <c r="T154"/>
      <c r="U154"/>
      <c r="V154"/>
      <c r="W154"/>
      <c r="X154"/>
      <c r="Y154"/>
      <c r="Z154"/>
      <c r="AA154"/>
      <c r="AB154"/>
      <c r="AC154"/>
      <c r="AD154"/>
      <c r="AE154"/>
      <c r="AF154"/>
      <c r="AG154"/>
      <c r="AH154"/>
      <c r="AI154"/>
    </row>
    <row r="155" spans="1:35" s="33" customFormat="1" ht="15.75">
      <c r="A155" s="178"/>
      <c r="B155" s="166"/>
      <c r="C155" s="125"/>
      <c r="D155" s="125"/>
      <c r="E155" s="32"/>
      <c r="F155"/>
      <c r="G155"/>
      <c r="H155"/>
      <c r="I155"/>
      <c r="J155"/>
      <c r="K155"/>
      <c r="L155"/>
      <c r="M155"/>
      <c r="N155"/>
      <c r="O155"/>
      <c r="P155"/>
      <c r="Q155"/>
      <c r="R155"/>
      <c r="S155"/>
      <c r="T155"/>
      <c r="U155"/>
      <c r="V155"/>
      <c r="W155"/>
      <c r="X155"/>
      <c r="Y155"/>
      <c r="Z155"/>
      <c r="AA155"/>
      <c r="AB155"/>
      <c r="AC155"/>
      <c r="AD155"/>
      <c r="AE155"/>
      <c r="AF155"/>
      <c r="AG155"/>
      <c r="AH155"/>
      <c r="AI155"/>
    </row>
    <row r="156" spans="1:35" s="33" customFormat="1" ht="15.75">
      <c r="A156" s="178"/>
      <c r="B156" s="166"/>
      <c r="C156" s="125"/>
      <c r="D156" s="125"/>
      <c r="E156" s="32"/>
      <c r="F156"/>
      <c r="G156"/>
      <c r="H156"/>
      <c r="I156"/>
      <c r="J156"/>
      <c r="K156"/>
      <c r="L156"/>
      <c r="M156"/>
      <c r="N156"/>
      <c r="O156"/>
      <c r="P156"/>
      <c r="Q156"/>
      <c r="R156"/>
      <c r="S156"/>
      <c r="T156"/>
      <c r="U156"/>
      <c r="V156"/>
      <c r="W156"/>
      <c r="X156"/>
      <c r="Y156"/>
      <c r="Z156"/>
      <c r="AA156"/>
      <c r="AB156"/>
      <c r="AC156"/>
      <c r="AD156"/>
      <c r="AE156"/>
      <c r="AF156"/>
      <c r="AG156"/>
      <c r="AH156"/>
      <c r="AI156"/>
    </row>
    <row r="157" spans="1:35" s="33" customFormat="1" ht="15.75">
      <c r="A157" s="178"/>
      <c r="B157" s="166"/>
      <c r="C157" s="125"/>
      <c r="D157" s="125"/>
      <c r="E157" s="32"/>
      <c r="F157"/>
      <c r="G157"/>
      <c r="H157"/>
      <c r="I157"/>
      <c r="J157"/>
      <c r="K157"/>
      <c r="L157"/>
      <c r="M157"/>
      <c r="N157"/>
      <c r="O157"/>
      <c r="P157"/>
      <c r="Q157"/>
      <c r="R157"/>
      <c r="S157"/>
      <c r="T157"/>
      <c r="U157"/>
      <c r="V157"/>
      <c r="W157"/>
      <c r="X157"/>
      <c r="Y157"/>
      <c r="Z157"/>
      <c r="AA157"/>
      <c r="AB157"/>
      <c r="AC157"/>
      <c r="AD157"/>
      <c r="AE157"/>
      <c r="AF157"/>
      <c r="AG157"/>
      <c r="AH157"/>
      <c r="AI157"/>
    </row>
    <row r="158" spans="1:35" s="33" customFormat="1" ht="15.75">
      <c r="A158" s="178"/>
      <c r="B158" s="166"/>
      <c r="C158" s="125"/>
      <c r="D158" s="125"/>
      <c r="E158" s="32"/>
      <c r="F158"/>
      <c r="G158"/>
      <c r="H158"/>
      <c r="I158"/>
      <c r="J158"/>
      <c r="K158"/>
      <c r="L158"/>
      <c r="M158"/>
      <c r="N158"/>
      <c r="O158"/>
      <c r="P158"/>
      <c r="Q158"/>
      <c r="R158"/>
      <c r="S158"/>
      <c r="T158"/>
      <c r="U158"/>
      <c r="V158"/>
      <c r="W158"/>
      <c r="X158"/>
      <c r="Y158"/>
      <c r="Z158"/>
      <c r="AA158"/>
      <c r="AB158"/>
      <c r="AC158"/>
      <c r="AD158"/>
      <c r="AE158"/>
      <c r="AF158"/>
      <c r="AG158"/>
      <c r="AH158"/>
      <c r="AI158"/>
    </row>
    <row r="159" spans="1:35" s="33" customFormat="1" ht="15.75">
      <c r="A159" s="178"/>
      <c r="B159" s="166"/>
      <c r="C159" s="125"/>
      <c r="D159" s="125"/>
      <c r="E159" s="32"/>
      <c r="F159"/>
      <c r="G159"/>
      <c r="H159"/>
      <c r="I159"/>
      <c r="J159"/>
      <c r="K159"/>
      <c r="L159"/>
      <c r="M159"/>
      <c r="N159"/>
      <c r="O159"/>
      <c r="P159"/>
      <c r="Q159"/>
      <c r="R159"/>
      <c r="S159"/>
      <c r="T159"/>
      <c r="U159"/>
      <c r="V159"/>
      <c r="W159"/>
      <c r="X159"/>
      <c r="Y159"/>
      <c r="Z159"/>
      <c r="AA159"/>
      <c r="AB159"/>
      <c r="AC159"/>
      <c r="AD159"/>
      <c r="AE159"/>
      <c r="AF159"/>
      <c r="AG159"/>
      <c r="AH159"/>
      <c r="AI159"/>
    </row>
    <row r="160" spans="1:35" s="33" customFormat="1" ht="15.75">
      <c r="A160" s="178"/>
      <c r="B160" s="166"/>
      <c r="C160" s="125"/>
      <c r="D160" s="125"/>
      <c r="E160" s="32"/>
      <c r="F160"/>
      <c r="G160"/>
      <c r="H160"/>
      <c r="I160"/>
      <c r="J160"/>
      <c r="K160"/>
      <c r="L160"/>
      <c r="M160"/>
      <c r="N160"/>
      <c r="O160"/>
      <c r="P160"/>
      <c r="Q160"/>
      <c r="R160"/>
      <c r="S160"/>
      <c r="T160"/>
      <c r="U160"/>
      <c r="V160"/>
      <c r="W160"/>
      <c r="X160"/>
      <c r="Y160"/>
      <c r="Z160"/>
      <c r="AA160"/>
      <c r="AB160"/>
      <c r="AC160"/>
      <c r="AD160"/>
      <c r="AE160"/>
      <c r="AF160"/>
      <c r="AG160"/>
      <c r="AH160"/>
      <c r="AI160"/>
    </row>
    <row r="161" spans="1:35" s="33" customFormat="1" ht="15.75">
      <c r="A161" s="178"/>
      <c r="B161" s="166"/>
      <c r="C161" s="125"/>
      <c r="D161" s="125"/>
      <c r="E161" s="32"/>
      <c r="F161"/>
      <c r="G161"/>
      <c r="H161"/>
      <c r="I161"/>
      <c r="J161"/>
      <c r="K161"/>
      <c r="L161"/>
      <c r="M161"/>
      <c r="N161"/>
      <c r="O161"/>
      <c r="P161"/>
      <c r="Q161"/>
      <c r="R161"/>
      <c r="S161"/>
      <c r="T161"/>
      <c r="U161"/>
      <c r="V161"/>
      <c r="W161"/>
      <c r="X161"/>
      <c r="Y161"/>
      <c r="Z161"/>
      <c r="AA161"/>
      <c r="AB161"/>
      <c r="AC161"/>
      <c r="AD161"/>
      <c r="AE161"/>
      <c r="AF161"/>
      <c r="AG161"/>
      <c r="AH161"/>
      <c r="AI161"/>
    </row>
    <row r="162" spans="1:35" s="33" customFormat="1" ht="15.75">
      <c r="A162" s="178"/>
      <c r="B162" s="166"/>
      <c r="C162" s="125"/>
      <c r="D162" s="125"/>
      <c r="E162" s="32"/>
      <c r="F162"/>
      <c r="G162"/>
      <c r="H162"/>
      <c r="I162"/>
      <c r="J162"/>
      <c r="K162"/>
      <c r="L162"/>
      <c r="M162"/>
      <c r="N162"/>
      <c r="O162"/>
      <c r="P162"/>
      <c r="Q162"/>
      <c r="R162"/>
      <c r="S162"/>
      <c r="T162"/>
      <c r="U162"/>
      <c r="V162"/>
      <c r="W162"/>
      <c r="X162"/>
      <c r="Y162"/>
      <c r="Z162"/>
      <c r="AA162"/>
      <c r="AB162"/>
      <c r="AC162"/>
      <c r="AD162"/>
      <c r="AE162"/>
      <c r="AF162"/>
      <c r="AG162"/>
      <c r="AH162"/>
      <c r="AI162"/>
    </row>
    <row r="163" spans="1:35" s="33" customFormat="1" ht="15.75">
      <c r="A163" s="178"/>
      <c r="B163" s="166"/>
      <c r="C163" s="125"/>
      <c r="D163" s="125"/>
      <c r="E163" s="32"/>
      <c r="F163"/>
      <c r="G163"/>
      <c r="H163"/>
      <c r="I163"/>
      <c r="J163"/>
      <c r="K163"/>
      <c r="L163"/>
      <c r="M163"/>
      <c r="N163"/>
      <c r="O163"/>
      <c r="P163"/>
      <c r="Q163"/>
      <c r="R163"/>
      <c r="S163"/>
      <c r="T163"/>
      <c r="U163"/>
      <c r="V163"/>
      <c r="W163"/>
      <c r="X163"/>
      <c r="Y163"/>
      <c r="Z163"/>
      <c r="AA163"/>
      <c r="AB163"/>
      <c r="AC163"/>
      <c r="AD163"/>
      <c r="AE163"/>
      <c r="AF163"/>
      <c r="AG163"/>
      <c r="AH163"/>
      <c r="AI163"/>
    </row>
    <row r="164" spans="1:35" s="33" customFormat="1" ht="15.75">
      <c r="A164" s="178"/>
      <c r="B164" s="166"/>
      <c r="C164" s="125"/>
      <c r="D164" s="125"/>
      <c r="E164" s="32"/>
      <c r="F164"/>
      <c r="G164"/>
      <c r="H164"/>
      <c r="I164"/>
      <c r="J164"/>
      <c r="K164"/>
      <c r="L164"/>
      <c r="M164"/>
      <c r="N164"/>
      <c r="O164"/>
      <c r="P164"/>
      <c r="Q164"/>
      <c r="R164"/>
      <c r="S164"/>
      <c r="T164"/>
      <c r="U164"/>
      <c r="V164"/>
      <c r="W164"/>
      <c r="X164"/>
      <c r="Y164"/>
      <c r="Z164"/>
      <c r="AA164"/>
      <c r="AB164"/>
      <c r="AC164"/>
      <c r="AD164"/>
      <c r="AE164"/>
      <c r="AF164"/>
      <c r="AG164"/>
      <c r="AH164"/>
      <c r="AI164"/>
    </row>
    <row r="165" spans="1:35" s="33" customFormat="1" ht="15.75">
      <c r="A165" s="178"/>
      <c r="B165" s="166"/>
      <c r="C165" s="125"/>
      <c r="D165" s="125"/>
      <c r="E165" s="32"/>
      <c r="F165"/>
      <c r="G165"/>
      <c r="H165"/>
      <c r="I165"/>
      <c r="J165"/>
      <c r="K165"/>
      <c r="L165"/>
      <c r="M165"/>
      <c r="N165"/>
      <c r="O165"/>
      <c r="P165"/>
      <c r="Q165"/>
      <c r="R165"/>
      <c r="S165"/>
      <c r="T165"/>
      <c r="U165"/>
      <c r="V165"/>
      <c r="W165"/>
      <c r="X165"/>
      <c r="Y165"/>
      <c r="Z165"/>
      <c r="AA165"/>
      <c r="AB165"/>
      <c r="AC165"/>
      <c r="AD165"/>
      <c r="AE165"/>
      <c r="AF165"/>
      <c r="AG165"/>
      <c r="AH165"/>
      <c r="AI165"/>
    </row>
    <row r="166" spans="1:35" s="33" customFormat="1" ht="15.75">
      <c r="A166" s="178"/>
      <c r="B166" s="166"/>
      <c r="C166" s="125"/>
      <c r="D166" s="125"/>
      <c r="E166" s="32"/>
      <c r="F166"/>
      <c r="G166"/>
      <c r="H166"/>
      <c r="I166"/>
      <c r="J166"/>
      <c r="K166"/>
      <c r="L166"/>
      <c r="M166"/>
      <c r="N166"/>
      <c r="O166"/>
      <c r="P166"/>
      <c r="Q166"/>
      <c r="R166"/>
      <c r="S166"/>
      <c r="T166"/>
      <c r="U166"/>
      <c r="V166"/>
      <c r="W166"/>
      <c r="X166"/>
      <c r="Y166"/>
      <c r="Z166"/>
      <c r="AA166"/>
      <c r="AB166"/>
      <c r="AC166"/>
      <c r="AD166"/>
      <c r="AE166"/>
      <c r="AF166"/>
      <c r="AG166"/>
      <c r="AH166"/>
      <c r="AI166"/>
    </row>
    <row r="167" spans="1:35" s="33" customFormat="1" ht="15.75">
      <c r="A167" s="178"/>
      <c r="B167" s="166"/>
      <c r="C167" s="125"/>
      <c r="D167" s="125"/>
      <c r="E167" s="32"/>
      <c r="F167"/>
      <c r="G167"/>
      <c r="H167"/>
      <c r="I167"/>
      <c r="J167"/>
      <c r="K167"/>
      <c r="L167"/>
      <c r="M167"/>
      <c r="N167"/>
      <c r="O167"/>
      <c r="P167"/>
      <c r="Q167"/>
      <c r="R167"/>
      <c r="S167"/>
      <c r="T167"/>
      <c r="U167"/>
      <c r="V167"/>
      <c r="W167"/>
      <c r="X167"/>
      <c r="Y167"/>
      <c r="Z167"/>
      <c r="AA167"/>
      <c r="AB167"/>
      <c r="AC167"/>
      <c r="AD167"/>
      <c r="AE167"/>
      <c r="AF167"/>
      <c r="AG167"/>
      <c r="AH167"/>
      <c r="AI167"/>
    </row>
    <row r="168" spans="1:35" s="33" customFormat="1" ht="15.75">
      <c r="A168" s="178"/>
      <c r="B168" s="166"/>
      <c r="C168" s="125"/>
      <c r="D168" s="125"/>
      <c r="E168" s="32"/>
      <c r="F168"/>
      <c r="G168"/>
      <c r="H168"/>
      <c r="I168"/>
      <c r="J168"/>
      <c r="K168"/>
      <c r="L168"/>
      <c r="M168"/>
      <c r="N168"/>
      <c r="O168"/>
      <c r="P168"/>
      <c r="Q168"/>
      <c r="R168"/>
      <c r="S168"/>
      <c r="T168"/>
      <c r="U168"/>
      <c r="V168"/>
      <c r="W168"/>
      <c r="X168"/>
      <c r="Y168"/>
      <c r="Z168"/>
      <c r="AA168"/>
      <c r="AB168"/>
      <c r="AC168"/>
      <c r="AD168"/>
      <c r="AE168"/>
      <c r="AF168"/>
      <c r="AG168"/>
      <c r="AH168"/>
      <c r="AI168"/>
    </row>
    <row r="169" spans="1:35" s="33" customFormat="1" ht="15.75">
      <c r="A169" s="178"/>
      <c r="B169" s="166"/>
      <c r="C169" s="125"/>
      <c r="D169" s="125"/>
      <c r="E169" s="32"/>
      <c r="F169"/>
      <c r="G169"/>
      <c r="H169"/>
      <c r="I169"/>
      <c r="J169"/>
      <c r="K169"/>
      <c r="L169"/>
      <c r="M169"/>
      <c r="N169"/>
      <c r="O169"/>
      <c r="P169"/>
      <c r="Q169"/>
      <c r="R169"/>
      <c r="S169"/>
      <c r="T169"/>
      <c r="U169"/>
      <c r="V169"/>
      <c r="W169"/>
      <c r="X169"/>
      <c r="Y169"/>
      <c r="Z169"/>
      <c r="AA169"/>
      <c r="AB169"/>
      <c r="AC169"/>
      <c r="AD169"/>
      <c r="AE169"/>
      <c r="AF169"/>
      <c r="AG169"/>
      <c r="AH169"/>
      <c r="AI169"/>
    </row>
    <row r="170" spans="1:35" s="33" customFormat="1" ht="15.75">
      <c r="A170" s="178"/>
      <c r="B170" s="166"/>
      <c r="C170" s="125"/>
      <c r="D170" s="125"/>
      <c r="E170" s="32"/>
      <c r="F170"/>
      <c r="G170"/>
      <c r="H170"/>
      <c r="I170"/>
      <c r="J170"/>
      <c r="K170"/>
      <c r="L170"/>
      <c r="M170"/>
      <c r="N170"/>
      <c r="O170"/>
      <c r="P170"/>
      <c r="Q170"/>
      <c r="R170"/>
      <c r="S170"/>
      <c r="T170"/>
      <c r="U170"/>
      <c r="V170"/>
      <c r="W170"/>
      <c r="X170"/>
      <c r="Y170"/>
      <c r="Z170"/>
      <c r="AA170"/>
      <c r="AB170"/>
      <c r="AC170"/>
      <c r="AD170"/>
      <c r="AE170"/>
      <c r="AF170"/>
      <c r="AG170"/>
      <c r="AH170"/>
      <c r="AI170"/>
    </row>
    <row r="171" spans="1:35" s="33" customFormat="1" ht="15.75">
      <c r="A171" s="178"/>
      <c r="B171" s="166"/>
      <c r="C171" s="125"/>
      <c r="D171" s="125"/>
      <c r="E171" s="32"/>
      <c r="F171"/>
      <c r="G171"/>
      <c r="H171"/>
      <c r="I171"/>
      <c r="J171"/>
      <c r="K171"/>
      <c r="L171"/>
      <c r="M171"/>
      <c r="N171"/>
      <c r="O171"/>
      <c r="P171"/>
      <c r="Q171"/>
      <c r="R171"/>
      <c r="S171"/>
      <c r="T171"/>
      <c r="U171"/>
      <c r="V171"/>
      <c r="W171"/>
      <c r="X171"/>
      <c r="Y171"/>
      <c r="Z171"/>
      <c r="AA171"/>
      <c r="AB171"/>
      <c r="AC171"/>
      <c r="AD171"/>
      <c r="AE171"/>
      <c r="AF171"/>
      <c r="AG171"/>
      <c r="AH171"/>
      <c r="AI171"/>
    </row>
    <row r="172" spans="1:35" s="33" customFormat="1" ht="15.75">
      <c r="A172" s="178"/>
      <c r="B172" s="166"/>
      <c r="C172" s="125"/>
      <c r="D172" s="125"/>
      <c r="E172" s="32"/>
      <c r="F172"/>
      <c r="G172"/>
      <c r="H172"/>
      <c r="I172"/>
      <c r="J172"/>
      <c r="K172"/>
      <c r="L172"/>
      <c r="M172"/>
      <c r="N172"/>
      <c r="O172"/>
      <c r="P172"/>
      <c r="Q172"/>
      <c r="R172"/>
      <c r="S172"/>
      <c r="T172"/>
      <c r="U172"/>
      <c r="V172"/>
      <c r="W172"/>
      <c r="X172"/>
      <c r="Y172"/>
      <c r="Z172"/>
      <c r="AA172"/>
      <c r="AB172"/>
      <c r="AC172"/>
      <c r="AD172"/>
      <c r="AE172"/>
      <c r="AF172"/>
      <c r="AG172"/>
      <c r="AH172"/>
      <c r="AI172"/>
    </row>
    <row r="173" spans="1:35" s="33" customFormat="1" ht="15.75">
      <c r="A173" s="178"/>
      <c r="B173" s="166"/>
      <c r="C173" s="125"/>
      <c r="D173" s="125"/>
      <c r="E173" s="32"/>
      <c r="F173"/>
      <c r="G173"/>
      <c r="H173"/>
      <c r="I173"/>
      <c r="J173"/>
      <c r="K173"/>
      <c r="L173"/>
      <c r="M173"/>
      <c r="N173"/>
      <c r="O173"/>
      <c r="P173"/>
      <c r="Q173"/>
      <c r="R173"/>
      <c r="S173"/>
      <c r="T173"/>
      <c r="U173"/>
      <c r="V173"/>
      <c r="W173"/>
      <c r="X173"/>
      <c r="Y173"/>
      <c r="Z173"/>
      <c r="AA173"/>
      <c r="AB173"/>
      <c r="AC173"/>
      <c r="AD173"/>
      <c r="AE173"/>
      <c r="AF173"/>
      <c r="AG173"/>
      <c r="AH173"/>
      <c r="AI173"/>
    </row>
    <row r="174" spans="1:35" s="33" customFormat="1" ht="15.75">
      <c r="A174" s="178"/>
      <c r="B174" s="166"/>
      <c r="C174" s="125"/>
      <c r="D174" s="125"/>
      <c r="E174" s="32"/>
      <c r="F174"/>
      <c r="G174"/>
      <c r="H174"/>
      <c r="I174"/>
      <c r="J174"/>
      <c r="K174"/>
      <c r="L174"/>
      <c r="M174"/>
      <c r="N174"/>
      <c r="O174"/>
      <c r="P174"/>
      <c r="Q174"/>
      <c r="R174"/>
      <c r="S174"/>
      <c r="T174"/>
      <c r="U174"/>
      <c r="V174"/>
      <c r="W174"/>
      <c r="X174"/>
      <c r="Y174"/>
      <c r="Z174"/>
      <c r="AA174"/>
      <c r="AB174"/>
      <c r="AC174"/>
      <c r="AD174"/>
      <c r="AE174"/>
      <c r="AF174"/>
      <c r="AG174"/>
      <c r="AH174"/>
      <c r="AI174"/>
    </row>
    <row r="175" spans="1:35" s="33" customFormat="1" ht="15.75">
      <c r="A175" s="178"/>
      <c r="B175" s="166"/>
      <c r="C175" s="125"/>
      <c r="D175" s="125"/>
      <c r="E175" s="32"/>
      <c r="F175"/>
      <c r="G175"/>
      <c r="H175"/>
      <c r="I175"/>
      <c r="J175"/>
      <c r="K175"/>
      <c r="L175"/>
      <c r="M175"/>
      <c r="N175"/>
      <c r="O175"/>
      <c r="P175"/>
      <c r="Q175"/>
      <c r="R175"/>
      <c r="S175"/>
      <c r="T175"/>
      <c r="U175"/>
      <c r="V175"/>
      <c r="W175"/>
      <c r="X175"/>
      <c r="Y175"/>
      <c r="Z175"/>
      <c r="AA175"/>
      <c r="AB175"/>
      <c r="AC175"/>
      <c r="AD175"/>
      <c r="AE175"/>
      <c r="AF175"/>
      <c r="AG175"/>
      <c r="AH175"/>
      <c r="AI175"/>
    </row>
    <row r="176" spans="1:35" s="33" customFormat="1" ht="15.75">
      <c r="A176" s="178"/>
      <c r="B176" s="166"/>
      <c r="C176" s="125"/>
      <c r="D176" s="125"/>
      <c r="E176" s="32"/>
      <c r="F176"/>
      <c r="G176"/>
      <c r="H176"/>
      <c r="I176"/>
      <c r="J176"/>
      <c r="K176"/>
      <c r="L176"/>
      <c r="M176"/>
      <c r="N176"/>
      <c r="O176"/>
      <c r="P176"/>
      <c r="Q176"/>
      <c r="R176"/>
      <c r="S176"/>
      <c r="T176"/>
      <c r="U176"/>
      <c r="V176"/>
      <c r="W176"/>
      <c r="X176"/>
      <c r="Y176"/>
      <c r="Z176"/>
      <c r="AA176"/>
      <c r="AB176"/>
      <c r="AC176"/>
      <c r="AD176"/>
      <c r="AE176"/>
      <c r="AF176"/>
      <c r="AG176"/>
      <c r="AH176"/>
      <c r="AI176"/>
    </row>
    <row r="177" spans="1:35" s="33" customFormat="1" ht="15.75">
      <c r="A177" s="178"/>
      <c r="B177" s="166"/>
      <c r="C177" s="125"/>
      <c r="D177" s="125"/>
      <c r="E177" s="32"/>
      <c r="F177"/>
      <c r="G177"/>
      <c r="H177"/>
      <c r="I177"/>
      <c r="J177"/>
      <c r="K177"/>
      <c r="L177"/>
      <c r="M177"/>
      <c r="N177"/>
      <c r="O177"/>
      <c r="P177"/>
      <c r="Q177"/>
      <c r="R177"/>
      <c r="S177"/>
      <c r="T177"/>
      <c r="U177"/>
      <c r="V177"/>
      <c r="W177"/>
      <c r="X177"/>
      <c r="Y177"/>
      <c r="Z177"/>
      <c r="AA177"/>
      <c r="AB177"/>
      <c r="AC177"/>
      <c r="AD177"/>
      <c r="AE177"/>
      <c r="AF177"/>
      <c r="AG177"/>
      <c r="AH177"/>
      <c r="AI177"/>
    </row>
    <row r="178" spans="1:35" s="33" customFormat="1" ht="15.75">
      <c r="A178" s="178"/>
      <c r="B178" s="166"/>
      <c r="C178" s="125"/>
      <c r="D178" s="125"/>
      <c r="E178" s="32"/>
      <c r="F178"/>
      <c r="G178"/>
      <c r="H178"/>
      <c r="I178"/>
      <c r="J178"/>
      <c r="K178"/>
      <c r="L178"/>
      <c r="M178"/>
      <c r="N178"/>
      <c r="O178"/>
      <c r="P178"/>
      <c r="Q178"/>
      <c r="R178"/>
      <c r="S178"/>
      <c r="T178"/>
      <c r="U178"/>
      <c r="V178"/>
      <c r="W178"/>
      <c r="X178"/>
      <c r="Y178"/>
      <c r="Z178"/>
      <c r="AA178"/>
      <c r="AB178"/>
      <c r="AC178"/>
      <c r="AD178"/>
      <c r="AE178"/>
      <c r="AF178"/>
      <c r="AG178"/>
      <c r="AH178"/>
      <c r="AI178"/>
    </row>
    <row r="179" spans="1:35" s="33" customFormat="1" ht="15.75">
      <c r="A179" s="178"/>
      <c r="B179" s="166"/>
      <c r="C179" s="125"/>
      <c r="D179" s="125"/>
      <c r="E179" s="32"/>
      <c r="F179"/>
      <c r="G179"/>
      <c r="H179"/>
      <c r="I179"/>
      <c r="J179"/>
      <c r="K179"/>
      <c r="L179"/>
      <c r="M179"/>
      <c r="N179"/>
      <c r="O179"/>
      <c r="P179"/>
      <c r="Q179"/>
      <c r="R179"/>
      <c r="S179"/>
      <c r="T179"/>
      <c r="U179"/>
      <c r="V179"/>
      <c r="W179"/>
      <c r="X179"/>
      <c r="Y179"/>
      <c r="Z179"/>
      <c r="AA179"/>
      <c r="AB179"/>
      <c r="AC179"/>
      <c r="AD179"/>
      <c r="AE179"/>
      <c r="AF179"/>
      <c r="AG179"/>
      <c r="AH179"/>
      <c r="AI179"/>
    </row>
    <row r="180" spans="1:35" s="33" customFormat="1" ht="15.75">
      <c r="A180" s="178"/>
      <c r="B180" s="166"/>
      <c r="C180" s="125"/>
      <c r="D180" s="125"/>
      <c r="E180" s="32"/>
      <c r="F180"/>
      <c r="G180"/>
      <c r="H180"/>
      <c r="I180"/>
      <c r="J180"/>
      <c r="K180"/>
      <c r="L180"/>
      <c r="M180"/>
      <c r="N180"/>
      <c r="O180"/>
      <c r="P180"/>
      <c r="Q180"/>
      <c r="R180"/>
      <c r="S180"/>
      <c r="T180"/>
      <c r="U180"/>
      <c r="V180"/>
      <c r="W180"/>
      <c r="X180"/>
      <c r="Y180"/>
      <c r="Z180"/>
      <c r="AA180"/>
      <c r="AB180"/>
      <c r="AC180"/>
      <c r="AD180"/>
      <c r="AE180"/>
      <c r="AF180"/>
      <c r="AG180"/>
      <c r="AH180"/>
      <c r="AI180"/>
    </row>
    <row r="181" spans="1:35" s="33" customFormat="1" ht="15.75">
      <c r="A181" s="178"/>
      <c r="B181" s="166"/>
      <c r="C181" s="125"/>
      <c r="D181" s="125"/>
      <c r="E181" s="32"/>
      <c r="F181"/>
      <c r="G181"/>
      <c r="H181"/>
      <c r="I181"/>
      <c r="J181"/>
      <c r="K181"/>
      <c r="L181"/>
      <c r="M181"/>
      <c r="N181"/>
      <c r="O181"/>
      <c r="P181"/>
      <c r="Q181"/>
      <c r="R181"/>
      <c r="S181"/>
      <c r="T181"/>
      <c r="U181"/>
      <c r="V181"/>
      <c r="W181"/>
      <c r="X181"/>
      <c r="Y181"/>
      <c r="Z181"/>
      <c r="AA181"/>
      <c r="AB181"/>
      <c r="AC181"/>
      <c r="AD181"/>
      <c r="AE181"/>
      <c r="AF181"/>
      <c r="AG181"/>
      <c r="AH181"/>
      <c r="AI181"/>
    </row>
    <row r="182" spans="1:35" s="33" customFormat="1" ht="15.75">
      <c r="A182" s="178"/>
      <c r="B182" s="166"/>
      <c r="C182" s="125"/>
      <c r="D182" s="125"/>
      <c r="E182" s="32"/>
      <c r="F182"/>
      <c r="G182"/>
      <c r="H182"/>
      <c r="I182"/>
      <c r="J182"/>
      <c r="K182"/>
      <c r="L182"/>
      <c r="M182"/>
      <c r="N182"/>
      <c r="O182"/>
      <c r="P182"/>
      <c r="Q182"/>
      <c r="R182"/>
      <c r="S182"/>
      <c r="T182"/>
      <c r="U182"/>
      <c r="V182"/>
      <c r="W182"/>
      <c r="X182"/>
      <c r="Y182"/>
      <c r="Z182"/>
      <c r="AA182"/>
      <c r="AB182"/>
      <c r="AC182"/>
      <c r="AD182"/>
      <c r="AE182"/>
      <c r="AF182"/>
      <c r="AG182"/>
      <c r="AH182"/>
      <c r="AI182"/>
    </row>
    <row r="183" spans="1:35" s="33" customFormat="1" ht="15.75">
      <c r="A183" s="178"/>
      <c r="B183" s="166"/>
      <c r="C183" s="125"/>
      <c r="D183" s="125"/>
      <c r="E183" s="32"/>
      <c r="F183"/>
      <c r="G183"/>
      <c r="H183"/>
      <c r="I183"/>
      <c r="J183"/>
      <c r="K183"/>
      <c r="L183"/>
      <c r="M183"/>
      <c r="N183"/>
      <c r="O183"/>
      <c r="P183"/>
      <c r="Q183"/>
      <c r="R183"/>
      <c r="S183"/>
      <c r="T183"/>
      <c r="U183"/>
      <c r="V183"/>
      <c r="W183"/>
      <c r="X183"/>
      <c r="Y183"/>
      <c r="Z183"/>
      <c r="AA183"/>
      <c r="AB183"/>
      <c r="AC183"/>
      <c r="AD183"/>
      <c r="AE183"/>
      <c r="AF183"/>
      <c r="AG183"/>
      <c r="AH183"/>
      <c r="AI183"/>
    </row>
    <row r="184" spans="1:35" s="33" customFormat="1" ht="15.75">
      <c r="A184" s="178"/>
      <c r="B184" s="166"/>
      <c r="C184" s="125"/>
      <c r="D184" s="125"/>
      <c r="E184" s="32"/>
      <c r="F184"/>
      <c r="G184"/>
      <c r="H184"/>
      <c r="I184"/>
      <c r="J184"/>
      <c r="K184"/>
      <c r="L184"/>
      <c r="M184"/>
      <c r="N184"/>
      <c r="O184"/>
      <c r="P184"/>
      <c r="Q184"/>
      <c r="R184"/>
      <c r="S184"/>
      <c r="T184"/>
      <c r="U184"/>
      <c r="V184"/>
      <c r="W184"/>
      <c r="X184"/>
      <c r="Y184"/>
      <c r="Z184"/>
      <c r="AA184"/>
      <c r="AB184"/>
      <c r="AC184"/>
      <c r="AD184"/>
      <c r="AE184"/>
      <c r="AF184"/>
      <c r="AG184"/>
      <c r="AH184"/>
      <c r="AI184"/>
    </row>
    <row r="185" spans="1:35" s="33" customFormat="1" ht="15.75">
      <c r="A185" s="178"/>
      <c r="B185" s="166"/>
      <c r="C185" s="125"/>
      <c r="D185" s="125"/>
      <c r="E185" s="32"/>
      <c r="F185"/>
      <c r="G185"/>
      <c r="H185"/>
      <c r="I185"/>
      <c r="J185"/>
      <c r="K185"/>
      <c r="L185"/>
      <c r="M185"/>
      <c r="N185"/>
      <c r="O185"/>
      <c r="P185"/>
      <c r="Q185"/>
      <c r="R185"/>
      <c r="S185"/>
      <c r="T185"/>
      <c r="U185"/>
      <c r="V185"/>
      <c r="W185"/>
      <c r="X185"/>
      <c r="Y185"/>
      <c r="Z185"/>
      <c r="AA185"/>
      <c r="AB185"/>
      <c r="AC185"/>
      <c r="AD185"/>
      <c r="AE185"/>
      <c r="AF185"/>
      <c r="AG185"/>
      <c r="AH185"/>
      <c r="AI185"/>
    </row>
    <row r="186" spans="1:35" s="33" customFormat="1" ht="15.75">
      <c r="A186" s="178"/>
      <c r="B186" s="166"/>
      <c r="C186" s="125"/>
      <c r="D186" s="125"/>
      <c r="E186" s="32"/>
      <c r="F186"/>
      <c r="G186"/>
      <c r="H186"/>
      <c r="I186"/>
      <c r="J186"/>
      <c r="K186"/>
      <c r="L186"/>
      <c r="M186"/>
      <c r="N186"/>
      <c r="O186"/>
      <c r="P186"/>
      <c r="Q186"/>
      <c r="R186"/>
      <c r="S186"/>
      <c r="T186"/>
      <c r="U186"/>
      <c r="V186"/>
      <c r="W186"/>
      <c r="X186"/>
      <c r="Y186"/>
      <c r="Z186"/>
      <c r="AA186"/>
      <c r="AB186"/>
      <c r="AC186"/>
      <c r="AD186"/>
      <c r="AE186"/>
      <c r="AF186"/>
      <c r="AG186"/>
      <c r="AH186"/>
      <c r="AI186"/>
    </row>
    <row r="187" spans="1:35" s="33" customFormat="1" ht="15.75">
      <c r="A187" s="178"/>
      <c r="B187" s="166"/>
      <c r="C187" s="125"/>
      <c r="D187" s="125"/>
      <c r="E187" s="32"/>
      <c r="F187"/>
      <c r="G187"/>
      <c r="H187"/>
      <c r="I187"/>
      <c r="J187"/>
      <c r="K187"/>
      <c r="L187"/>
      <c r="M187"/>
      <c r="N187"/>
      <c r="O187"/>
      <c r="P187"/>
      <c r="Q187"/>
      <c r="R187"/>
      <c r="S187"/>
      <c r="T187"/>
      <c r="U187"/>
      <c r="V187"/>
      <c r="W187"/>
      <c r="X187"/>
      <c r="Y187"/>
      <c r="Z187"/>
      <c r="AA187"/>
      <c r="AB187"/>
      <c r="AC187"/>
      <c r="AD187"/>
      <c r="AE187"/>
      <c r="AF187"/>
      <c r="AG187"/>
      <c r="AH187"/>
      <c r="AI187"/>
    </row>
    <row r="188" spans="1:35" s="33" customFormat="1" ht="15.75">
      <c r="A188" s="178"/>
      <c r="B188" s="166"/>
      <c r="C188" s="125"/>
      <c r="D188" s="125"/>
      <c r="E188" s="32"/>
      <c r="F188"/>
      <c r="G188"/>
      <c r="H188"/>
      <c r="I188"/>
      <c r="J188"/>
      <c r="K188"/>
      <c r="L188"/>
      <c r="M188"/>
      <c r="N188"/>
      <c r="O188"/>
      <c r="P188"/>
      <c r="Q188"/>
      <c r="R188"/>
      <c r="S188"/>
      <c r="T188"/>
      <c r="U188"/>
      <c r="V188"/>
      <c r="W188"/>
      <c r="X188"/>
      <c r="Y188"/>
      <c r="Z188"/>
      <c r="AA188"/>
      <c r="AB188"/>
      <c r="AC188"/>
      <c r="AD188"/>
      <c r="AE188"/>
      <c r="AF188"/>
      <c r="AG188"/>
      <c r="AH188"/>
      <c r="AI188"/>
    </row>
    <row r="189" spans="1:35" s="33" customFormat="1" ht="15.75">
      <c r="A189" s="178"/>
      <c r="B189" s="166"/>
      <c r="C189" s="125"/>
      <c r="D189" s="125"/>
      <c r="E189" s="32"/>
      <c r="F189"/>
      <c r="G189"/>
      <c r="H189"/>
      <c r="I189"/>
      <c r="J189"/>
      <c r="K189"/>
      <c r="L189"/>
      <c r="M189"/>
      <c r="N189"/>
      <c r="O189"/>
      <c r="P189"/>
      <c r="Q189"/>
      <c r="R189"/>
      <c r="S189"/>
      <c r="T189"/>
      <c r="U189"/>
      <c r="V189"/>
      <c r="W189"/>
      <c r="X189"/>
      <c r="Y189"/>
      <c r="Z189"/>
      <c r="AA189"/>
      <c r="AB189"/>
      <c r="AC189"/>
      <c r="AD189"/>
      <c r="AE189"/>
      <c r="AF189"/>
      <c r="AG189"/>
      <c r="AH189"/>
      <c r="AI189"/>
    </row>
    <row r="190" spans="1:35" s="33" customFormat="1" ht="15.75">
      <c r="A190" s="178"/>
      <c r="B190" s="166"/>
      <c r="C190" s="125"/>
      <c r="D190" s="125"/>
      <c r="E190" s="32"/>
      <c r="F190"/>
      <c r="G190"/>
      <c r="H190"/>
      <c r="I190"/>
      <c r="J190"/>
      <c r="K190"/>
      <c r="L190"/>
      <c r="M190"/>
      <c r="N190"/>
      <c r="O190"/>
      <c r="P190"/>
      <c r="Q190"/>
      <c r="R190"/>
      <c r="S190"/>
      <c r="T190"/>
      <c r="U190"/>
      <c r="V190"/>
      <c r="W190"/>
      <c r="X190"/>
      <c r="Y190"/>
      <c r="Z190"/>
      <c r="AA190"/>
      <c r="AB190"/>
      <c r="AC190"/>
      <c r="AD190"/>
      <c r="AE190"/>
      <c r="AF190"/>
      <c r="AG190"/>
      <c r="AH190"/>
      <c r="AI190"/>
    </row>
    <row r="191" spans="1:35" s="33" customFormat="1" ht="15.75">
      <c r="A191" s="178"/>
      <c r="B191" s="166"/>
      <c r="C191" s="125"/>
      <c r="D191" s="125"/>
      <c r="E191" s="32"/>
      <c r="F191"/>
      <c r="G191"/>
      <c r="H191"/>
      <c r="I191"/>
      <c r="J191"/>
      <c r="K191"/>
      <c r="L191"/>
      <c r="M191"/>
      <c r="N191"/>
      <c r="O191"/>
      <c r="P191"/>
      <c r="Q191"/>
      <c r="R191"/>
      <c r="S191"/>
      <c r="T191"/>
      <c r="U191"/>
      <c r="V191"/>
      <c r="W191"/>
      <c r="X191"/>
      <c r="Y191"/>
      <c r="Z191"/>
      <c r="AA191"/>
      <c r="AB191"/>
      <c r="AC191"/>
      <c r="AD191"/>
      <c r="AE191"/>
      <c r="AF191"/>
      <c r="AG191"/>
      <c r="AH191"/>
      <c r="AI191"/>
    </row>
    <row r="192" spans="1:35" s="33" customFormat="1" ht="15.75">
      <c r="A192" s="178"/>
      <c r="B192" s="166"/>
      <c r="C192" s="125"/>
      <c r="D192" s="125"/>
      <c r="E192" s="32"/>
      <c r="F192"/>
      <c r="G192"/>
      <c r="H192"/>
      <c r="I192"/>
      <c r="J192"/>
      <c r="K192"/>
      <c r="L192"/>
      <c r="M192"/>
      <c r="N192"/>
      <c r="O192"/>
      <c r="P192"/>
      <c r="Q192"/>
      <c r="R192"/>
      <c r="S192"/>
      <c r="T192"/>
      <c r="U192"/>
      <c r="V192"/>
      <c r="W192"/>
      <c r="X192"/>
      <c r="Y192"/>
      <c r="Z192"/>
      <c r="AA192"/>
      <c r="AB192"/>
      <c r="AC192"/>
      <c r="AD192"/>
      <c r="AE192"/>
      <c r="AF192"/>
      <c r="AG192"/>
      <c r="AH192"/>
      <c r="AI192"/>
    </row>
    <row r="193" spans="1:35" s="33" customFormat="1" ht="15.75">
      <c r="A193" s="178"/>
      <c r="B193" s="166"/>
      <c r="C193" s="125"/>
      <c r="D193" s="125"/>
      <c r="E193" s="32"/>
      <c r="F193"/>
      <c r="G193"/>
      <c r="H193"/>
      <c r="I193"/>
      <c r="J193"/>
      <c r="K193"/>
      <c r="L193"/>
      <c r="M193"/>
      <c r="N193"/>
      <c r="O193"/>
      <c r="P193"/>
      <c r="Q193"/>
      <c r="R193"/>
      <c r="S193"/>
      <c r="T193"/>
      <c r="U193"/>
      <c r="V193"/>
      <c r="W193"/>
      <c r="X193"/>
      <c r="Y193"/>
      <c r="Z193"/>
      <c r="AA193"/>
      <c r="AB193"/>
      <c r="AC193"/>
      <c r="AD193"/>
      <c r="AE193"/>
      <c r="AF193"/>
      <c r="AG193"/>
      <c r="AH193"/>
      <c r="AI193"/>
    </row>
    <row r="194" spans="1:35" s="33" customFormat="1" ht="15.75">
      <c r="A194" s="178"/>
      <c r="B194" s="166"/>
      <c r="C194" s="125"/>
      <c r="D194" s="125"/>
      <c r="E194" s="32"/>
      <c r="F194"/>
      <c r="G194"/>
      <c r="H194"/>
      <c r="I194"/>
      <c r="J194"/>
      <c r="K194"/>
      <c r="L194"/>
      <c r="M194"/>
      <c r="N194"/>
      <c r="O194"/>
      <c r="P194"/>
      <c r="Q194"/>
      <c r="R194"/>
      <c r="S194"/>
      <c r="T194"/>
      <c r="U194"/>
      <c r="V194"/>
      <c r="W194"/>
      <c r="X194"/>
      <c r="Y194"/>
      <c r="Z194"/>
      <c r="AA194"/>
      <c r="AB194"/>
      <c r="AC194"/>
      <c r="AD194"/>
      <c r="AE194"/>
      <c r="AF194"/>
      <c r="AG194"/>
      <c r="AH194"/>
      <c r="AI194"/>
    </row>
    <row r="195" spans="1:35" s="33" customFormat="1" ht="15.75">
      <c r="A195" s="178"/>
      <c r="B195" s="166"/>
      <c r="C195" s="125"/>
      <c r="D195" s="125"/>
      <c r="E195" s="32"/>
      <c r="F195"/>
      <c r="G195"/>
      <c r="H195"/>
      <c r="I195"/>
      <c r="J195"/>
      <c r="K195"/>
      <c r="L195"/>
      <c r="M195"/>
      <c r="N195"/>
      <c r="O195"/>
      <c r="P195"/>
      <c r="Q195"/>
      <c r="R195"/>
      <c r="S195"/>
      <c r="T195"/>
      <c r="U195"/>
      <c r="V195"/>
      <c r="W195"/>
      <c r="X195"/>
      <c r="Y195"/>
      <c r="Z195"/>
      <c r="AA195"/>
      <c r="AB195"/>
      <c r="AC195"/>
      <c r="AD195"/>
      <c r="AE195"/>
      <c r="AF195"/>
      <c r="AG195"/>
      <c r="AH195"/>
      <c r="AI195"/>
    </row>
    <row r="196" spans="1:35" s="33" customFormat="1" ht="15.75">
      <c r="A196" s="178"/>
      <c r="B196" s="166"/>
      <c r="C196" s="125"/>
      <c r="D196" s="125"/>
      <c r="E196" s="32"/>
      <c r="F196"/>
      <c r="G196"/>
      <c r="H196"/>
      <c r="I196"/>
      <c r="J196"/>
      <c r="K196"/>
      <c r="L196"/>
      <c r="M196"/>
      <c r="N196"/>
      <c r="O196"/>
      <c r="P196"/>
      <c r="Q196"/>
      <c r="R196"/>
      <c r="S196"/>
      <c r="T196"/>
      <c r="U196"/>
      <c r="V196"/>
      <c r="W196"/>
      <c r="X196"/>
      <c r="Y196"/>
      <c r="Z196"/>
      <c r="AA196"/>
      <c r="AB196"/>
      <c r="AC196"/>
      <c r="AD196"/>
      <c r="AE196"/>
      <c r="AF196"/>
      <c r="AG196"/>
      <c r="AH196"/>
      <c r="AI196"/>
    </row>
    <row r="197" spans="1:35" s="33" customFormat="1" ht="15.75">
      <c r="A197" s="178"/>
      <c r="B197" s="166"/>
      <c r="C197" s="125"/>
      <c r="D197" s="125"/>
      <c r="E197" s="32"/>
      <c r="F197"/>
      <c r="G197"/>
      <c r="H197"/>
      <c r="I197"/>
      <c r="J197"/>
      <c r="K197"/>
      <c r="L197"/>
      <c r="M197"/>
      <c r="N197"/>
      <c r="O197"/>
      <c r="P197"/>
      <c r="Q197"/>
      <c r="R197"/>
      <c r="S197"/>
      <c r="T197"/>
      <c r="U197"/>
      <c r="V197"/>
      <c r="W197"/>
      <c r="X197"/>
      <c r="Y197"/>
      <c r="Z197"/>
      <c r="AA197"/>
      <c r="AB197"/>
      <c r="AC197"/>
      <c r="AD197"/>
      <c r="AE197"/>
      <c r="AF197"/>
      <c r="AG197"/>
      <c r="AH197"/>
      <c r="AI197"/>
    </row>
    <row r="198" spans="1:35" s="33" customFormat="1" ht="15.75">
      <c r="A198" s="178"/>
      <c r="B198" s="166"/>
      <c r="C198" s="125"/>
      <c r="D198" s="125"/>
      <c r="E198" s="32"/>
      <c r="F198"/>
      <c r="G198"/>
      <c r="H198"/>
      <c r="I198"/>
      <c r="J198"/>
      <c r="K198"/>
      <c r="L198"/>
      <c r="M198"/>
      <c r="N198"/>
      <c r="O198"/>
      <c r="P198"/>
      <c r="Q198"/>
      <c r="R198"/>
      <c r="S198"/>
      <c r="T198"/>
      <c r="U198"/>
      <c r="V198"/>
      <c r="W198"/>
      <c r="X198"/>
      <c r="Y198"/>
      <c r="Z198"/>
      <c r="AA198"/>
      <c r="AB198"/>
      <c r="AC198"/>
      <c r="AD198"/>
      <c r="AE198"/>
      <c r="AF198"/>
      <c r="AG198"/>
      <c r="AH198"/>
      <c r="AI198"/>
    </row>
    <row r="199" spans="1:35" s="33" customFormat="1" ht="15.75">
      <c r="A199" s="178"/>
      <c r="B199" s="166"/>
      <c r="C199" s="125"/>
      <c r="D199" s="125"/>
      <c r="E199" s="32"/>
      <c r="F199"/>
      <c r="G199"/>
      <c r="H199"/>
      <c r="I199"/>
      <c r="J199"/>
      <c r="K199"/>
      <c r="L199"/>
      <c r="M199"/>
      <c r="N199"/>
      <c r="O199"/>
      <c r="P199"/>
      <c r="Q199"/>
      <c r="R199"/>
      <c r="S199"/>
      <c r="T199"/>
      <c r="U199"/>
      <c r="V199"/>
      <c r="W199"/>
      <c r="X199"/>
      <c r="Y199"/>
      <c r="Z199"/>
      <c r="AA199"/>
      <c r="AB199"/>
      <c r="AC199"/>
      <c r="AD199"/>
      <c r="AE199"/>
      <c r="AF199"/>
      <c r="AG199"/>
      <c r="AH199"/>
      <c r="AI199"/>
    </row>
    <row r="200" spans="1:35" s="33" customFormat="1" ht="15.75">
      <c r="A200" s="178"/>
      <c r="B200" s="166"/>
      <c r="C200" s="125"/>
      <c r="D200" s="125"/>
      <c r="E200" s="32"/>
      <c r="F200"/>
      <c r="G200"/>
      <c r="H200"/>
      <c r="I200"/>
      <c r="J200"/>
      <c r="K200"/>
      <c r="L200"/>
      <c r="M200"/>
      <c r="N200"/>
      <c r="O200"/>
      <c r="P200"/>
      <c r="Q200"/>
      <c r="R200"/>
      <c r="S200"/>
      <c r="T200"/>
      <c r="U200"/>
      <c r="V200"/>
      <c r="W200"/>
      <c r="X200"/>
      <c r="Y200"/>
      <c r="Z200"/>
      <c r="AA200"/>
      <c r="AB200"/>
      <c r="AC200"/>
      <c r="AD200"/>
      <c r="AE200"/>
      <c r="AF200"/>
      <c r="AG200"/>
      <c r="AH200"/>
      <c r="AI200"/>
    </row>
    <row r="201" spans="1:35" s="33" customFormat="1" ht="15.75">
      <c r="A201" s="178"/>
      <c r="B201" s="166"/>
      <c r="C201" s="125"/>
      <c r="D201" s="125"/>
      <c r="E201" s="32"/>
      <c r="F201"/>
      <c r="G201"/>
      <c r="H201"/>
      <c r="I201"/>
      <c r="J201"/>
      <c r="K201"/>
      <c r="L201"/>
      <c r="M201"/>
      <c r="N201"/>
      <c r="O201"/>
      <c r="P201"/>
      <c r="Q201"/>
      <c r="R201"/>
      <c r="S201"/>
      <c r="T201"/>
      <c r="U201"/>
      <c r="V201"/>
      <c r="W201"/>
      <c r="X201"/>
      <c r="Y201"/>
      <c r="Z201"/>
      <c r="AA201"/>
      <c r="AB201"/>
      <c r="AC201"/>
      <c r="AD201"/>
      <c r="AE201"/>
      <c r="AF201"/>
      <c r="AG201"/>
      <c r="AH201"/>
      <c r="AI201"/>
    </row>
    <row r="202" spans="1:35" s="33" customFormat="1" ht="15.75">
      <c r="A202" s="178"/>
      <c r="B202" s="166"/>
      <c r="C202" s="125"/>
      <c r="D202" s="125"/>
      <c r="E202" s="32"/>
      <c r="F202"/>
      <c r="G202"/>
      <c r="H202"/>
      <c r="I202"/>
      <c r="J202"/>
      <c r="K202"/>
      <c r="L202"/>
      <c r="M202"/>
      <c r="N202"/>
      <c r="O202"/>
      <c r="P202"/>
      <c r="Q202"/>
      <c r="R202"/>
      <c r="S202"/>
      <c r="T202"/>
      <c r="U202"/>
      <c r="V202"/>
      <c r="W202"/>
      <c r="X202"/>
      <c r="Y202"/>
      <c r="Z202"/>
      <c r="AA202"/>
      <c r="AB202"/>
      <c r="AC202"/>
      <c r="AD202"/>
      <c r="AE202"/>
      <c r="AF202"/>
      <c r="AG202"/>
      <c r="AH202"/>
      <c r="AI202"/>
    </row>
    <row r="203" spans="1:35" s="33" customFormat="1" ht="15.75">
      <c r="A203" s="178"/>
      <c r="B203" s="166"/>
      <c r="C203" s="125"/>
      <c r="D203" s="125"/>
      <c r="E203" s="32"/>
      <c r="F203"/>
      <c r="G203"/>
      <c r="H203"/>
      <c r="I203"/>
      <c r="J203"/>
      <c r="K203"/>
      <c r="L203"/>
      <c r="M203"/>
      <c r="N203"/>
      <c r="O203"/>
      <c r="P203"/>
      <c r="Q203"/>
      <c r="R203"/>
      <c r="S203"/>
      <c r="T203"/>
      <c r="U203"/>
      <c r="V203"/>
      <c r="W203"/>
      <c r="X203"/>
      <c r="Y203"/>
      <c r="Z203"/>
      <c r="AA203"/>
      <c r="AB203"/>
      <c r="AC203"/>
      <c r="AD203"/>
      <c r="AE203"/>
      <c r="AF203"/>
      <c r="AG203"/>
      <c r="AH203"/>
      <c r="AI203"/>
    </row>
    <row r="204" spans="1:35" s="33" customFormat="1" ht="15.75">
      <c r="A204" s="178"/>
      <c r="B204" s="166"/>
      <c r="C204" s="125"/>
      <c r="D204" s="125"/>
      <c r="E204" s="32"/>
      <c r="F204"/>
      <c r="G204"/>
      <c r="H204"/>
      <c r="I204"/>
      <c r="J204"/>
      <c r="K204"/>
      <c r="L204"/>
      <c r="M204"/>
      <c r="N204"/>
      <c r="O204"/>
      <c r="P204"/>
      <c r="Q204"/>
      <c r="R204"/>
      <c r="S204"/>
      <c r="T204"/>
      <c r="U204"/>
      <c r="V204"/>
      <c r="W204"/>
      <c r="X204"/>
      <c r="Y204"/>
      <c r="Z204"/>
      <c r="AA204"/>
      <c r="AB204"/>
      <c r="AC204"/>
      <c r="AD204"/>
      <c r="AE204"/>
      <c r="AF204"/>
      <c r="AG204"/>
      <c r="AH204"/>
      <c r="AI204"/>
    </row>
    <row r="205" spans="1:35" s="33" customFormat="1" ht="15.75">
      <c r="A205" s="178"/>
      <c r="B205" s="166"/>
      <c r="C205" s="125"/>
      <c r="D205" s="125"/>
      <c r="E205" s="32"/>
      <c r="F205"/>
      <c r="G205"/>
      <c r="H205"/>
      <c r="I205"/>
      <c r="J205"/>
      <c r="K205"/>
      <c r="L205"/>
      <c r="M205"/>
      <c r="N205"/>
      <c r="O205"/>
      <c r="P205"/>
      <c r="Q205"/>
      <c r="R205"/>
      <c r="S205"/>
      <c r="T205"/>
      <c r="U205"/>
      <c r="V205"/>
      <c r="W205"/>
      <c r="X205"/>
      <c r="Y205"/>
      <c r="Z205"/>
      <c r="AA205"/>
      <c r="AB205"/>
      <c r="AC205"/>
      <c r="AD205"/>
      <c r="AE205"/>
      <c r="AF205"/>
      <c r="AG205"/>
      <c r="AH205"/>
      <c r="AI205"/>
    </row>
    <row r="206" spans="1:35" s="33" customFormat="1" ht="15.75">
      <c r="A206" s="178"/>
      <c r="B206" s="166"/>
      <c r="C206" s="125"/>
      <c r="D206" s="125"/>
      <c r="E206" s="32"/>
      <c r="F206"/>
      <c r="G206"/>
      <c r="H206"/>
      <c r="I206"/>
      <c r="J206"/>
      <c r="K206"/>
      <c r="L206"/>
      <c r="M206"/>
      <c r="N206"/>
      <c r="O206"/>
      <c r="P206"/>
      <c r="Q206"/>
      <c r="R206"/>
      <c r="S206"/>
      <c r="T206"/>
      <c r="U206"/>
      <c r="V206"/>
      <c r="W206"/>
      <c r="X206"/>
      <c r="Y206"/>
      <c r="Z206"/>
      <c r="AA206"/>
      <c r="AB206"/>
      <c r="AC206"/>
      <c r="AD206"/>
      <c r="AE206"/>
      <c r="AF206"/>
      <c r="AG206"/>
      <c r="AH206"/>
      <c r="AI206"/>
    </row>
    <row r="207" spans="1:35" s="33" customFormat="1" ht="15.75">
      <c r="A207" s="178"/>
      <c r="B207" s="166"/>
      <c r="C207" s="125"/>
      <c r="D207" s="125"/>
      <c r="E207" s="32"/>
      <c r="F207"/>
      <c r="G207"/>
      <c r="H207"/>
      <c r="I207"/>
      <c r="J207"/>
      <c r="K207"/>
      <c r="L207"/>
      <c r="M207"/>
      <c r="N207"/>
      <c r="O207"/>
      <c r="P207"/>
      <c r="Q207"/>
      <c r="R207"/>
      <c r="S207"/>
      <c r="T207"/>
      <c r="U207"/>
      <c r="V207"/>
      <c r="W207"/>
      <c r="X207"/>
      <c r="Y207"/>
      <c r="Z207"/>
      <c r="AA207"/>
      <c r="AB207"/>
      <c r="AC207"/>
      <c r="AD207"/>
      <c r="AE207"/>
      <c r="AF207"/>
      <c r="AG207"/>
      <c r="AH207"/>
      <c r="AI207"/>
    </row>
    <row r="208" spans="1:35" s="33" customFormat="1" ht="15.75">
      <c r="A208" s="178"/>
      <c r="B208" s="166"/>
      <c r="C208" s="125"/>
      <c r="D208" s="125"/>
      <c r="E208" s="32"/>
      <c r="F208"/>
      <c r="G208"/>
      <c r="H208"/>
      <c r="I208"/>
      <c r="J208"/>
      <c r="K208"/>
      <c r="L208"/>
      <c r="M208"/>
      <c r="N208"/>
      <c r="O208"/>
      <c r="P208"/>
      <c r="Q208"/>
      <c r="R208"/>
      <c r="S208"/>
      <c r="T208"/>
      <c r="U208"/>
      <c r="V208"/>
      <c r="W208"/>
      <c r="X208"/>
      <c r="Y208"/>
      <c r="Z208"/>
      <c r="AA208"/>
      <c r="AB208"/>
      <c r="AC208"/>
      <c r="AD208"/>
      <c r="AE208"/>
      <c r="AF208"/>
      <c r="AG208"/>
      <c r="AH208"/>
      <c r="AI208"/>
    </row>
    <row r="209" spans="1:35" s="33" customFormat="1" ht="15.75">
      <c r="A209" s="178"/>
      <c r="B209" s="166"/>
      <c r="C209" s="125"/>
      <c r="D209" s="125"/>
      <c r="E209" s="32"/>
      <c r="F209"/>
      <c r="G209"/>
      <c r="H209"/>
      <c r="I209"/>
      <c r="J209"/>
      <c r="K209"/>
      <c r="L209"/>
      <c r="M209"/>
      <c r="N209"/>
      <c r="O209"/>
      <c r="P209"/>
      <c r="Q209"/>
      <c r="R209"/>
      <c r="S209"/>
      <c r="T209"/>
      <c r="U209"/>
      <c r="V209"/>
      <c r="W209"/>
      <c r="X209"/>
      <c r="Y209"/>
      <c r="Z209"/>
      <c r="AA209"/>
      <c r="AB209"/>
      <c r="AC209"/>
      <c r="AD209"/>
      <c r="AE209"/>
      <c r="AF209"/>
      <c r="AG209"/>
      <c r="AH209"/>
      <c r="AI209"/>
    </row>
    <row r="210" spans="1:35" s="33" customFormat="1" ht="15.75">
      <c r="A210" s="178"/>
      <c r="B210" s="166"/>
      <c r="C210" s="125"/>
      <c r="D210" s="125"/>
      <c r="E210" s="32"/>
      <c r="F210"/>
      <c r="G210"/>
      <c r="H210"/>
      <c r="I210"/>
      <c r="J210"/>
      <c r="K210"/>
      <c r="L210"/>
      <c r="M210"/>
      <c r="N210"/>
      <c r="O210"/>
      <c r="P210"/>
      <c r="Q210"/>
      <c r="R210"/>
      <c r="S210"/>
      <c r="T210"/>
      <c r="U210"/>
      <c r="V210"/>
      <c r="W210"/>
      <c r="X210"/>
      <c r="Y210"/>
      <c r="Z210"/>
      <c r="AA210"/>
      <c r="AB210"/>
      <c r="AC210"/>
      <c r="AD210"/>
      <c r="AE210"/>
      <c r="AF210"/>
      <c r="AG210"/>
      <c r="AH210"/>
      <c r="AI210"/>
    </row>
    <row r="211" spans="1:35" s="33" customFormat="1" ht="15.75">
      <c r="A211" s="178"/>
      <c r="B211" s="166"/>
      <c r="C211" s="125"/>
      <c r="D211" s="125"/>
      <c r="E211" s="32"/>
      <c r="F211"/>
      <c r="G211"/>
      <c r="H211"/>
      <c r="I211"/>
      <c r="J211"/>
      <c r="K211"/>
      <c r="L211"/>
      <c r="M211"/>
      <c r="N211"/>
      <c r="O211"/>
      <c r="P211"/>
      <c r="Q211"/>
      <c r="R211"/>
      <c r="S211"/>
      <c r="T211"/>
      <c r="U211"/>
      <c r="V211"/>
      <c r="W211"/>
      <c r="X211"/>
      <c r="Y211"/>
      <c r="Z211"/>
      <c r="AA211"/>
      <c r="AB211"/>
      <c r="AC211"/>
      <c r="AD211"/>
      <c r="AE211"/>
      <c r="AF211"/>
      <c r="AG211"/>
      <c r="AH211"/>
      <c r="AI211"/>
    </row>
    <row r="212" spans="1:35" s="33" customFormat="1" ht="15.75">
      <c r="A212" s="178"/>
      <c r="B212" s="166"/>
      <c r="C212" s="125"/>
      <c r="D212" s="125"/>
      <c r="E212" s="32"/>
      <c r="F212"/>
      <c r="G212"/>
      <c r="H212"/>
      <c r="I212"/>
      <c r="J212"/>
      <c r="K212"/>
      <c r="L212"/>
      <c r="M212"/>
      <c r="N212"/>
      <c r="O212"/>
      <c r="P212"/>
      <c r="Q212"/>
      <c r="R212"/>
      <c r="S212"/>
      <c r="T212"/>
      <c r="U212"/>
      <c r="V212"/>
      <c r="W212"/>
      <c r="X212"/>
      <c r="Y212"/>
      <c r="Z212"/>
      <c r="AA212"/>
      <c r="AB212"/>
      <c r="AC212"/>
      <c r="AD212"/>
      <c r="AE212"/>
      <c r="AF212"/>
      <c r="AG212"/>
      <c r="AH212"/>
      <c r="AI212"/>
    </row>
    <row r="213" spans="1:35" s="33" customFormat="1" ht="15.75">
      <c r="A213" s="178"/>
      <c r="B213" s="166"/>
      <c r="C213" s="125"/>
      <c r="D213" s="125"/>
      <c r="E213" s="32"/>
      <c r="F213"/>
      <c r="G213"/>
      <c r="H213"/>
      <c r="I213"/>
      <c r="J213"/>
      <c r="K213"/>
      <c r="L213"/>
      <c r="M213"/>
      <c r="N213"/>
      <c r="O213"/>
      <c r="P213"/>
      <c r="Q213"/>
      <c r="R213"/>
      <c r="S213"/>
      <c r="T213"/>
      <c r="U213"/>
      <c r="V213"/>
      <c r="W213"/>
      <c r="X213"/>
      <c r="Y213"/>
      <c r="Z213"/>
      <c r="AA213"/>
      <c r="AB213"/>
      <c r="AC213"/>
      <c r="AD213"/>
      <c r="AE213"/>
      <c r="AF213"/>
      <c r="AG213"/>
      <c r="AH213"/>
      <c r="AI213"/>
    </row>
    <row r="214" spans="1:35" s="33" customFormat="1" ht="15.75">
      <c r="A214" s="178"/>
      <c r="B214" s="166"/>
      <c r="C214" s="125"/>
      <c r="D214" s="125"/>
      <c r="E214" s="32"/>
      <c r="F214"/>
      <c r="G214"/>
      <c r="H214"/>
      <c r="I214"/>
      <c r="J214"/>
      <c r="K214"/>
      <c r="L214"/>
      <c r="M214"/>
      <c r="N214"/>
      <c r="O214"/>
      <c r="P214"/>
      <c r="Q214"/>
      <c r="R214"/>
      <c r="S214"/>
      <c r="T214"/>
      <c r="U214"/>
      <c r="V214"/>
      <c r="W214"/>
      <c r="X214"/>
      <c r="Y214"/>
      <c r="Z214"/>
      <c r="AA214"/>
      <c r="AB214"/>
      <c r="AC214"/>
      <c r="AD214"/>
      <c r="AE214"/>
      <c r="AF214"/>
      <c r="AG214"/>
      <c r="AH214"/>
      <c r="AI214"/>
    </row>
    <row r="215" spans="1:35" s="33" customFormat="1" ht="15.75">
      <c r="A215" s="178"/>
      <c r="B215" s="166"/>
      <c r="C215" s="125"/>
      <c r="D215" s="125"/>
      <c r="E215" s="32"/>
      <c r="F215"/>
      <c r="G215"/>
      <c r="H215"/>
      <c r="I215"/>
      <c r="J215"/>
      <c r="K215"/>
      <c r="L215"/>
      <c r="M215"/>
      <c r="N215"/>
      <c r="O215"/>
      <c r="P215"/>
      <c r="Q215"/>
      <c r="R215"/>
      <c r="S215"/>
      <c r="T215"/>
      <c r="U215"/>
      <c r="V215"/>
      <c r="W215"/>
      <c r="X215"/>
      <c r="Y215"/>
      <c r="Z215"/>
      <c r="AA215"/>
      <c r="AB215"/>
      <c r="AC215"/>
      <c r="AD215"/>
      <c r="AE215"/>
      <c r="AF215"/>
      <c r="AG215"/>
      <c r="AH215"/>
      <c r="AI215"/>
    </row>
    <row r="216" spans="1:35" s="33" customFormat="1" ht="15.75">
      <c r="A216" s="178"/>
      <c r="B216" s="166"/>
      <c r="C216" s="125"/>
      <c r="D216" s="125"/>
      <c r="E216" s="32"/>
      <c r="F216"/>
      <c r="G216"/>
      <c r="H216"/>
      <c r="I216"/>
      <c r="J216"/>
      <c r="K216"/>
      <c r="L216"/>
      <c r="M216"/>
      <c r="N216"/>
      <c r="O216"/>
      <c r="P216"/>
      <c r="Q216"/>
      <c r="R216"/>
      <c r="S216"/>
      <c r="T216"/>
      <c r="U216"/>
      <c r="V216"/>
      <c r="W216"/>
      <c r="X216"/>
      <c r="Y216"/>
      <c r="Z216"/>
      <c r="AA216"/>
      <c r="AB216"/>
      <c r="AC216"/>
      <c r="AD216"/>
      <c r="AE216"/>
      <c r="AF216"/>
      <c r="AG216"/>
      <c r="AH216"/>
      <c r="AI216"/>
    </row>
    <row r="217" spans="1:35" s="33" customFormat="1" ht="15.75">
      <c r="A217" s="178"/>
      <c r="B217" s="166"/>
      <c r="C217" s="125"/>
      <c r="D217" s="125"/>
      <c r="E217" s="32"/>
      <c r="F217"/>
      <c r="G217"/>
      <c r="H217"/>
      <c r="I217"/>
      <c r="J217"/>
      <c r="K217"/>
      <c r="L217"/>
      <c r="M217"/>
      <c r="N217"/>
      <c r="O217"/>
      <c r="P217"/>
      <c r="Q217"/>
      <c r="R217"/>
      <c r="S217"/>
      <c r="T217"/>
      <c r="U217"/>
      <c r="V217"/>
      <c r="W217"/>
      <c r="X217"/>
      <c r="Y217"/>
      <c r="Z217"/>
      <c r="AA217"/>
      <c r="AB217"/>
      <c r="AC217"/>
      <c r="AD217"/>
      <c r="AE217"/>
      <c r="AF217"/>
      <c r="AG217"/>
      <c r="AH217"/>
      <c r="AI217"/>
    </row>
    <row r="218" spans="1:35" s="33" customFormat="1" ht="15.75">
      <c r="A218" s="178"/>
      <c r="B218" s="166"/>
      <c r="C218" s="125"/>
      <c r="D218" s="125"/>
      <c r="E218" s="32"/>
      <c r="F218"/>
      <c r="G218"/>
      <c r="H218"/>
      <c r="I218"/>
      <c r="J218"/>
      <c r="K218"/>
      <c r="L218"/>
      <c r="M218"/>
      <c r="N218"/>
      <c r="O218"/>
      <c r="P218"/>
      <c r="Q218"/>
      <c r="R218"/>
      <c r="S218"/>
      <c r="T218"/>
      <c r="U218"/>
      <c r="V218"/>
      <c r="W218"/>
      <c r="X218"/>
      <c r="Y218"/>
      <c r="Z218"/>
      <c r="AA218"/>
      <c r="AB218"/>
      <c r="AC218"/>
      <c r="AD218"/>
      <c r="AE218"/>
      <c r="AF218"/>
      <c r="AG218"/>
      <c r="AH218"/>
      <c r="AI218"/>
    </row>
    <row r="219" spans="1:35" s="33" customFormat="1" ht="15.75">
      <c r="A219" s="178"/>
      <c r="B219" s="166"/>
      <c r="C219" s="125"/>
      <c r="D219" s="125"/>
      <c r="E219" s="32"/>
      <c r="F219"/>
      <c r="G219"/>
      <c r="H219"/>
      <c r="I219"/>
      <c r="J219"/>
      <c r="K219"/>
      <c r="L219"/>
      <c r="M219"/>
      <c r="N219"/>
      <c r="O219"/>
      <c r="P219"/>
      <c r="Q219"/>
      <c r="R219"/>
      <c r="S219"/>
      <c r="T219"/>
      <c r="U219"/>
      <c r="V219"/>
      <c r="W219"/>
      <c r="X219"/>
      <c r="Y219"/>
      <c r="Z219"/>
      <c r="AA219"/>
      <c r="AB219"/>
      <c r="AC219"/>
      <c r="AD219"/>
      <c r="AE219"/>
      <c r="AF219"/>
      <c r="AG219"/>
      <c r="AH219"/>
      <c r="AI219"/>
    </row>
    <row r="220" spans="1:35" s="33" customFormat="1" ht="15.75">
      <c r="A220" s="178"/>
      <c r="B220" s="166"/>
      <c r="C220" s="125"/>
      <c r="D220" s="125"/>
      <c r="E220" s="32"/>
      <c r="F220"/>
      <c r="G220"/>
      <c r="H220"/>
      <c r="I220"/>
      <c r="J220"/>
      <c r="K220"/>
      <c r="L220"/>
      <c r="M220"/>
      <c r="N220"/>
      <c r="O220"/>
      <c r="P220"/>
      <c r="Q220"/>
      <c r="R220"/>
      <c r="S220"/>
      <c r="T220"/>
      <c r="U220"/>
      <c r="V220"/>
      <c r="W220"/>
      <c r="X220"/>
      <c r="Y220"/>
      <c r="Z220"/>
      <c r="AA220"/>
      <c r="AB220"/>
      <c r="AC220"/>
      <c r="AD220"/>
      <c r="AE220"/>
      <c r="AF220"/>
      <c r="AG220"/>
      <c r="AH220"/>
      <c r="AI220"/>
    </row>
    <row r="221" spans="1:35" s="33" customFormat="1" ht="15.75">
      <c r="A221" s="178"/>
      <c r="B221" s="166"/>
      <c r="C221" s="125"/>
      <c r="D221" s="125"/>
      <c r="E221" s="32"/>
      <c r="F221"/>
      <c r="G221"/>
      <c r="H221"/>
      <c r="I221"/>
      <c r="J221"/>
      <c r="K221"/>
      <c r="L221"/>
      <c r="M221"/>
      <c r="N221"/>
      <c r="O221"/>
      <c r="P221"/>
      <c r="Q221"/>
      <c r="R221"/>
      <c r="S221"/>
      <c r="T221"/>
      <c r="U221"/>
      <c r="V221"/>
      <c r="W221"/>
      <c r="X221"/>
      <c r="Y221"/>
      <c r="Z221"/>
      <c r="AA221"/>
      <c r="AB221"/>
      <c r="AC221"/>
      <c r="AD221"/>
      <c r="AE221"/>
      <c r="AF221"/>
      <c r="AG221"/>
      <c r="AH221"/>
      <c r="AI221"/>
    </row>
    <row r="222" spans="1:35" s="33" customFormat="1" ht="15.75">
      <c r="A222" s="178"/>
      <c r="B222" s="166"/>
      <c r="C222" s="125"/>
      <c r="D222" s="125"/>
      <c r="E222" s="32"/>
      <c r="F222"/>
      <c r="G222"/>
      <c r="H222"/>
      <c r="I222"/>
      <c r="J222"/>
      <c r="K222"/>
      <c r="L222"/>
      <c r="M222"/>
      <c r="N222"/>
      <c r="O222"/>
      <c r="P222"/>
      <c r="Q222"/>
      <c r="R222"/>
      <c r="S222"/>
      <c r="T222"/>
      <c r="U222"/>
      <c r="V222"/>
      <c r="W222"/>
      <c r="X222"/>
      <c r="Y222"/>
      <c r="Z222"/>
      <c r="AA222"/>
      <c r="AB222"/>
      <c r="AC222"/>
      <c r="AD222"/>
      <c r="AE222"/>
      <c r="AF222"/>
      <c r="AG222"/>
      <c r="AH222"/>
      <c r="AI222"/>
    </row>
    <row r="223" spans="1:35" s="33" customFormat="1" ht="15.75">
      <c r="A223" s="178"/>
      <c r="B223" s="166"/>
      <c r="C223" s="125"/>
      <c r="D223" s="125"/>
      <c r="E223" s="32"/>
      <c r="F223"/>
      <c r="G223"/>
      <c r="H223"/>
      <c r="I223"/>
      <c r="J223"/>
      <c r="K223"/>
      <c r="L223"/>
      <c r="M223"/>
      <c r="N223"/>
      <c r="O223"/>
      <c r="P223"/>
      <c r="Q223"/>
      <c r="R223"/>
      <c r="S223"/>
      <c r="T223"/>
      <c r="U223"/>
      <c r="V223"/>
      <c r="W223"/>
      <c r="X223"/>
      <c r="Y223"/>
      <c r="Z223"/>
      <c r="AA223"/>
      <c r="AB223"/>
      <c r="AC223"/>
      <c r="AD223"/>
      <c r="AE223"/>
      <c r="AF223"/>
      <c r="AG223"/>
      <c r="AH223"/>
      <c r="AI223"/>
    </row>
    <row r="224" spans="1:35" s="33" customFormat="1" ht="15.75">
      <c r="A224" s="178"/>
      <c r="B224" s="166"/>
      <c r="C224" s="125"/>
      <c r="D224" s="125"/>
      <c r="E224" s="32"/>
      <c r="F224"/>
      <c r="G224"/>
      <c r="H224"/>
      <c r="I224"/>
      <c r="J224"/>
      <c r="K224"/>
      <c r="L224"/>
      <c r="M224"/>
      <c r="N224"/>
      <c r="O224"/>
      <c r="P224"/>
      <c r="Q224"/>
      <c r="R224"/>
      <c r="S224"/>
      <c r="T224"/>
      <c r="U224"/>
      <c r="V224"/>
      <c r="W224"/>
      <c r="X224"/>
      <c r="Y224"/>
      <c r="Z224"/>
      <c r="AA224"/>
      <c r="AB224"/>
      <c r="AC224"/>
      <c r="AD224"/>
      <c r="AE224"/>
      <c r="AF224"/>
      <c r="AG224"/>
      <c r="AH224"/>
      <c r="AI224"/>
    </row>
    <row r="225" spans="1:35" s="33" customFormat="1" ht="15.75">
      <c r="A225" s="178"/>
      <c r="B225" s="166"/>
      <c r="C225" s="125"/>
      <c r="D225" s="125"/>
      <c r="E225" s="32"/>
      <c r="F225"/>
      <c r="G225"/>
      <c r="H225"/>
      <c r="I225"/>
      <c r="J225"/>
      <c r="K225"/>
      <c r="L225"/>
      <c r="M225"/>
      <c r="N225"/>
      <c r="O225"/>
      <c r="P225"/>
      <c r="Q225"/>
      <c r="R225"/>
      <c r="S225"/>
      <c r="T225"/>
      <c r="U225"/>
      <c r="V225"/>
      <c r="W225"/>
      <c r="X225"/>
      <c r="Y225"/>
      <c r="Z225"/>
      <c r="AA225"/>
      <c r="AB225"/>
      <c r="AC225"/>
      <c r="AD225"/>
      <c r="AE225"/>
      <c r="AF225"/>
      <c r="AG225"/>
      <c r="AH225"/>
      <c r="AI225"/>
    </row>
    <row r="226" spans="1:35" s="33" customFormat="1" ht="15.75">
      <c r="A226" s="178"/>
      <c r="B226" s="166"/>
      <c r="C226" s="125"/>
      <c r="D226" s="125"/>
      <c r="E226" s="32"/>
      <c r="F226"/>
      <c r="G226"/>
      <c r="H226"/>
      <c r="I226"/>
      <c r="J226"/>
      <c r="K226"/>
      <c r="L226"/>
      <c r="M226"/>
      <c r="N226"/>
      <c r="O226"/>
      <c r="P226"/>
      <c r="Q226"/>
      <c r="R226"/>
      <c r="S226"/>
      <c r="T226"/>
      <c r="U226"/>
      <c r="V226"/>
      <c r="W226"/>
      <c r="X226"/>
      <c r="Y226"/>
      <c r="Z226"/>
      <c r="AA226"/>
      <c r="AB226"/>
      <c r="AC226"/>
      <c r="AD226"/>
      <c r="AE226"/>
      <c r="AF226"/>
      <c r="AG226"/>
      <c r="AH226"/>
      <c r="AI226"/>
    </row>
    <row r="227" spans="1:35" s="33" customFormat="1" ht="15.75">
      <c r="A227" s="178"/>
      <c r="B227" s="166"/>
      <c r="C227" s="125"/>
      <c r="D227" s="125"/>
      <c r="E227" s="32"/>
      <c r="F227"/>
      <c r="G227"/>
      <c r="H227"/>
      <c r="I227"/>
      <c r="J227"/>
      <c r="K227"/>
      <c r="L227"/>
      <c r="M227"/>
      <c r="N227"/>
      <c r="O227"/>
      <c r="P227"/>
      <c r="Q227"/>
      <c r="R227"/>
      <c r="S227"/>
      <c r="T227"/>
      <c r="U227"/>
      <c r="V227"/>
      <c r="W227"/>
      <c r="X227"/>
      <c r="Y227"/>
      <c r="Z227"/>
      <c r="AA227"/>
      <c r="AB227"/>
      <c r="AC227"/>
      <c r="AD227"/>
      <c r="AE227"/>
      <c r="AF227"/>
      <c r="AG227"/>
      <c r="AH227"/>
      <c r="AI227"/>
    </row>
    <row r="228" spans="1:35" s="33" customFormat="1" ht="15.75">
      <c r="A228" s="178"/>
      <c r="B228" s="166"/>
      <c r="C228" s="125"/>
      <c r="D228" s="125"/>
      <c r="E228" s="32"/>
      <c r="F228"/>
      <c r="G228"/>
      <c r="H228"/>
      <c r="I228"/>
      <c r="J228"/>
      <c r="K228"/>
      <c r="L228"/>
      <c r="M228"/>
      <c r="N228"/>
      <c r="O228"/>
      <c r="P228"/>
      <c r="Q228"/>
      <c r="R228"/>
      <c r="S228"/>
      <c r="T228"/>
      <c r="U228"/>
      <c r="V228"/>
      <c r="W228"/>
      <c r="X228"/>
      <c r="Y228"/>
      <c r="Z228"/>
      <c r="AA228"/>
      <c r="AB228"/>
      <c r="AC228"/>
      <c r="AD228"/>
      <c r="AE228"/>
      <c r="AF228"/>
      <c r="AG228"/>
      <c r="AH228"/>
      <c r="AI228"/>
    </row>
    <row r="229" spans="1:35" s="33" customFormat="1" ht="15.75">
      <c r="A229" s="178"/>
      <c r="B229" s="166"/>
      <c r="C229" s="125"/>
      <c r="D229" s="125"/>
      <c r="E229" s="32"/>
      <c r="F229"/>
      <c r="G229"/>
      <c r="H229"/>
      <c r="I229"/>
      <c r="J229"/>
      <c r="K229"/>
      <c r="L229"/>
      <c r="M229"/>
      <c r="N229"/>
      <c r="O229"/>
      <c r="P229"/>
      <c r="Q229"/>
      <c r="R229"/>
      <c r="S229"/>
      <c r="T229"/>
      <c r="U229"/>
      <c r="V229"/>
      <c r="W229"/>
      <c r="X229"/>
      <c r="Y229"/>
      <c r="Z229"/>
      <c r="AA229"/>
      <c r="AB229"/>
      <c r="AC229"/>
      <c r="AD229"/>
      <c r="AE229"/>
      <c r="AF229"/>
      <c r="AG229"/>
      <c r="AH229"/>
      <c r="AI229"/>
    </row>
    <row r="230" spans="1:35" s="33" customFormat="1" ht="15.75">
      <c r="A230" s="178"/>
      <c r="B230" s="166"/>
      <c r="C230" s="125"/>
      <c r="D230" s="125"/>
      <c r="E230" s="32"/>
      <c r="F230"/>
      <c r="G230"/>
      <c r="H230"/>
      <c r="I230"/>
      <c r="J230"/>
      <c r="K230"/>
      <c r="L230"/>
      <c r="M230"/>
      <c r="N230"/>
      <c r="O230"/>
      <c r="P230"/>
      <c r="Q230"/>
      <c r="R230"/>
      <c r="S230"/>
      <c r="T230"/>
      <c r="U230"/>
      <c r="V230"/>
      <c r="W230"/>
      <c r="X230"/>
      <c r="Y230"/>
      <c r="Z230"/>
      <c r="AA230"/>
      <c r="AB230"/>
      <c r="AC230"/>
      <c r="AD230"/>
      <c r="AE230"/>
      <c r="AF230"/>
      <c r="AG230"/>
      <c r="AH230"/>
      <c r="AI230"/>
    </row>
    <row r="231" spans="1:35" s="33" customFormat="1" ht="15.75">
      <c r="A231" s="178"/>
      <c r="B231" s="166"/>
      <c r="C231" s="125"/>
      <c r="D231" s="125"/>
      <c r="E231" s="32"/>
      <c r="F231"/>
      <c r="G231"/>
      <c r="H231"/>
      <c r="I231"/>
      <c r="J231"/>
      <c r="K231"/>
      <c r="L231"/>
      <c r="M231"/>
      <c r="N231"/>
      <c r="O231"/>
      <c r="P231"/>
      <c r="Q231"/>
      <c r="R231"/>
      <c r="S231"/>
      <c r="T231"/>
      <c r="U231"/>
      <c r="V231"/>
      <c r="W231"/>
      <c r="X231"/>
      <c r="Y231"/>
      <c r="Z231"/>
      <c r="AA231"/>
      <c r="AB231"/>
      <c r="AC231"/>
      <c r="AD231"/>
      <c r="AE231"/>
      <c r="AF231"/>
      <c r="AG231"/>
      <c r="AH231"/>
      <c r="AI231"/>
    </row>
    <row r="232" spans="1:35" s="33" customFormat="1" ht="15.75">
      <c r="A232" s="178"/>
      <c r="B232" s="166"/>
      <c r="C232" s="125"/>
      <c r="D232" s="125"/>
      <c r="E232" s="32"/>
      <c r="F232"/>
      <c r="G232"/>
      <c r="H232"/>
      <c r="I232"/>
      <c r="J232"/>
      <c r="K232"/>
      <c r="L232"/>
      <c r="M232"/>
      <c r="N232"/>
      <c r="O232"/>
      <c r="P232"/>
      <c r="Q232"/>
      <c r="R232"/>
      <c r="S232"/>
      <c r="T232"/>
      <c r="U232"/>
      <c r="V232"/>
      <c r="W232"/>
      <c r="X232"/>
      <c r="Y232"/>
      <c r="Z232"/>
      <c r="AA232"/>
      <c r="AB232"/>
      <c r="AC232"/>
      <c r="AD232"/>
      <c r="AE232"/>
      <c r="AF232"/>
      <c r="AG232"/>
      <c r="AH232"/>
      <c r="AI232"/>
    </row>
    <row r="233" spans="1:35" s="33" customFormat="1" ht="15.75">
      <c r="A233" s="178"/>
      <c r="B233" s="166"/>
      <c r="C233" s="125"/>
      <c r="D233" s="125"/>
      <c r="E233" s="32"/>
      <c r="F233"/>
      <c r="G233"/>
      <c r="H233"/>
      <c r="I233"/>
      <c r="J233"/>
      <c r="K233"/>
      <c r="L233"/>
      <c r="M233"/>
      <c r="N233"/>
      <c r="O233"/>
      <c r="P233"/>
      <c r="Q233"/>
      <c r="R233"/>
      <c r="S233"/>
      <c r="T233"/>
      <c r="U233"/>
      <c r="V233"/>
      <c r="W233"/>
      <c r="X233"/>
      <c r="Y233"/>
      <c r="Z233"/>
      <c r="AA233"/>
      <c r="AB233"/>
      <c r="AC233"/>
      <c r="AD233"/>
      <c r="AE233"/>
      <c r="AF233"/>
      <c r="AG233"/>
      <c r="AH233"/>
      <c r="AI233"/>
    </row>
    <row r="234" spans="1:35" s="33" customFormat="1" ht="15.75">
      <c r="A234" s="178"/>
      <c r="B234" s="166"/>
      <c r="C234" s="125"/>
      <c r="D234" s="125"/>
      <c r="E234" s="32"/>
      <c r="F234"/>
      <c r="G234"/>
      <c r="H234"/>
      <c r="I234"/>
      <c r="J234"/>
      <c r="K234"/>
      <c r="L234"/>
      <c r="M234"/>
      <c r="N234"/>
      <c r="O234"/>
      <c r="P234"/>
      <c r="Q234"/>
      <c r="R234"/>
      <c r="S234"/>
      <c r="T234"/>
      <c r="U234"/>
      <c r="V234"/>
      <c r="W234"/>
      <c r="X234"/>
      <c r="Y234"/>
      <c r="Z234"/>
      <c r="AA234"/>
      <c r="AB234"/>
      <c r="AC234"/>
      <c r="AD234"/>
      <c r="AE234"/>
      <c r="AF234"/>
      <c r="AG234"/>
      <c r="AH234"/>
      <c r="AI234"/>
    </row>
    <row r="235" spans="1:35" s="33" customFormat="1" ht="15.75">
      <c r="A235" s="178"/>
      <c r="B235" s="166"/>
      <c r="C235" s="125"/>
      <c r="D235" s="125"/>
      <c r="E235" s="32"/>
      <c r="F235"/>
      <c r="G235"/>
      <c r="H235"/>
      <c r="I235"/>
      <c r="J235"/>
      <c r="K235"/>
      <c r="L235"/>
      <c r="M235"/>
      <c r="N235"/>
      <c r="O235"/>
      <c r="P235"/>
      <c r="Q235"/>
      <c r="R235"/>
      <c r="S235"/>
      <c r="T235"/>
      <c r="U235"/>
      <c r="V235"/>
      <c r="W235"/>
      <c r="X235"/>
      <c r="Y235"/>
      <c r="Z235"/>
      <c r="AA235"/>
      <c r="AB235"/>
      <c r="AC235"/>
      <c r="AD235"/>
      <c r="AE235"/>
      <c r="AF235"/>
      <c r="AG235"/>
      <c r="AH235"/>
      <c r="AI235"/>
    </row>
    <row r="236" spans="1:35" s="33" customFormat="1" ht="15.75">
      <c r="A236" s="178"/>
      <c r="B236" s="166"/>
      <c r="C236" s="125"/>
      <c r="D236" s="125"/>
      <c r="E236" s="32"/>
      <c r="F236"/>
      <c r="G236"/>
      <c r="H236"/>
      <c r="I236"/>
      <c r="J236"/>
      <c r="K236"/>
      <c r="L236"/>
      <c r="M236"/>
      <c r="N236"/>
      <c r="O236"/>
      <c r="P236"/>
      <c r="Q236"/>
      <c r="R236"/>
      <c r="S236"/>
      <c r="T236"/>
      <c r="U236"/>
      <c r="V236"/>
      <c r="W236"/>
      <c r="X236"/>
      <c r="Y236"/>
      <c r="Z236"/>
      <c r="AA236"/>
      <c r="AB236"/>
      <c r="AC236"/>
      <c r="AD236"/>
      <c r="AE236"/>
      <c r="AF236"/>
      <c r="AG236"/>
      <c r="AH236"/>
      <c r="AI236"/>
    </row>
    <row r="237" spans="1:35" s="33" customFormat="1" ht="15.75">
      <c r="A237" s="178"/>
      <c r="B237" s="166"/>
      <c r="C237" s="125"/>
      <c r="D237" s="125"/>
      <c r="E237" s="32"/>
      <c r="F237"/>
      <c r="G237"/>
      <c r="H237"/>
      <c r="I237"/>
      <c r="J237"/>
      <c r="K237"/>
      <c r="L237"/>
      <c r="M237"/>
      <c r="N237"/>
      <c r="O237"/>
      <c r="P237"/>
      <c r="Q237"/>
      <c r="R237"/>
      <c r="S237"/>
      <c r="T237"/>
      <c r="U237"/>
      <c r="V237"/>
      <c r="W237"/>
      <c r="X237"/>
      <c r="Y237"/>
      <c r="Z237"/>
      <c r="AA237"/>
      <c r="AB237"/>
      <c r="AC237"/>
      <c r="AD237"/>
      <c r="AE237"/>
      <c r="AF237"/>
      <c r="AG237"/>
      <c r="AH237"/>
      <c r="AI237"/>
    </row>
    <row r="238" spans="1:35" s="33" customFormat="1" ht="15.75">
      <c r="A238" s="178"/>
      <c r="B238" s="166"/>
      <c r="C238" s="125"/>
      <c r="D238" s="125"/>
      <c r="E238" s="32"/>
      <c r="F238"/>
      <c r="G238"/>
      <c r="H238"/>
      <c r="I238"/>
      <c r="J238"/>
      <c r="K238"/>
      <c r="L238"/>
      <c r="M238"/>
      <c r="N238"/>
      <c r="O238"/>
      <c r="P238"/>
      <c r="Q238"/>
      <c r="R238"/>
      <c r="S238"/>
      <c r="T238"/>
      <c r="U238"/>
      <c r="V238"/>
      <c r="W238"/>
      <c r="X238"/>
      <c r="Y238"/>
      <c r="Z238"/>
      <c r="AA238"/>
      <c r="AB238"/>
      <c r="AC238"/>
      <c r="AD238"/>
      <c r="AE238"/>
      <c r="AF238"/>
      <c r="AG238"/>
      <c r="AH238"/>
      <c r="AI238"/>
    </row>
    <row r="239" spans="1:35" s="33" customFormat="1" ht="15.75">
      <c r="A239" s="178"/>
      <c r="B239" s="166"/>
      <c r="C239" s="125"/>
      <c r="D239" s="125"/>
      <c r="E239" s="32"/>
      <c r="F239"/>
      <c r="G239"/>
      <c r="H239"/>
      <c r="I239"/>
      <c r="J239"/>
      <c r="K239"/>
      <c r="L239"/>
      <c r="M239"/>
      <c r="N239"/>
      <c r="O239"/>
      <c r="P239"/>
      <c r="Q239"/>
      <c r="R239"/>
      <c r="S239"/>
      <c r="T239"/>
      <c r="U239"/>
      <c r="V239"/>
      <c r="W239"/>
      <c r="X239"/>
      <c r="Y239"/>
      <c r="Z239"/>
      <c r="AA239"/>
      <c r="AB239"/>
      <c r="AC239"/>
      <c r="AD239"/>
      <c r="AE239"/>
      <c r="AF239"/>
      <c r="AG239"/>
      <c r="AH239"/>
      <c r="AI239"/>
    </row>
    <row r="240" spans="1:35" s="33" customFormat="1" ht="15.75">
      <c r="A240" s="178"/>
      <c r="B240" s="166"/>
      <c r="C240" s="125"/>
      <c r="D240" s="125"/>
      <c r="E240" s="32"/>
      <c r="F240"/>
      <c r="G240"/>
      <c r="H240"/>
      <c r="I240"/>
      <c r="J240"/>
      <c r="K240"/>
      <c r="L240"/>
      <c r="M240"/>
      <c r="N240"/>
      <c r="O240"/>
      <c r="P240"/>
      <c r="Q240"/>
      <c r="R240"/>
      <c r="S240"/>
      <c r="T240"/>
      <c r="U240"/>
      <c r="V240"/>
      <c r="W240"/>
      <c r="X240"/>
      <c r="Y240"/>
      <c r="Z240"/>
      <c r="AA240"/>
      <c r="AB240"/>
      <c r="AC240"/>
      <c r="AD240"/>
      <c r="AE240"/>
      <c r="AF240"/>
      <c r="AG240"/>
      <c r="AH240"/>
      <c r="AI240"/>
    </row>
    <row r="241" spans="1:35" s="33" customFormat="1" ht="15.75">
      <c r="A241" s="178"/>
      <c r="B241" s="166"/>
      <c r="C241" s="125"/>
      <c r="D241" s="125"/>
      <c r="E241" s="32"/>
      <c r="F241"/>
      <c r="G241"/>
      <c r="H241"/>
      <c r="I241"/>
      <c r="J241"/>
      <c r="K241"/>
      <c r="L241"/>
      <c r="M241"/>
      <c r="N241"/>
      <c r="O241"/>
      <c r="P241"/>
      <c r="Q241"/>
      <c r="R241"/>
      <c r="S241"/>
      <c r="T241"/>
      <c r="U241"/>
      <c r="V241"/>
      <c r="W241"/>
      <c r="X241"/>
      <c r="Y241"/>
      <c r="Z241"/>
      <c r="AA241"/>
      <c r="AB241"/>
      <c r="AC241"/>
      <c r="AD241"/>
      <c r="AE241"/>
      <c r="AF241"/>
      <c r="AG241"/>
      <c r="AH241"/>
      <c r="AI241"/>
    </row>
    <row r="242" spans="1:35" s="33" customFormat="1" ht="15.75">
      <c r="A242" s="178"/>
      <c r="B242" s="166"/>
      <c r="C242" s="125"/>
      <c r="D242" s="125"/>
      <c r="E242" s="32"/>
      <c r="F242"/>
      <c r="G242"/>
      <c r="H242"/>
      <c r="I242"/>
      <c r="J242"/>
      <c r="K242"/>
      <c r="L242"/>
      <c r="M242"/>
      <c r="N242"/>
      <c r="O242"/>
      <c r="P242"/>
      <c r="Q242"/>
      <c r="R242"/>
      <c r="S242"/>
      <c r="T242"/>
      <c r="U242"/>
      <c r="V242"/>
      <c r="W242"/>
      <c r="X242"/>
      <c r="Y242"/>
      <c r="Z242"/>
      <c r="AA242"/>
      <c r="AB242"/>
      <c r="AC242"/>
      <c r="AD242"/>
      <c r="AE242"/>
      <c r="AF242"/>
      <c r="AG242"/>
      <c r="AH242"/>
      <c r="AI242"/>
    </row>
    <row r="243" spans="1:35" s="33" customFormat="1" ht="15.75">
      <c r="A243" s="178"/>
      <c r="B243" s="166"/>
      <c r="C243" s="125"/>
      <c r="D243" s="125"/>
      <c r="E243" s="32"/>
      <c r="F243"/>
      <c r="G243"/>
      <c r="H243"/>
      <c r="I243"/>
      <c r="J243"/>
      <c r="K243"/>
      <c r="L243"/>
      <c r="M243"/>
      <c r="N243"/>
      <c r="O243"/>
      <c r="P243"/>
      <c r="Q243"/>
      <c r="R243"/>
      <c r="S243"/>
      <c r="T243"/>
      <c r="U243"/>
      <c r="V243"/>
      <c r="W243"/>
      <c r="X243"/>
      <c r="Y243"/>
      <c r="Z243"/>
      <c r="AA243"/>
      <c r="AB243"/>
      <c r="AC243"/>
      <c r="AD243"/>
      <c r="AE243"/>
      <c r="AF243"/>
      <c r="AG243"/>
      <c r="AH243"/>
      <c r="AI243"/>
    </row>
    <row r="244" spans="1:35" s="33" customFormat="1" ht="15.75">
      <c r="A244" s="178"/>
      <c r="B244" s="166"/>
      <c r="C244" s="125"/>
      <c r="D244" s="125"/>
      <c r="E244" s="32"/>
      <c r="F244"/>
      <c r="G244"/>
      <c r="H244"/>
      <c r="I244"/>
      <c r="J244"/>
      <c r="K244"/>
      <c r="L244"/>
      <c r="M244"/>
      <c r="N244"/>
      <c r="O244"/>
      <c r="P244"/>
      <c r="Q244"/>
      <c r="R244"/>
      <c r="S244"/>
      <c r="T244"/>
      <c r="U244"/>
      <c r="V244"/>
      <c r="W244"/>
      <c r="X244"/>
      <c r="Y244"/>
      <c r="Z244"/>
      <c r="AA244"/>
      <c r="AB244"/>
      <c r="AC244"/>
      <c r="AD244"/>
      <c r="AE244"/>
      <c r="AF244"/>
      <c r="AG244"/>
      <c r="AH244"/>
      <c r="AI244"/>
    </row>
    <row r="245" spans="1:35" s="33" customFormat="1" ht="15.75">
      <c r="A245" s="178"/>
      <c r="B245" s="166"/>
      <c r="C245" s="125"/>
      <c r="D245" s="125"/>
      <c r="E245" s="32"/>
      <c r="F245"/>
      <c r="G245"/>
      <c r="H245"/>
      <c r="I245"/>
      <c r="J245"/>
      <c r="K245"/>
      <c r="L245"/>
      <c r="M245"/>
      <c r="N245"/>
      <c r="O245"/>
      <c r="P245"/>
      <c r="Q245"/>
      <c r="R245"/>
      <c r="S245"/>
      <c r="T245"/>
      <c r="U245"/>
      <c r="V245"/>
      <c r="W245"/>
      <c r="X245"/>
      <c r="Y245"/>
      <c r="Z245"/>
      <c r="AA245"/>
      <c r="AB245"/>
      <c r="AC245"/>
      <c r="AD245"/>
      <c r="AE245"/>
      <c r="AF245"/>
      <c r="AG245"/>
      <c r="AH245"/>
      <c r="AI245"/>
    </row>
    <row r="246" spans="1:35" s="33" customFormat="1" ht="15.75">
      <c r="A246" s="178"/>
      <c r="B246" s="166"/>
      <c r="C246" s="125"/>
      <c r="D246" s="125"/>
      <c r="E246" s="32"/>
      <c r="F246"/>
      <c r="G246"/>
      <c r="H246"/>
      <c r="I246"/>
      <c r="J246"/>
      <c r="K246"/>
      <c r="L246"/>
      <c r="M246"/>
      <c r="N246"/>
      <c r="O246"/>
      <c r="P246"/>
      <c r="Q246"/>
      <c r="R246"/>
      <c r="S246"/>
      <c r="T246"/>
      <c r="U246"/>
      <c r="V246"/>
      <c r="W246"/>
      <c r="X246"/>
      <c r="Y246"/>
      <c r="Z246"/>
      <c r="AA246"/>
      <c r="AB246"/>
      <c r="AC246"/>
      <c r="AD246"/>
      <c r="AE246"/>
      <c r="AF246"/>
      <c r="AG246"/>
      <c r="AH246"/>
      <c r="AI246"/>
    </row>
    <row r="247" spans="1:35" s="33" customFormat="1" ht="15.75">
      <c r="A247" s="178"/>
      <c r="B247" s="166"/>
      <c r="C247" s="125"/>
      <c r="D247" s="125"/>
      <c r="E247" s="32"/>
      <c r="F247"/>
      <c r="G247"/>
      <c r="H247"/>
      <c r="I247"/>
      <c r="J247"/>
      <c r="K247"/>
      <c r="L247"/>
      <c r="M247"/>
      <c r="N247"/>
      <c r="O247"/>
      <c r="P247"/>
      <c r="Q247"/>
      <c r="R247"/>
      <c r="S247"/>
      <c r="T247"/>
      <c r="U247"/>
      <c r="V247"/>
      <c r="W247"/>
      <c r="X247"/>
      <c r="Y247"/>
      <c r="Z247"/>
      <c r="AA247"/>
      <c r="AB247"/>
      <c r="AC247"/>
      <c r="AD247"/>
      <c r="AE247"/>
      <c r="AF247"/>
      <c r="AG247"/>
      <c r="AH247"/>
      <c r="AI247"/>
    </row>
    <row r="248" spans="1:35" s="33" customFormat="1" ht="15.75">
      <c r="A248" s="178"/>
      <c r="B248" s="166"/>
      <c r="C248" s="125"/>
      <c r="D248" s="125"/>
      <c r="E248" s="32"/>
      <c r="F248"/>
      <c r="G248"/>
      <c r="H248"/>
      <c r="I248"/>
      <c r="J248"/>
      <c r="K248"/>
      <c r="L248"/>
      <c r="M248"/>
      <c r="N248"/>
      <c r="O248"/>
      <c r="P248"/>
      <c r="Q248"/>
      <c r="R248"/>
      <c r="S248"/>
      <c r="T248"/>
      <c r="U248"/>
      <c r="V248"/>
      <c r="W248"/>
      <c r="X248"/>
      <c r="Y248"/>
      <c r="Z248"/>
      <c r="AA248"/>
      <c r="AB248"/>
      <c r="AC248"/>
      <c r="AD248"/>
      <c r="AE248"/>
      <c r="AF248"/>
      <c r="AG248"/>
      <c r="AH248"/>
      <c r="AI248"/>
    </row>
    <row r="249" spans="1:35" s="33" customFormat="1" ht="15.75">
      <c r="A249" s="178"/>
      <c r="B249" s="166"/>
      <c r="C249" s="125"/>
      <c r="D249" s="125"/>
      <c r="E249" s="32"/>
      <c r="F249"/>
      <c r="G249"/>
      <c r="H249"/>
      <c r="I249"/>
      <c r="J249"/>
      <c r="K249"/>
      <c r="L249"/>
      <c r="M249"/>
      <c r="N249"/>
      <c r="O249"/>
      <c r="P249"/>
      <c r="Q249"/>
      <c r="R249"/>
      <c r="S249"/>
      <c r="T249"/>
      <c r="U249"/>
      <c r="V249"/>
      <c r="W249"/>
      <c r="X249"/>
      <c r="Y249"/>
      <c r="Z249"/>
      <c r="AA249"/>
      <c r="AB249"/>
      <c r="AC249"/>
      <c r="AD249"/>
      <c r="AE249"/>
      <c r="AF249"/>
      <c r="AG249"/>
      <c r="AH249"/>
      <c r="AI249"/>
    </row>
    <row r="250" spans="1:35" s="33" customFormat="1" ht="15.75">
      <c r="A250" s="178"/>
      <c r="B250" s="166"/>
      <c r="C250" s="125"/>
      <c r="D250" s="125"/>
      <c r="E250" s="32"/>
      <c r="F250"/>
      <c r="G250"/>
      <c r="H250"/>
      <c r="I250"/>
      <c r="J250"/>
      <c r="K250"/>
      <c r="L250"/>
      <c r="M250"/>
      <c r="N250"/>
      <c r="O250"/>
      <c r="P250"/>
      <c r="Q250"/>
      <c r="R250"/>
      <c r="S250"/>
      <c r="T250"/>
      <c r="U250"/>
      <c r="V250"/>
      <c r="W250"/>
      <c r="X250"/>
      <c r="Y250"/>
      <c r="Z250"/>
      <c r="AA250"/>
      <c r="AB250"/>
      <c r="AC250"/>
      <c r="AD250"/>
      <c r="AE250"/>
      <c r="AF250"/>
      <c r="AG250"/>
      <c r="AH250"/>
      <c r="AI250"/>
    </row>
    <row r="251" spans="1:35" s="33" customFormat="1" ht="15.75">
      <c r="A251" s="178"/>
      <c r="B251" s="166"/>
      <c r="C251" s="125"/>
      <c r="D251" s="125"/>
      <c r="E251" s="32"/>
      <c r="F251"/>
      <c r="G251"/>
      <c r="H251"/>
      <c r="I251"/>
      <c r="J251"/>
      <c r="K251"/>
      <c r="L251"/>
      <c r="M251"/>
      <c r="N251"/>
      <c r="O251"/>
      <c r="P251"/>
      <c r="Q251"/>
      <c r="R251"/>
      <c r="S251"/>
      <c r="T251"/>
      <c r="U251"/>
      <c r="V251"/>
      <c r="W251"/>
      <c r="X251"/>
      <c r="Y251"/>
      <c r="Z251"/>
      <c r="AA251"/>
      <c r="AB251"/>
      <c r="AC251"/>
      <c r="AD251"/>
      <c r="AE251"/>
      <c r="AF251"/>
      <c r="AG251"/>
      <c r="AH251"/>
      <c r="AI251"/>
    </row>
    <row r="252" spans="1:35" s="33" customFormat="1" ht="15.75">
      <c r="A252" s="178"/>
      <c r="B252" s="166"/>
      <c r="C252" s="125"/>
      <c r="D252" s="125"/>
      <c r="E252" s="32"/>
      <c r="F252"/>
      <c r="G252"/>
      <c r="H252"/>
      <c r="I252"/>
      <c r="J252"/>
      <c r="K252"/>
      <c r="L252"/>
      <c r="M252"/>
      <c r="N252"/>
      <c r="O252"/>
      <c r="P252"/>
      <c r="Q252"/>
      <c r="R252"/>
      <c r="S252"/>
      <c r="T252"/>
      <c r="U252"/>
      <c r="V252"/>
      <c r="W252"/>
      <c r="X252"/>
      <c r="Y252"/>
      <c r="Z252"/>
      <c r="AA252"/>
      <c r="AB252"/>
      <c r="AC252"/>
      <c r="AD252"/>
      <c r="AE252"/>
      <c r="AF252"/>
      <c r="AG252"/>
      <c r="AH252"/>
      <c r="AI252"/>
    </row>
    <row r="253" spans="1:35" s="33" customFormat="1" ht="15.75">
      <c r="A253" s="178"/>
      <c r="B253" s="166"/>
      <c r="C253" s="125"/>
      <c r="D253" s="125"/>
      <c r="E253" s="32"/>
      <c r="F253"/>
      <c r="G253"/>
      <c r="H253"/>
      <c r="I253"/>
      <c r="J253"/>
      <c r="K253"/>
      <c r="L253"/>
      <c r="M253"/>
      <c r="N253"/>
      <c r="O253"/>
      <c r="P253"/>
      <c r="Q253"/>
      <c r="R253"/>
      <c r="S253"/>
      <c r="T253"/>
      <c r="U253"/>
      <c r="V253"/>
      <c r="W253"/>
      <c r="X253"/>
      <c r="Y253"/>
      <c r="Z253"/>
      <c r="AA253"/>
      <c r="AB253"/>
      <c r="AC253"/>
      <c r="AD253"/>
      <c r="AE253"/>
      <c r="AF253"/>
      <c r="AG253"/>
      <c r="AH253"/>
      <c r="AI253"/>
    </row>
    <row r="254" spans="1:35" s="33" customFormat="1" ht="15.75">
      <c r="A254" s="178"/>
      <c r="B254" s="166"/>
      <c r="C254" s="125"/>
      <c r="D254" s="125"/>
      <c r="E254" s="32"/>
      <c r="F254"/>
      <c r="G254"/>
      <c r="H254"/>
      <c r="I254"/>
      <c r="J254"/>
      <c r="K254"/>
      <c r="L254"/>
      <c r="M254"/>
      <c r="N254"/>
      <c r="O254"/>
      <c r="P254"/>
      <c r="Q254"/>
      <c r="R254"/>
      <c r="S254"/>
      <c r="T254"/>
      <c r="U254"/>
      <c r="V254"/>
      <c r="W254"/>
      <c r="X254"/>
      <c r="Y254"/>
      <c r="Z254"/>
      <c r="AA254"/>
      <c r="AB254"/>
      <c r="AC254"/>
      <c r="AD254"/>
      <c r="AE254"/>
      <c r="AF254"/>
      <c r="AG254"/>
      <c r="AH254"/>
      <c r="AI254"/>
    </row>
    <row r="255" spans="1:35" s="33" customFormat="1" ht="15.75">
      <c r="A255" s="178"/>
      <c r="B255" s="166"/>
      <c r="C255" s="125"/>
      <c r="D255" s="125"/>
      <c r="E255" s="32"/>
      <c r="F255"/>
      <c r="G255"/>
      <c r="H255"/>
      <c r="I255"/>
      <c r="J255"/>
      <c r="K255"/>
      <c r="L255"/>
      <c r="M255"/>
      <c r="N255"/>
      <c r="O255"/>
      <c r="P255"/>
      <c r="Q255"/>
      <c r="R255"/>
      <c r="S255"/>
      <c r="T255"/>
      <c r="U255"/>
      <c r="V255"/>
      <c r="W255"/>
      <c r="X255"/>
      <c r="Y255"/>
      <c r="Z255"/>
      <c r="AA255"/>
      <c r="AB255"/>
      <c r="AC255"/>
      <c r="AD255"/>
      <c r="AE255"/>
      <c r="AF255"/>
      <c r="AG255"/>
      <c r="AH255"/>
      <c r="AI255"/>
    </row>
    <row r="256" spans="1:35" s="33" customFormat="1" ht="15.75">
      <c r="A256" s="178"/>
      <c r="B256" s="166"/>
      <c r="C256" s="125"/>
      <c r="D256" s="125"/>
      <c r="E256" s="32"/>
      <c r="F256"/>
      <c r="G256"/>
      <c r="H256"/>
      <c r="I256"/>
      <c r="J256"/>
      <c r="K256"/>
      <c r="L256"/>
      <c r="M256"/>
      <c r="N256"/>
      <c r="O256"/>
      <c r="P256"/>
      <c r="Q256"/>
      <c r="R256"/>
      <c r="S256"/>
      <c r="T256"/>
      <c r="U256"/>
      <c r="V256"/>
      <c r="W256"/>
      <c r="X256"/>
      <c r="Y256"/>
      <c r="Z256"/>
      <c r="AA256"/>
      <c r="AB256"/>
      <c r="AC256"/>
      <c r="AD256"/>
      <c r="AE256"/>
      <c r="AF256"/>
      <c r="AG256"/>
      <c r="AH256"/>
      <c r="AI256"/>
    </row>
    <row r="257" spans="1:35" s="33" customFormat="1" ht="15.75">
      <c r="A257" s="178"/>
      <c r="B257" s="166"/>
      <c r="C257" s="125"/>
      <c r="D257" s="125"/>
      <c r="E257" s="32"/>
      <c r="F257"/>
      <c r="G257"/>
      <c r="H257"/>
      <c r="I257"/>
      <c r="J257"/>
      <c r="K257"/>
      <c r="L257"/>
      <c r="M257"/>
      <c r="N257"/>
      <c r="O257"/>
      <c r="P257"/>
      <c r="Q257"/>
      <c r="R257"/>
      <c r="S257"/>
      <c r="T257"/>
      <c r="U257"/>
      <c r="V257"/>
      <c r="W257"/>
      <c r="X257"/>
      <c r="Y257"/>
      <c r="Z257"/>
      <c r="AA257"/>
      <c r="AB257"/>
      <c r="AC257"/>
      <c r="AD257"/>
      <c r="AE257"/>
      <c r="AF257"/>
      <c r="AG257"/>
      <c r="AH257"/>
      <c r="AI257"/>
    </row>
    <row r="258" spans="1:35" s="33" customFormat="1" ht="15.75">
      <c r="A258" s="178"/>
      <c r="B258" s="166"/>
      <c r="C258" s="125"/>
      <c r="D258" s="125"/>
      <c r="E258" s="32"/>
      <c r="F258"/>
      <c r="G258"/>
      <c r="H258"/>
      <c r="I258"/>
      <c r="J258"/>
      <c r="K258"/>
      <c r="L258"/>
      <c r="M258"/>
      <c r="N258"/>
      <c r="O258"/>
      <c r="P258"/>
      <c r="Q258"/>
      <c r="R258"/>
      <c r="S258"/>
      <c r="T258"/>
      <c r="U258"/>
      <c r="V258"/>
      <c r="W258"/>
      <c r="X258"/>
      <c r="Y258"/>
      <c r="Z258"/>
      <c r="AA258"/>
      <c r="AB258"/>
      <c r="AC258"/>
      <c r="AD258"/>
      <c r="AE258"/>
      <c r="AF258"/>
      <c r="AG258"/>
      <c r="AH258"/>
      <c r="AI258"/>
    </row>
    <row r="259" spans="1:35" s="33" customFormat="1" ht="15.75">
      <c r="A259" s="178"/>
      <c r="B259" s="166"/>
      <c r="C259" s="125"/>
      <c r="D259" s="125"/>
      <c r="E259" s="32"/>
      <c r="F259"/>
      <c r="G259"/>
      <c r="H259"/>
      <c r="I259"/>
      <c r="J259"/>
      <c r="K259"/>
      <c r="L259"/>
      <c r="M259"/>
      <c r="N259"/>
      <c r="O259"/>
      <c r="P259"/>
      <c r="Q259"/>
      <c r="R259"/>
      <c r="S259"/>
      <c r="T259"/>
      <c r="U259"/>
      <c r="V259"/>
      <c r="W259"/>
      <c r="X259"/>
      <c r="Y259"/>
      <c r="Z259"/>
      <c r="AA259"/>
      <c r="AB259"/>
      <c r="AC259"/>
      <c r="AD259"/>
      <c r="AE259"/>
      <c r="AF259"/>
      <c r="AG259"/>
      <c r="AH259"/>
      <c r="AI259"/>
    </row>
    <row r="260" spans="1:35" s="33" customFormat="1" ht="15.75">
      <c r="A260" s="178"/>
      <c r="B260" s="166"/>
      <c r="C260" s="125"/>
      <c r="D260" s="125"/>
      <c r="E260" s="32"/>
      <c r="F260"/>
      <c r="G260"/>
      <c r="H260"/>
      <c r="I260"/>
      <c r="J260"/>
      <c r="K260"/>
      <c r="L260"/>
      <c r="M260"/>
      <c r="N260"/>
      <c r="O260"/>
      <c r="P260"/>
      <c r="Q260"/>
      <c r="R260"/>
      <c r="S260"/>
      <c r="T260"/>
      <c r="U260"/>
      <c r="V260"/>
      <c r="W260"/>
      <c r="X260"/>
      <c r="Y260"/>
      <c r="Z260"/>
      <c r="AA260"/>
      <c r="AB260"/>
      <c r="AC260"/>
      <c r="AD260"/>
      <c r="AE260"/>
      <c r="AF260"/>
      <c r="AG260"/>
      <c r="AH260"/>
      <c r="AI260"/>
    </row>
    <row r="261" spans="1:35" s="33" customFormat="1" ht="15.75">
      <c r="A261" s="178"/>
      <c r="B261" s="166"/>
      <c r="C261" s="125"/>
      <c r="D261" s="125"/>
      <c r="E261" s="32"/>
      <c r="F261"/>
      <c r="G261"/>
      <c r="H261"/>
      <c r="I261"/>
      <c r="J261"/>
      <c r="K261"/>
      <c r="L261"/>
      <c r="M261"/>
      <c r="N261"/>
      <c r="O261"/>
      <c r="P261"/>
      <c r="Q261"/>
      <c r="R261"/>
      <c r="S261"/>
      <c r="T261"/>
      <c r="U261"/>
      <c r="V261"/>
      <c r="W261"/>
      <c r="X261"/>
      <c r="Y261"/>
      <c r="Z261"/>
      <c r="AA261"/>
      <c r="AB261"/>
      <c r="AC261"/>
      <c r="AD261"/>
      <c r="AE261"/>
      <c r="AF261"/>
      <c r="AG261"/>
      <c r="AH261"/>
      <c r="AI261"/>
    </row>
    <row r="262" spans="1:35" s="33" customFormat="1" ht="15.75">
      <c r="A262" s="178"/>
      <c r="B262" s="166"/>
      <c r="C262" s="125"/>
      <c r="D262" s="125"/>
      <c r="E262" s="32"/>
      <c r="F262"/>
      <c r="G262"/>
      <c r="H262"/>
      <c r="I262"/>
      <c r="J262"/>
      <c r="K262"/>
      <c r="L262"/>
      <c r="M262"/>
      <c r="N262"/>
      <c r="O262"/>
      <c r="P262"/>
      <c r="Q262"/>
      <c r="R262"/>
      <c r="S262"/>
      <c r="T262"/>
      <c r="U262"/>
      <c r="V262"/>
      <c r="W262"/>
      <c r="X262"/>
      <c r="Y262"/>
      <c r="Z262"/>
      <c r="AA262"/>
      <c r="AB262"/>
      <c r="AC262"/>
      <c r="AD262"/>
      <c r="AE262"/>
      <c r="AF262"/>
      <c r="AG262"/>
      <c r="AH262"/>
      <c r="AI262"/>
    </row>
    <row r="263" spans="1:35" s="33" customFormat="1" ht="15.75">
      <c r="A263" s="178"/>
      <c r="B263" s="166"/>
      <c r="C263" s="125"/>
      <c r="D263" s="125"/>
      <c r="E263" s="32"/>
      <c r="F263"/>
      <c r="G263"/>
      <c r="H263"/>
      <c r="I263"/>
      <c r="J263"/>
      <c r="K263"/>
      <c r="L263"/>
      <c r="M263"/>
      <c r="N263"/>
      <c r="O263"/>
      <c r="P263"/>
      <c r="Q263"/>
      <c r="R263"/>
      <c r="S263"/>
      <c r="T263"/>
      <c r="U263"/>
      <c r="V263"/>
      <c r="W263"/>
      <c r="X263"/>
      <c r="Y263"/>
      <c r="Z263"/>
      <c r="AA263"/>
      <c r="AB263"/>
      <c r="AC263"/>
      <c r="AD263"/>
      <c r="AE263"/>
      <c r="AF263"/>
      <c r="AG263"/>
      <c r="AH263"/>
      <c r="AI263"/>
    </row>
    <row r="264" spans="1:35" s="33" customFormat="1" ht="15.75">
      <c r="A264" s="178"/>
      <c r="B264" s="166"/>
      <c r="C264" s="125"/>
      <c r="D264" s="125"/>
      <c r="E264" s="32"/>
      <c r="F264"/>
      <c r="G264"/>
      <c r="H264"/>
      <c r="I264"/>
      <c r="J264"/>
      <c r="K264"/>
      <c r="L264"/>
      <c r="M264"/>
      <c r="N264"/>
      <c r="O264"/>
      <c r="P264"/>
      <c r="Q264"/>
      <c r="R264"/>
      <c r="S264"/>
      <c r="T264"/>
      <c r="U264"/>
      <c r="V264"/>
      <c r="W264"/>
      <c r="X264"/>
      <c r="Y264"/>
      <c r="Z264"/>
      <c r="AA264"/>
      <c r="AB264"/>
      <c r="AC264"/>
      <c r="AD264"/>
      <c r="AE264"/>
      <c r="AF264"/>
      <c r="AG264"/>
      <c r="AH264"/>
      <c r="AI264"/>
    </row>
    <row r="265" spans="1:35" s="33" customFormat="1" ht="15.75">
      <c r="A265" s="178"/>
      <c r="B265" s="166"/>
      <c r="C265" s="125"/>
      <c r="D265" s="125"/>
      <c r="E265" s="32"/>
      <c r="F265"/>
      <c r="G265"/>
      <c r="H265"/>
      <c r="I265"/>
      <c r="J265"/>
      <c r="K265"/>
      <c r="L265"/>
      <c r="M265"/>
      <c r="N265"/>
      <c r="O265"/>
      <c r="P265"/>
      <c r="Q265"/>
      <c r="R265"/>
      <c r="S265"/>
      <c r="T265"/>
      <c r="U265"/>
      <c r="V265"/>
      <c r="W265"/>
      <c r="X265"/>
      <c r="Y265"/>
      <c r="Z265"/>
      <c r="AA265"/>
      <c r="AB265"/>
      <c r="AC265"/>
      <c r="AD265"/>
      <c r="AE265"/>
      <c r="AF265"/>
      <c r="AG265"/>
      <c r="AH265"/>
      <c r="AI265"/>
    </row>
    <row r="266" spans="1:35" s="33" customFormat="1" ht="15.75">
      <c r="A266" s="178"/>
      <c r="B266" s="166"/>
      <c r="C266" s="125"/>
      <c r="D266" s="125"/>
      <c r="E266" s="32"/>
      <c r="F266"/>
      <c r="G266"/>
      <c r="H266"/>
      <c r="I266"/>
      <c r="J266"/>
      <c r="K266"/>
      <c r="L266"/>
      <c r="M266"/>
      <c r="N266"/>
      <c r="O266"/>
      <c r="P266"/>
      <c r="Q266"/>
      <c r="R266"/>
      <c r="S266"/>
      <c r="T266"/>
      <c r="U266"/>
      <c r="V266"/>
      <c r="W266"/>
      <c r="X266"/>
      <c r="Y266"/>
      <c r="Z266"/>
      <c r="AA266"/>
      <c r="AB266"/>
      <c r="AC266"/>
      <c r="AD266"/>
      <c r="AE266"/>
      <c r="AF266"/>
      <c r="AG266"/>
      <c r="AH266"/>
      <c r="AI266"/>
    </row>
    <row r="267" spans="1:35" s="33" customFormat="1" ht="15.75">
      <c r="A267" s="178"/>
      <c r="B267" s="166"/>
      <c r="C267" s="125"/>
      <c r="D267" s="125"/>
      <c r="E267" s="32"/>
      <c r="F267"/>
      <c r="G267"/>
      <c r="H267"/>
      <c r="I267"/>
      <c r="J267"/>
      <c r="K267"/>
      <c r="L267"/>
      <c r="M267"/>
      <c r="N267"/>
      <c r="O267"/>
      <c r="P267"/>
      <c r="Q267"/>
      <c r="R267"/>
      <c r="S267"/>
      <c r="T267"/>
      <c r="U267"/>
      <c r="V267"/>
      <c r="W267"/>
      <c r="X267"/>
      <c r="Y267"/>
      <c r="Z267"/>
      <c r="AA267"/>
      <c r="AB267"/>
      <c r="AC267"/>
      <c r="AD267"/>
      <c r="AE267"/>
      <c r="AF267"/>
      <c r="AG267"/>
      <c r="AH267"/>
      <c r="AI267"/>
    </row>
    <row r="268" spans="1:35" s="33" customFormat="1" ht="15.75">
      <c r="A268" s="178"/>
      <c r="B268" s="166"/>
      <c r="C268" s="125"/>
      <c r="D268" s="125"/>
      <c r="E268" s="32"/>
      <c r="F268"/>
      <c r="G268"/>
      <c r="H268"/>
      <c r="I268"/>
      <c r="J268"/>
      <c r="K268"/>
      <c r="L268"/>
      <c r="M268"/>
      <c r="N268"/>
      <c r="O268"/>
      <c r="P268"/>
      <c r="Q268"/>
      <c r="R268"/>
      <c r="S268"/>
      <c r="T268"/>
      <c r="U268"/>
      <c r="V268"/>
      <c r="W268"/>
      <c r="X268"/>
      <c r="Y268"/>
      <c r="Z268"/>
      <c r="AA268"/>
      <c r="AB268"/>
      <c r="AC268"/>
      <c r="AD268"/>
      <c r="AE268"/>
      <c r="AF268"/>
      <c r="AG268"/>
      <c r="AH268"/>
      <c r="AI268"/>
    </row>
    <row r="269" spans="1:35" s="33" customFormat="1" ht="15.75">
      <c r="A269" s="178"/>
      <c r="B269" s="166"/>
      <c r="C269" s="125"/>
      <c r="D269" s="125"/>
      <c r="E269" s="32"/>
      <c r="F269"/>
      <c r="G269"/>
      <c r="H269"/>
      <c r="I269"/>
      <c r="J269"/>
      <c r="K269"/>
      <c r="L269"/>
      <c r="M269"/>
      <c r="N269"/>
      <c r="O269"/>
      <c r="P269"/>
      <c r="Q269"/>
      <c r="R269"/>
      <c r="S269"/>
      <c r="T269"/>
      <c r="U269"/>
      <c r="V269"/>
      <c r="W269"/>
      <c r="X269"/>
      <c r="Y269"/>
      <c r="Z269"/>
      <c r="AA269"/>
      <c r="AB269"/>
      <c r="AC269"/>
      <c r="AD269"/>
      <c r="AE269"/>
      <c r="AF269"/>
      <c r="AG269"/>
      <c r="AH269"/>
      <c r="AI269"/>
    </row>
    <row r="270" spans="1:35" s="33" customFormat="1" ht="15.75">
      <c r="A270" s="178"/>
      <c r="B270" s="166"/>
      <c r="C270" s="125"/>
      <c r="D270" s="125"/>
      <c r="E270" s="32"/>
      <c r="F270"/>
      <c r="G270"/>
      <c r="H270"/>
      <c r="I270"/>
      <c r="J270"/>
      <c r="K270"/>
      <c r="L270"/>
      <c r="M270"/>
      <c r="N270"/>
      <c r="O270"/>
      <c r="P270"/>
      <c r="Q270"/>
      <c r="R270"/>
      <c r="S270"/>
      <c r="T270"/>
      <c r="U270"/>
      <c r="V270"/>
      <c r="W270"/>
      <c r="X270"/>
      <c r="Y270"/>
      <c r="Z270"/>
      <c r="AA270"/>
      <c r="AB270"/>
      <c r="AC270"/>
      <c r="AD270"/>
      <c r="AE270"/>
      <c r="AF270"/>
      <c r="AG270"/>
      <c r="AH270"/>
      <c r="AI270"/>
    </row>
    <row r="271" spans="1:35" s="33" customFormat="1" ht="15.75">
      <c r="A271" s="178"/>
      <c r="B271" s="166"/>
      <c r="C271" s="125"/>
      <c r="D271" s="125"/>
      <c r="E271" s="32"/>
      <c r="F271"/>
      <c r="G271"/>
      <c r="H271"/>
      <c r="I271"/>
      <c r="J271"/>
      <c r="K271"/>
      <c r="L271"/>
      <c r="M271"/>
      <c r="N271"/>
      <c r="O271"/>
      <c r="P271"/>
      <c r="Q271"/>
      <c r="R271"/>
      <c r="S271"/>
      <c r="T271"/>
      <c r="U271"/>
      <c r="V271"/>
      <c r="W271"/>
      <c r="X271"/>
      <c r="Y271"/>
      <c r="Z271"/>
      <c r="AA271"/>
      <c r="AB271"/>
      <c r="AC271"/>
      <c r="AD271"/>
      <c r="AE271"/>
      <c r="AF271"/>
      <c r="AG271"/>
      <c r="AH271"/>
      <c r="AI271"/>
    </row>
    <row r="272" spans="1:35" s="33" customFormat="1" ht="15.75">
      <c r="A272" s="178"/>
      <c r="B272" s="166"/>
      <c r="C272" s="125"/>
      <c r="D272" s="125"/>
      <c r="E272" s="32"/>
      <c r="F272"/>
      <c r="G272"/>
      <c r="H272"/>
      <c r="I272"/>
      <c r="J272"/>
      <c r="K272"/>
      <c r="L272"/>
      <c r="M272"/>
      <c r="N272"/>
      <c r="O272"/>
      <c r="P272"/>
      <c r="Q272"/>
      <c r="R272"/>
      <c r="S272"/>
      <c r="T272"/>
      <c r="U272"/>
      <c r="V272"/>
      <c r="W272"/>
      <c r="X272"/>
      <c r="Y272"/>
      <c r="Z272"/>
      <c r="AA272"/>
      <c r="AB272"/>
      <c r="AC272"/>
      <c r="AD272"/>
      <c r="AE272"/>
      <c r="AF272"/>
      <c r="AG272"/>
      <c r="AH272"/>
      <c r="AI272"/>
    </row>
    <row r="273" spans="1:35" s="33" customFormat="1" ht="15.75">
      <c r="A273" s="178"/>
      <c r="B273" s="166"/>
      <c r="C273" s="125"/>
      <c r="D273" s="125"/>
      <c r="E273" s="32"/>
      <c r="F273"/>
      <c r="G273"/>
      <c r="H273"/>
      <c r="I273"/>
      <c r="J273"/>
      <c r="K273"/>
      <c r="L273"/>
      <c r="M273"/>
      <c r="N273"/>
      <c r="O273"/>
      <c r="P273"/>
      <c r="Q273"/>
      <c r="R273"/>
      <c r="S273"/>
      <c r="T273"/>
      <c r="U273"/>
      <c r="V273"/>
      <c r="W273"/>
      <c r="X273"/>
      <c r="Y273"/>
      <c r="Z273"/>
      <c r="AA273"/>
      <c r="AB273"/>
      <c r="AC273"/>
      <c r="AD273"/>
      <c r="AE273"/>
      <c r="AF273"/>
      <c r="AG273"/>
      <c r="AH273"/>
      <c r="AI273"/>
    </row>
    <row r="274" spans="1:35" s="33" customFormat="1" ht="15.75">
      <c r="A274" s="178"/>
      <c r="B274" s="166"/>
      <c r="C274" s="125"/>
      <c r="D274" s="125"/>
      <c r="E274" s="32"/>
      <c r="F274"/>
      <c r="G274"/>
      <c r="H274"/>
      <c r="I274"/>
      <c r="J274"/>
      <c r="K274"/>
      <c r="L274"/>
      <c r="M274"/>
      <c r="N274"/>
      <c r="O274"/>
      <c r="P274"/>
      <c r="Q274"/>
      <c r="R274"/>
      <c r="S274"/>
      <c r="T274"/>
      <c r="U274"/>
      <c r="V274"/>
      <c r="W274"/>
      <c r="X274"/>
      <c r="Y274"/>
      <c r="Z274"/>
      <c r="AA274"/>
      <c r="AB274"/>
      <c r="AC274"/>
      <c r="AD274"/>
      <c r="AE274"/>
      <c r="AF274"/>
      <c r="AG274"/>
      <c r="AH274"/>
      <c r="AI274"/>
    </row>
    <row r="275" spans="1:35" s="33" customFormat="1" ht="15.75">
      <c r="A275" s="178"/>
      <c r="B275" s="166"/>
      <c r="C275" s="125"/>
      <c r="D275" s="125"/>
      <c r="E275" s="32"/>
      <c r="F275"/>
      <c r="G275"/>
      <c r="H275"/>
      <c r="I275"/>
      <c r="J275"/>
      <c r="K275"/>
      <c r="L275"/>
      <c r="M275"/>
      <c r="N275"/>
      <c r="O275"/>
      <c r="P275"/>
      <c r="Q275"/>
      <c r="R275"/>
      <c r="S275"/>
      <c r="T275"/>
      <c r="U275"/>
      <c r="V275"/>
      <c r="W275"/>
      <c r="X275"/>
      <c r="Y275"/>
      <c r="Z275"/>
      <c r="AA275"/>
      <c r="AB275"/>
      <c r="AC275"/>
      <c r="AD275"/>
      <c r="AE275"/>
      <c r="AF275"/>
      <c r="AG275"/>
      <c r="AH275"/>
      <c r="AI275"/>
    </row>
    <row r="276" spans="1:35" s="33" customFormat="1" ht="15.75">
      <c r="A276" s="178"/>
      <c r="B276" s="166"/>
      <c r="C276" s="125"/>
      <c r="D276" s="125"/>
      <c r="E276" s="32"/>
      <c r="F276"/>
      <c r="G276"/>
      <c r="H276"/>
      <c r="I276"/>
      <c r="J276"/>
      <c r="K276"/>
      <c r="L276"/>
      <c r="M276"/>
      <c r="N276"/>
      <c r="O276"/>
      <c r="P276"/>
      <c r="Q276"/>
      <c r="R276"/>
      <c r="S276"/>
      <c r="T276"/>
      <c r="U276"/>
      <c r="V276"/>
      <c r="W276"/>
      <c r="X276"/>
      <c r="Y276"/>
      <c r="Z276"/>
      <c r="AA276"/>
      <c r="AB276"/>
      <c r="AC276"/>
      <c r="AD276"/>
      <c r="AE276"/>
      <c r="AF276"/>
      <c r="AG276"/>
      <c r="AH276"/>
      <c r="AI276"/>
    </row>
    <row r="277" spans="1:35" s="33" customFormat="1" ht="15.75">
      <c r="A277" s="178"/>
      <c r="B277" s="166"/>
      <c r="C277" s="125"/>
      <c r="D277" s="125"/>
      <c r="E277" s="32"/>
      <c r="F277"/>
      <c r="G277"/>
      <c r="H277"/>
      <c r="I277"/>
      <c r="J277"/>
      <c r="K277"/>
      <c r="L277"/>
      <c r="M277"/>
      <c r="N277"/>
      <c r="O277"/>
      <c r="P277"/>
      <c r="Q277"/>
      <c r="R277"/>
      <c r="S277"/>
      <c r="T277"/>
      <c r="U277"/>
      <c r="V277"/>
      <c r="W277"/>
      <c r="X277"/>
      <c r="Y277"/>
      <c r="Z277"/>
      <c r="AA277"/>
      <c r="AB277"/>
      <c r="AC277"/>
      <c r="AD277"/>
      <c r="AE277"/>
      <c r="AF277"/>
      <c r="AG277"/>
      <c r="AH277"/>
      <c r="AI277"/>
    </row>
    <row r="278" spans="1:35" s="33" customFormat="1" ht="15.75">
      <c r="A278" s="178"/>
      <c r="B278" s="166"/>
      <c r="C278" s="125"/>
      <c r="D278" s="125"/>
      <c r="E278" s="32"/>
      <c r="F278"/>
      <c r="G278"/>
      <c r="H278"/>
      <c r="I278"/>
      <c r="J278"/>
      <c r="K278"/>
      <c r="L278"/>
      <c r="M278"/>
      <c r="N278"/>
      <c r="O278"/>
      <c r="P278"/>
      <c r="Q278"/>
      <c r="R278"/>
      <c r="S278"/>
      <c r="T278"/>
      <c r="U278"/>
      <c r="V278"/>
      <c r="W278"/>
      <c r="X278"/>
      <c r="Y278"/>
      <c r="Z278"/>
      <c r="AA278"/>
      <c r="AB278"/>
      <c r="AC278"/>
      <c r="AD278"/>
      <c r="AE278"/>
      <c r="AF278"/>
      <c r="AG278"/>
      <c r="AH278"/>
      <c r="AI278"/>
    </row>
    <row r="279" spans="1:35" s="33" customFormat="1" ht="15.75">
      <c r="A279" s="178"/>
      <c r="B279" s="166"/>
      <c r="C279" s="125"/>
      <c r="D279" s="125"/>
      <c r="E279" s="32"/>
      <c r="F279"/>
      <c r="G279"/>
      <c r="H279"/>
      <c r="I279"/>
      <c r="J279"/>
      <c r="K279"/>
      <c r="L279"/>
      <c r="M279"/>
      <c r="N279"/>
      <c r="O279"/>
      <c r="P279"/>
      <c r="Q279"/>
      <c r="R279"/>
      <c r="S279"/>
      <c r="T279"/>
      <c r="U279"/>
      <c r="V279"/>
      <c r="W279"/>
      <c r="X279"/>
      <c r="Y279"/>
      <c r="Z279"/>
      <c r="AA279"/>
      <c r="AB279"/>
      <c r="AC279"/>
      <c r="AD279"/>
      <c r="AE279"/>
      <c r="AF279"/>
      <c r="AG279"/>
      <c r="AH279"/>
      <c r="AI279"/>
    </row>
    <row r="280" spans="1:35" s="33" customFormat="1" ht="15.75">
      <c r="A280" s="178"/>
      <c r="B280" s="166"/>
      <c r="C280" s="125"/>
      <c r="D280" s="125"/>
      <c r="E280" s="32"/>
      <c r="F280"/>
      <c r="G280"/>
      <c r="H280"/>
      <c r="I280"/>
      <c r="J280"/>
      <c r="K280"/>
      <c r="L280"/>
      <c r="M280"/>
      <c r="N280"/>
      <c r="O280"/>
      <c r="P280"/>
      <c r="Q280"/>
      <c r="R280"/>
      <c r="S280"/>
      <c r="T280"/>
      <c r="U280"/>
      <c r="V280"/>
      <c r="W280"/>
      <c r="X280"/>
      <c r="Y280"/>
      <c r="Z280"/>
      <c r="AA280"/>
      <c r="AB280"/>
      <c r="AC280"/>
      <c r="AD280"/>
      <c r="AE280"/>
      <c r="AF280"/>
      <c r="AG280"/>
      <c r="AH280"/>
      <c r="AI280"/>
    </row>
    <row r="281" spans="1:35" s="33" customFormat="1" ht="15.75">
      <c r="A281" s="178"/>
      <c r="B281" s="166"/>
      <c r="C281" s="125"/>
      <c r="D281" s="125"/>
      <c r="E281" s="32"/>
      <c r="F281"/>
      <c r="G281"/>
      <c r="H281"/>
      <c r="I281"/>
      <c r="J281"/>
      <c r="K281"/>
      <c r="L281"/>
      <c r="M281"/>
      <c r="N281"/>
      <c r="O281"/>
      <c r="P281"/>
      <c r="Q281"/>
      <c r="R281"/>
      <c r="S281"/>
      <c r="T281"/>
      <c r="U281"/>
      <c r="V281"/>
      <c r="W281"/>
      <c r="X281"/>
      <c r="Y281"/>
      <c r="Z281"/>
      <c r="AA281"/>
      <c r="AB281"/>
      <c r="AC281"/>
      <c r="AD281"/>
      <c r="AE281"/>
      <c r="AF281"/>
      <c r="AG281"/>
      <c r="AH281"/>
      <c r="AI281"/>
    </row>
    <row r="282" spans="1:35" s="33" customFormat="1" ht="15.75">
      <c r="A282" s="178"/>
      <c r="B282" s="166"/>
      <c r="C282" s="125"/>
      <c r="D282" s="125"/>
      <c r="E282" s="32"/>
      <c r="F282"/>
      <c r="G282"/>
      <c r="H282"/>
      <c r="I282"/>
      <c r="J282"/>
      <c r="K282"/>
      <c r="L282"/>
      <c r="M282"/>
      <c r="N282"/>
      <c r="O282"/>
      <c r="P282"/>
      <c r="Q282"/>
      <c r="R282"/>
      <c r="S282"/>
      <c r="T282"/>
      <c r="U282"/>
      <c r="V282"/>
      <c r="W282"/>
      <c r="X282"/>
      <c r="Y282"/>
      <c r="Z282"/>
      <c r="AA282"/>
      <c r="AB282"/>
      <c r="AC282"/>
      <c r="AD282"/>
      <c r="AE282"/>
      <c r="AF282"/>
      <c r="AG282"/>
      <c r="AH282"/>
      <c r="AI282"/>
    </row>
    <row r="283" spans="1:35" s="33" customFormat="1" ht="15.75">
      <c r="A283" s="178"/>
      <c r="B283" s="166"/>
      <c r="C283" s="125"/>
      <c r="D283" s="125"/>
      <c r="E283" s="32"/>
      <c r="F283"/>
      <c r="G283"/>
      <c r="H283"/>
      <c r="I283"/>
      <c r="J283"/>
      <c r="K283"/>
      <c r="L283"/>
      <c r="M283"/>
      <c r="N283"/>
      <c r="O283"/>
      <c r="P283"/>
      <c r="Q283"/>
      <c r="R283"/>
      <c r="S283"/>
      <c r="T283"/>
      <c r="U283"/>
      <c r="V283"/>
      <c r="W283"/>
      <c r="X283"/>
      <c r="Y283"/>
      <c r="Z283"/>
      <c r="AA283"/>
      <c r="AB283"/>
      <c r="AC283"/>
      <c r="AD283"/>
      <c r="AE283"/>
      <c r="AF283"/>
      <c r="AG283"/>
      <c r="AH283"/>
      <c r="AI283"/>
    </row>
    <row r="284" spans="1:35" s="33" customFormat="1" ht="15.75">
      <c r="A284" s="178"/>
      <c r="B284" s="166"/>
      <c r="C284" s="125"/>
      <c r="D284" s="125"/>
      <c r="E284" s="32"/>
      <c r="F284"/>
      <c r="G284"/>
      <c r="H284"/>
      <c r="I284"/>
      <c r="J284"/>
      <c r="K284"/>
      <c r="L284"/>
      <c r="M284"/>
      <c r="N284"/>
      <c r="O284"/>
      <c r="P284"/>
      <c r="Q284"/>
      <c r="R284"/>
      <c r="S284"/>
      <c r="T284"/>
      <c r="U284"/>
      <c r="V284"/>
      <c r="W284"/>
      <c r="X284"/>
      <c r="Y284"/>
      <c r="Z284"/>
      <c r="AA284"/>
      <c r="AB284"/>
      <c r="AC284"/>
      <c r="AD284"/>
      <c r="AE284"/>
      <c r="AF284"/>
      <c r="AG284"/>
      <c r="AH284"/>
      <c r="AI284"/>
    </row>
    <row r="285" spans="1:35" s="33" customFormat="1" ht="15.75">
      <c r="A285" s="178"/>
      <c r="B285" s="166"/>
      <c r="C285" s="125"/>
      <c r="D285" s="125"/>
      <c r="E285" s="32"/>
      <c r="F285"/>
      <c r="G285"/>
      <c r="H285"/>
      <c r="I285"/>
      <c r="J285"/>
      <c r="K285"/>
      <c r="L285"/>
      <c r="M285"/>
      <c r="N285"/>
      <c r="O285"/>
      <c r="P285"/>
      <c r="Q285"/>
      <c r="R285"/>
      <c r="S285"/>
      <c r="T285"/>
      <c r="U285"/>
      <c r="V285"/>
      <c r="W285"/>
      <c r="X285"/>
      <c r="Y285"/>
      <c r="Z285"/>
      <c r="AA285"/>
      <c r="AB285"/>
      <c r="AC285"/>
      <c r="AD285"/>
      <c r="AE285"/>
      <c r="AF285"/>
      <c r="AG285"/>
      <c r="AH285"/>
      <c r="AI285"/>
    </row>
    <row r="286" spans="1:35" s="33" customFormat="1" ht="15.75">
      <c r="A286" s="178"/>
      <c r="B286" s="166"/>
      <c r="C286" s="125"/>
      <c r="D286" s="125"/>
      <c r="E286" s="32"/>
      <c r="F286"/>
      <c r="G286"/>
      <c r="H286"/>
      <c r="I286"/>
      <c r="J286"/>
      <c r="K286"/>
      <c r="L286"/>
      <c r="M286"/>
      <c r="N286"/>
      <c r="O286"/>
      <c r="P286"/>
      <c r="Q286"/>
      <c r="R286"/>
      <c r="S286"/>
      <c r="T286"/>
      <c r="U286"/>
      <c r="V286"/>
      <c r="W286"/>
      <c r="X286"/>
      <c r="Y286"/>
      <c r="Z286"/>
      <c r="AA286"/>
      <c r="AB286"/>
      <c r="AC286"/>
      <c r="AD286"/>
      <c r="AE286"/>
      <c r="AF286"/>
      <c r="AG286"/>
      <c r="AH286"/>
      <c r="AI286"/>
    </row>
    <row r="287" spans="1:35" s="33" customFormat="1" ht="15.75">
      <c r="A287" s="178"/>
      <c r="B287" s="166"/>
      <c r="C287" s="125"/>
      <c r="D287" s="125"/>
      <c r="E287" s="32"/>
      <c r="F287"/>
      <c r="G287"/>
      <c r="H287"/>
      <c r="I287"/>
      <c r="J287"/>
      <c r="K287"/>
      <c r="L287"/>
      <c r="M287"/>
      <c r="N287"/>
      <c r="O287"/>
      <c r="P287"/>
      <c r="Q287"/>
      <c r="R287"/>
      <c r="S287"/>
      <c r="T287"/>
      <c r="U287"/>
      <c r="V287"/>
      <c r="W287"/>
      <c r="X287"/>
      <c r="Y287"/>
      <c r="Z287"/>
      <c r="AA287"/>
      <c r="AB287"/>
      <c r="AC287"/>
      <c r="AD287"/>
      <c r="AE287"/>
      <c r="AF287"/>
      <c r="AG287"/>
      <c r="AH287"/>
      <c r="AI287"/>
    </row>
    <row r="288" spans="1:35" s="33" customFormat="1" ht="15.75">
      <c r="A288" s="178"/>
      <c r="B288" s="166"/>
      <c r="C288" s="125"/>
      <c r="D288" s="125"/>
      <c r="E288" s="32"/>
      <c r="F288"/>
      <c r="G288"/>
      <c r="H288"/>
      <c r="I288"/>
      <c r="J288"/>
      <c r="K288"/>
      <c r="L288"/>
      <c r="M288"/>
      <c r="N288"/>
      <c r="O288"/>
      <c r="P288"/>
      <c r="Q288"/>
      <c r="R288"/>
      <c r="S288"/>
      <c r="T288"/>
      <c r="U288"/>
      <c r="V288"/>
      <c r="W288"/>
      <c r="X288"/>
      <c r="Y288"/>
      <c r="Z288"/>
      <c r="AA288"/>
      <c r="AB288"/>
      <c r="AC288"/>
      <c r="AD288"/>
      <c r="AE288"/>
      <c r="AF288"/>
      <c r="AG288"/>
      <c r="AH288"/>
      <c r="AI288"/>
    </row>
    <row r="289" spans="1:35" s="33" customFormat="1" ht="15.75">
      <c r="A289" s="178"/>
      <c r="B289" s="166"/>
      <c r="C289" s="125"/>
      <c r="D289" s="125"/>
      <c r="E289" s="32"/>
      <c r="F289"/>
      <c r="G289"/>
      <c r="H289"/>
      <c r="I289"/>
      <c r="J289"/>
      <c r="K289"/>
      <c r="L289"/>
      <c r="M289"/>
      <c r="N289"/>
      <c r="O289"/>
      <c r="P289"/>
      <c r="Q289"/>
      <c r="R289"/>
      <c r="S289"/>
      <c r="T289"/>
      <c r="U289"/>
      <c r="V289"/>
      <c r="W289"/>
      <c r="X289"/>
      <c r="Y289"/>
      <c r="Z289"/>
      <c r="AA289"/>
      <c r="AB289"/>
      <c r="AC289"/>
      <c r="AD289"/>
      <c r="AE289"/>
      <c r="AF289"/>
      <c r="AG289"/>
      <c r="AH289"/>
      <c r="AI289"/>
    </row>
    <row r="290" spans="1:35" s="33" customFormat="1" ht="15.75">
      <c r="A290" s="178"/>
      <c r="B290" s="166"/>
      <c r="C290" s="125"/>
      <c r="D290" s="125"/>
      <c r="E290" s="32"/>
      <c r="F290"/>
      <c r="G290"/>
      <c r="H290"/>
      <c r="I290"/>
      <c r="J290"/>
      <c r="K290"/>
      <c r="L290"/>
      <c r="M290"/>
      <c r="N290"/>
      <c r="O290"/>
      <c r="P290"/>
      <c r="Q290"/>
      <c r="R290"/>
      <c r="S290"/>
      <c r="T290"/>
      <c r="U290"/>
      <c r="V290"/>
      <c r="W290"/>
      <c r="X290"/>
      <c r="Y290"/>
      <c r="Z290"/>
      <c r="AA290"/>
      <c r="AB290"/>
      <c r="AC290"/>
      <c r="AD290"/>
      <c r="AE290"/>
      <c r="AF290"/>
      <c r="AG290"/>
      <c r="AH290"/>
      <c r="AI290"/>
    </row>
    <row r="291" spans="1:35" s="33" customFormat="1" ht="15.75">
      <c r="A291" s="178"/>
      <c r="B291" s="166"/>
      <c r="C291" s="125"/>
      <c r="D291" s="125"/>
      <c r="E291" s="32"/>
      <c r="F291"/>
      <c r="G291"/>
      <c r="H291"/>
      <c r="I291"/>
      <c r="J291"/>
      <c r="K291"/>
      <c r="L291"/>
      <c r="M291"/>
      <c r="N291"/>
      <c r="O291"/>
      <c r="P291"/>
      <c r="Q291"/>
      <c r="R291"/>
      <c r="S291"/>
      <c r="T291"/>
      <c r="U291"/>
      <c r="V291"/>
      <c r="W291"/>
      <c r="X291"/>
      <c r="Y291"/>
      <c r="Z291"/>
      <c r="AA291"/>
      <c r="AB291"/>
      <c r="AC291"/>
      <c r="AD291"/>
      <c r="AE291"/>
      <c r="AF291"/>
      <c r="AG291"/>
      <c r="AH291"/>
      <c r="AI291"/>
    </row>
    <row r="292" spans="1:35" s="33" customFormat="1" ht="15.75">
      <c r="A292" s="178"/>
      <c r="B292" s="166"/>
      <c r="C292" s="125"/>
      <c r="D292" s="125"/>
      <c r="E292" s="32"/>
      <c r="F292"/>
      <c r="G292"/>
      <c r="H292"/>
      <c r="I292"/>
      <c r="J292"/>
      <c r="K292"/>
      <c r="L292"/>
      <c r="M292"/>
      <c r="N292"/>
      <c r="O292"/>
      <c r="P292"/>
      <c r="Q292"/>
      <c r="R292"/>
      <c r="S292"/>
      <c r="T292"/>
      <c r="U292"/>
      <c r="V292"/>
      <c r="W292"/>
      <c r="X292"/>
      <c r="Y292"/>
      <c r="Z292"/>
      <c r="AA292"/>
      <c r="AB292"/>
      <c r="AC292"/>
      <c r="AD292"/>
      <c r="AE292"/>
      <c r="AF292"/>
      <c r="AG292"/>
      <c r="AH292"/>
      <c r="AI292"/>
    </row>
    <row r="293" spans="1:35" s="33" customFormat="1" ht="15.75">
      <c r="A293" s="178"/>
      <c r="B293" s="166"/>
      <c r="C293" s="125"/>
      <c r="D293" s="125"/>
      <c r="E293" s="32"/>
      <c r="F293"/>
      <c r="G293"/>
      <c r="H293"/>
      <c r="I293"/>
      <c r="J293"/>
      <c r="K293"/>
      <c r="L293"/>
      <c r="M293"/>
      <c r="N293"/>
      <c r="O293"/>
      <c r="P293"/>
      <c r="Q293"/>
      <c r="R293"/>
      <c r="S293"/>
      <c r="T293"/>
      <c r="U293"/>
      <c r="V293"/>
      <c r="W293"/>
      <c r="X293"/>
      <c r="Y293"/>
      <c r="Z293"/>
      <c r="AA293"/>
      <c r="AB293"/>
      <c r="AC293"/>
      <c r="AD293"/>
      <c r="AE293"/>
      <c r="AF293"/>
      <c r="AG293"/>
      <c r="AH293"/>
      <c r="AI293"/>
    </row>
    <row r="294" spans="1:35" s="33" customFormat="1" ht="15.75">
      <c r="A294" s="178"/>
      <c r="B294" s="166"/>
      <c r="C294" s="125"/>
      <c r="D294" s="125"/>
      <c r="E294" s="32"/>
      <c r="F294"/>
      <c r="G294"/>
      <c r="H294"/>
      <c r="I294"/>
      <c r="J294"/>
      <c r="K294"/>
      <c r="L294"/>
      <c r="M294"/>
      <c r="N294"/>
      <c r="O294"/>
      <c r="P294"/>
      <c r="Q294"/>
      <c r="R294"/>
      <c r="S294"/>
      <c r="T294"/>
      <c r="U294"/>
      <c r="V294"/>
      <c r="W294"/>
      <c r="X294"/>
      <c r="Y294"/>
      <c r="Z294"/>
      <c r="AA294"/>
      <c r="AB294"/>
      <c r="AC294"/>
      <c r="AD294"/>
      <c r="AE294"/>
      <c r="AF294"/>
      <c r="AG294"/>
      <c r="AH294"/>
      <c r="AI294"/>
    </row>
    <row r="295" spans="1:35" s="33" customFormat="1" ht="15.75">
      <c r="A295" s="178"/>
      <c r="B295" s="166"/>
      <c r="C295" s="125"/>
      <c r="D295" s="125"/>
      <c r="E295" s="32"/>
      <c r="F295"/>
      <c r="G295"/>
      <c r="H295"/>
      <c r="I295"/>
      <c r="J295"/>
      <c r="K295"/>
      <c r="L295"/>
      <c r="M295"/>
      <c r="N295"/>
      <c r="O295"/>
      <c r="P295"/>
      <c r="Q295"/>
      <c r="R295"/>
      <c r="S295"/>
      <c r="T295"/>
      <c r="U295"/>
      <c r="V295"/>
      <c r="W295"/>
      <c r="X295"/>
      <c r="Y295"/>
      <c r="Z295"/>
      <c r="AA295"/>
      <c r="AB295"/>
      <c r="AC295"/>
      <c r="AD295"/>
      <c r="AE295"/>
      <c r="AF295"/>
      <c r="AG295"/>
      <c r="AH295"/>
      <c r="AI295"/>
    </row>
    <row r="296" spans="1:35" s="33" customFormat="1" ht="15.75">
      <c r="A296" s="178"/>
      <c r="B296" s="166"/>
      <c r="C296" s="125"/>
      <c r="D296" s="125"/>
      <c r="E296" s="32"/>
      <c r="F296"/>
      <c r="G296"/>
      <c r="H296"/>
      <c r="I296"/>
      <c r="J296"/>
      <c r="K296"/>
      <c r="L296"/>
      <c r="M296"/>
      <c r="N296"/>
      <c r="O296"/>
      <c r="P296"/>
      <c r="Q296"/>
      <c r="R296"/>
      <c r="S296"/>
      <c r="T296"/>
      <c r="U296"/>
      <c r="V296"/>
      <c r="W296"/>
      <c r="X296"/>
      <c r="Y296"/>
      <c r="Z296"/>
      <c r="AA296"/>
      <c r="AB296"/>
      <c r="AC296"/>
      <c r="AD296"/>
      <c r="AE296"/>
      <c r="AF296"/>
      <c r="AG296"/>
      <c r="AH296"/>
      <c r="AI296"/>
    </row>
    <row r="297" spans="1:35" s="33" customFormat="1" ht="15.75">
      <c r="A297" s="178"/>
      <c r="B297" s="166"/>
      <c r="C297" s="125"/>
      <c r="D297" s="125"/>
      <c r="E297" s="32"/>
      <c r="F297"/>
      <c r="G297"/>
      <c r="H297"/>
      <c r="I297"/>
      <c r="J297"/>
      <c r="K297"/>
      <c r="L297"/>
      <c r="M297"/>
      <c r="N297"/>
      <c r="O297"/>
      <c r="P297"/>
      <c r="Q297"/>
      <c r="R297"/>
      <c r="S297"/>
      <c r="T297"/>
      <c r="U297"/>
      <c r="V297"/>
      <c r="W297"/>
      <c r="X297"/>
      <c r="Y297"/>
      <c r="Z297"/>
      <c r="AA297"/>
      <c r="AB297"/>
      <c r="AC297"/>
      <c r="AD297"/>
      <c r="AE297"/>
      <c r="AF297"/>
      <c r="AG297"/>
      <c r="AH297"/>
      <c r="AI297"/>
    </row>
    <row r="298" spans="1:35" s="33" customFormat="1" ht="15.75">
      <c r="A298" s="178"/>
      <c r="B298" s="166"/>
      <c r="C298" s="125"/>
      <c r="D298" s="125"/>
      <c r="E298" s="32"/>
      <c r="F298"/>
      <c r="G298"/>
      <c r="H298"/>
      <c r="I298"/>
      <c r="J298"/>
      <c r="K298"/>
      <c r="L298"/>
      <c r="M298"/>
      <c r="N298"/>
      <c r="O298"/>
      <c r="P298"/>
      <c r="Q298"/>
      <c r="R298"/>
      <c r="S298"/>
      <c r="T298"/>
      <c r="U298"/>
      <c r="V298"/>
      <c r="W298"/>
      <c r="X298"/>
      <c r="Y298"/>
      <c r="Z298"/>
      <c r="AA298"/>
      <c r="AB298"/>
      <c r="AC298"/>
      <c r="AD298"/>
      <c r="AE298"/>
      <c r="AF298"/>
      <c r="AG298"/>
      <c r="AH298"/>
      <c r="AI298"/>
    </row>
    <row r="299" spans="1:35" s="33" customFormat="1" ht="15.75">
      <c r="A299" s="178"/>
      <c r="B299" s="166"/>
      <c r="C299" s="125"/>
      <c r="D299" s="125"/>
      <c r="E299" s="32"/>
      <c r="F299"/>
      <c r="G299"/>
      <c r="H299"/>
      <c r="I299"/>
      <c r="J299"/>
      <c r="K299"/>
      <c r="L299"/>
      <c r="M299"/>
      <c r="N299"/>
      <c r="O299"/>
      <c r="P299"/>
      <c r="Q299"/>
      <c r="R299"/>
      <c r="S299"/>
      <c r="T299"/>
      <c r="U299"/>
      <c r="V299"/>
      <c r="W299"/>
      <c r="X299"/>
      <c r="Y299"/>
      <c r="Z299"/>
      <c r="AA299"/>
      <c r="AB299"/>
      <c r="AC299"/>
      <c r="AD299"/>
      <c r="AE299"/>
      <c r="AF299"/>
      <c r="AG299"/>
      <c r="AH299"/>
      <c r="AI299"/>
    </row>
    <row r="300" spans="1:35" s="33" customFormat="1" ht="15.75">
      <c r="A300" s="178"/>
      <c r="B300" s="166"/>
      <c r="C300" s="125"/>
      <c r="D300" s="125"/>
      <c r="E300" s="32"/>
      <c r="F300"/>
      <c r="G300"/>
      <c r="H300"/>
      <c r="I300"/>
      <c r="J300"/>
      <c r="K300"/>
      <c r="L300"/>
      <c r="M300"/>
      <c r="N300"/>
      <c r="O300"/>
      <c r="P300"/>
      <c r="Q300"/>
      <c r="R300"/>
      <c r="S300"/>
      <c r="T300"/>
      <c r="U300"/>
      <c r="V300"/>
      <c r="W300"/>
      <c r="X300"/>
      <c r="Y300"/>
      <c r="Z300"/>
      <c r="AA300"/>
      <c r="AB300"/>
      <c r="AC300"/>
      <c r="AD300"/>
      <c r="AE300"/>
      <c r="AF300"/>
      <c r="AG300"/>
      <c r="AH300"/>
      <c r="AI300"/>
    </row>
    <row r="301" spans="1:35" s="33" customFormat="1" ht="15.75">
      <c r="A301" s="178"/>
      <c r="B301" s="166"/>
      <c r="C301" s="125"/>
      <c r="D301" s="125"/>
      <c r="E301" s="32"/>
      <c r="F301"/>
      <c r="G301"/>
      <c r="H301"/>
      <c r="I301"/>
      <c r="J301"/>
      <c r="K301"/>
      <c r="L301"/>
      <c r="M301"/>
      <c r="N301"/>
      <c r="O301"/>
      <c r="P301"/>
      <c r="Q301"/>
      <c r="R301"/>
      <c r="S301"/>
      <c r="T301"/>
      <c r="U301"/>
      <c r="V301"/>
      <c r="W301"/>
      <c r="X301"/>
      <c r="Y301"/>
      <c r="Z301"/>
      <c r="AA301"/>
      <c r="AB301"/>
      <c r="AC301"/>
      <c r="AD301"/>
      <c r="AE301"/>
      <c r="AF301"/>
      <c r="AG301"/>
      <c r="AH301"/>
      <c r="AI301"/>
    </row>
    <row r="302" spans="1:35" s="33" customFormat="1" ht="15.75">
      <c r="A302" s="178"/>
      <c r="B302" s="166"/>
      <c r="C302" s="125"/>
      <c r="D302" s="125"/>
      <c r="E302" s="32"/>
      <c r="F302"/>
      <c r="G302"/>
      <c r="H302"/>
      <c r="I302"/>
      <c r="J302"/>
      <c r="K302"/>
      <c r="L302"/>
      <c r="M302"/>
      <c r="N302"/>
      <c r="O302"/>
      <c r="P302"/>
      <c r="Q302"/>
      <c r="R302"/>
      <c r="S302"/>
      <c r="T302"/>
      <c r="U302"/>
      <c r="V302"/>
      <c r="W302"/>
      <c r="X302"/>
      <c r="Y302"/>
      <c r="Z302"/>
      <c r="AA302"/>
      <c r="AB302"/>
      <c r="AC302"/>
      <c r="AD302"/>
      <c r="AE302"/>
      <c r="AF302"/>
      <c r="AG302"/>
      <c r="AH302"/>
      <c r="AI302"/>
    </row>
    <row r="303" spans="1:35" s="33" customFormat="1" ht="15.75">
      <c r="A303" s="178"/>
      <c r="B303" s="166"/>
      <c r="C303" s="125"/>
      <c r="D303" s="125"/>
      <c r="E303" s="32"/>
      <c r="F303"/>
      <c r="G303"/>
      <c r="H303"/>
      <c r="I303"/>
      <c r="J303"/>
      <c r="K303"/>
      <c r="L303"/>
      <c r="M303"/>
      <c r="N303"/>
      <c r="O303"/>
      <c r="P303"/>
      <c r="Q303"/>
      <c r="R303"/>
      <c r="S303"/>
      <c r="T303"/>
      <c r="U303"/>
      <c r="V303"/>
      <c r="W303"/>
      <c r="X303"/>
      <c r="Y303"/>
      <c r="Z303"/>
      <c r="AA303"/>
      <c r="AB303"/>
      <c r="AC303"/>
      <c r="AD303"/>
      <c r="AE303"/>
      <c r="AF303"/>
      <c r="AG303"/>
      <c r="AH303"/>
      <c r="AI303"/>
    </row>
    <row r="304" spans="1:35" s="33" customFormat="1" ht="15.75">
      <c r="A304" s="178"/>
      <c r="B304" s="166"/>
      <c r="C304" s="125"/>
      <c r="D304" s="125"/>
      <c r="E304" s="32"/>
      <c r="F304"/>
      <c r="G304"/>
      <c r="H304"/>
      <c r="I304"/>
      <c r="J304"/>
      <c r="K304"/>
      <c r="L304"/>
      <c r="M304"/>
      <c r="N304"/>
      <c r="O304"/>
      <c r="P304"/>
      <c r="Q304"/>
      <c r="R304"/>
      <c r="S304"/>
      <c r="T304"/>
      <c r="U304"/>
      <c r="V304"/>
      <c r="W304"/>
      <c r="X304"/>
      <c r="Y304"/>
      <c r="Z304"/>
      <c r="AA304"/>
      <c r="AB304"/>
      <c r="AC304"/>
      <c r="AD304"/>
      <c r="AE304"/>
      <c r="AF304"/>
      <c r="AG304"/>
      <c r="AH304"/>
      <c r="AI304"/>
    </row>
    <row r="305" spans="1:35" s="33" customFormat="1" ht="15.75">
      <c r="A305" s="178"/>
      <c r="B305" s="166"/>
      <c r="C305" s="125"/>
      <c r="D305" s="125"/>
      <c r="E305" s="32"/>
      <c r="F305"/>
      <c r="G305"/>
      <c r="H305"/>
      <c r="I305"/>
      <c r="J305"/>
      <c r="K305"/>
      <c r="L305"/>
      <c r="M305"/>
      <c r="N305"/>
      <c r="O305"/>
      <c r="P305"/>
      <c r="Q305"/>
      <c r="R305"/>
      <c r="S305"/>
      <c r="T305"/>
      <c r="U305"/>
      <c r="V305"/>
      <c r="W305"/>
      <c r="X305"/>
      <c r="Y305"/>
      <c r="Z305"/>
      <c r="AA305"/>
      <c r="AB305"/>
      <c r="AC305"/>
      <c r="AD305"/>
      <c r="AE305"/>
      <c r="AF305"/>
      <c r="AG305"/>
      <c r="AH305"/>
      <c r="AI305"/>
    </row>
    <row r="306" spans="1:35" s="33" customFormat="1" ht="15.75">
      <c r="A306" s="178"/>
      <c r="B306" s="166"/>
      <c r="C306" s="125"/>
      <c r="D306" s="125"/>
      <c r="E306" s="32"/>
      <c r="F306"/>
      <c r="G306"/>
      <c r="H306"/>
      <c r="I306"/>
      <c r="J306"/>
      <c r="K306"/>
      <c r="L306"/>
      <c r="M306"/>
      <c r="N306"/>
      <c r="O306"/>
      <c r="P306"/>
      <c r="Q306"/>
      <c r="R306"/>
      <c r="S306"/>
      <c r="T306"/>
      <c r="U306"/>
      <c r="V306"/>
      <c r="W306"/>
      <c r="X306"/>
      <c r="Y306"/>
      <c r="Z306"/>
      <c r="AA306"/>
      <c r="AB306"/>
      <c r="AC306"/>
      <c r="AD306"/>
      <c r="AE306"/>
      <c r="AF306"/>
      <c r="AG306"/>
      <c r="AH306"/>
      <c r="AI306"/>
    </row>
    <row r="307" spans="1:35" s="33" customFormat="1" ht="15.75">
      <c r="A307" s="178"/>
      <c r="B307" s="166"/>
      <c r="C307" s="125"/>
      <c r="D307" s="125"/>
      <c r="E307" s="32"/>
      <c r="F307"/>
      <c r="G307"/>
      <c r="H307"/>
      <c r="I307"/>
      <c r="J307"/>
      <c r="K307"/>
      <c r="L307"/>
      <c r="M307"/>
      <c r="N307"/>
      <c r="O307"/>
      <c r="P307"/>
      <c r="Q307"/>
      <c r="R307"/>
      <c r="S307"/>
      <c r="T307"/>
      <c r="U307"/>
      <c r="V307"/>
      <c r="W307"/>
      <c r="X307"/>
      <c r="Y307"/>
      <c r="Z307"/>
      <c r="AA307"/>
      <c r="AB307"/>
      <c r="AC307"/>
      <c r="AD307"/>
      <c r="AE307"/>
      <c r="AF307"/>
      <c r="AG307"/>
      <c r="AH307"/>
      <c r="AI307"/>
    </row>
    <row r="308" spans="1:35" s="33" customFormat="1" ht="15.75">
      <c r="A308" s="178"/>
      <c r="B308" s="166"/>
      <c r="C308" s="125"/>
      <c r="D308" s="125"/>
      <c r="E308" s="32"/>
      <c r="F308"/>
      <c r="G308"/>
      <c r="H308"/>
      <c r="I308"/>
      <c r="J308"/>
      <c r="K308"/>
      <c r="L308"/>
      <c r="M308"/>
      <c r="N308"/>
      <c r="O308"/>
      <c r="P308"/>
      <c r="Q308"/>
      <c r="R308"/>
      <c r="S308"/>
      <c r="T308"/>
      <c r="U308"/>
      <c r="V308"/>
      <c r="W308"/>
      <c r="X308"/>
      <c r="Y308"/>
      <c r="Z308"/>
      <c r="AA308"/>
      <c r="AB308"/>
      <c r="AC308"/>
      <c r="AD308"/>
      <c r="AE308"/>
      <c r="AF308"/>
      <c r="AG308"/>
      <c r="AH308"/>
      <c r="AI308"/>
    </row>
    <row r="309" spans="1:35" s="33" customFormat="1" ht="15.75">
      <c r="A309" s="178"/>
      <c r="B309" s="166"/>
      <c r="C309" s="125"/>
      <c r="D309" s="125"/>
      <c r="E309" s="32"/>
      <c r="F309"/>
      <c r="G309"/>
      <c r="H309"/>
      <c r="I309"/>
      <c r="J309"/>
      <c r="K309"/>
      <c r="L309"/>
      <c r="M309"/>
      <c r="N309"/>
      <c r="O309"/>
      <c r="P309"/>
      <c r="Q309"/>
      <c r="R309"/>
      <c r="S309"/>
      <c r="T309"/>
      <c r="U309"/>
      <c r="V309"/>
      <c r="W309"/>
      <c r="X309"/>
      <c r="Y309"/>
      <c r="Z309"/>
      <c r="AA309"/>
      <c r="AB309"/>
      <c r="AC309"/>
      <c r="AD309"/>
      <c r="AE309"/>
      <c r="AF309"/>
      <c r="AG309"/>
      <c r="AH309"/>
      <c r="AI309"/>
    </row>
    <row r="310" spans="1:35" s="33" customFormat="1" ht="15.75">
      <c r="A310" s="178"/>
      <c r="B310" s="166"/>
      <c r="C310" s="125"/>
      <c r="D310" s="125"/>
      <c r="E310" s="32"/>
      <c r="F310"/>
      <c r="G310"/>
      <c r="H310"/>
      <c r="I310"/>
      <c r="J310"/>
      <c r="K310"/>
      <c r="L310"/>
      <c r="M310"/>
      <c r="N310"/>
      <c r="O310"/>
      <c r="P310"/>
      <c r="Q310"/>
      <c r="R310"/>
      <c r="S310"/>
      <c r="T310"/>
      <c r="U310"/>
      <c r="V310"/>
      <c r="W310"/>
      <c r="X310"/>
      <c r="Y310"/>
      <c r="Z310"/>
      <c r="AA310"/>
      <c r="AB310"/>
      <c r="AC310"/>
      <c r="AD310"/>
      <c r="AE310"/>
      <c r="AF310"/>
      <c r="AG310"/>
      <c r="AH310"/>
      <c r="AI310"/>
    </row>
    <row r="311" spans="1:35" s="33" customFormat="1" ht="15.75">
      <c r="A311" s="178"/>
      <c r="B311" s="166"/>
      <c r="C311" s="125"/>
      <c r="D311" s="125"/>
      <c r="E311" s="32"/>
      <c r="F311"/>
      <c r="G311"/>
      <c r="H311"/>
      <c r="I311"/>
      <c r="J311"/>
      <c r="K311"/>
      <c r="L311"/>
      <c r="M311"/>
      <c r="N311"/>
      <c r="O311"/>
      <c r="P311"/>
      <c r="Q311"/>
      <c r="R311"/>
      <c r="S311"/>
      <c r="T311"/>
      <c r="U311"/>
      <c r="V311"/>
      <c r="W311"/>
      <c r="X311"/>
      <c r="Y311"/>
      <c r="Z311"/>
      <c r="AA311"/>
      <c r="AB311"/>
      <c r="AC311"/>
      <c r="AD311"/>
      <c r="AE311"/>
      <c r="AF311"/>
      <c r="AG311"/>
      <c r="AH311"/>
      <c r="AI311"/>
    </row>
    <row r="312" spans="1:35" s="33" customFormat="1" ht="15.75">
      <c r="A312" s="178"/>
      <c r="B312" s="166"/>
      <c r="C312" s="125"/>
      <c r="D312" s="125"/>
      <c r="E312" s="32"/>
      <c r="F312"/>
      <c r="G312"/>
      <c r="H312"/>
      <c r="I312"/>
      <c r="J312"/>
      <c r="K312"/>
      <c r="L312"/>
      <c r="M312"/>
      <c r="N312"/>
      <c r="O312"/>
      <c r="P312"/>
      <c r="Q312"/>
      <c r="R312"/>
      <c r="S312"/>
      <c r="T312"/>
      <c r="U312"/>
      <c r="V312"/>
      <c r="W312"/>
      <c r="X312"/>
      <c r="Y312"/>
      <c r="Z312"/>
      <c r="AA312"/>
      <c r="AB312"/>
      <c r="AC312"/>
      <c r="AD312"/>
      <c r="AE312"/>
      <c r="AF312"/>
      <c r="AG312"/>
      <c r="AH312"/>
      <c r="AI312"/>
    </row>
    <row r="313" spans="1:35" s="33" customFormat="1" ht="15.75">
      <c r="A313" s="178"/>
      <c r="B313" s="166"/>
      <c r="C313" s="125"/>
      <c r="D313" s="125"/>
      <c r="E313" s="32"/>
      <c r="F313"/>
      <c r="G313"/>
      <c r="H313"/>
      <c r="I313"/>
      <c r="J313"/>
      <c r="K313"/>
      <c r="L313"/>
      <c r="M313"/>
      <c r="N313"/>
      <c r="O313"/>
      <c r="P313"/>
      <c r="Q313"/>
      <c r="R313"/>
      <c r="S313"/>
      <c r="T313"/>
      <c r="U313"/>
      <c r="V313"/>
      <c r="W313"/>
      <c r="X313"/>
      <c r="Y313"/>
      <c r="Z313"/>
      <c r="AA313"/>
      <c r="AB313"/>
      <c r="AC313"/>
      <c r="AD313"/>
      <c r="AE313"/>
      <c r="AF313"/>
      <c r="AG313"/>
      <c r="AH313"/>
      <c r="AI313"/>
    </row>
    <row r="314" spans="1:35" s="33" customFormat="1" ht="15.75">
      <c r="A314" s="178"/>
      <c r="B314" s="166"/>
      <c r="C314" s="125"/>
      <c r="D314" s="125"/>
      <c r="E314" s="32"/>
      <c r="F314"/>
      <c r="G314"/>
      <c r="H314"/>
      <c r="I314"/>
      <c r="J314"/>
      <c r="K314"/>
      <c r="L314"/>
      <c r="M314"/>
      <c r="N314"/>
      <c r="O314"/>
      <c r="P314"/>
      <c r="Q314"/>
      <c r="R314"/>
      <c r="S314"/>
      <c r="T314"/>
      <c r="U314"/>
      <c r="V314"/>
      <c r="W314"/>
      <c r="X314"/>
      <c r="Y314"/>
      <c r="Z314"/>
      <c r="AA314"/>
      <c r="AB314"/>
      <c r="AC314"/>
      <c r="AD314"/>
      <c r="AE314"/>
      <c r="AF314"/>
      <c r="AG314"/>
      <c r="AH314"/>
      <c r="AI314"/>
    </row>
    <row r="315" spans="1:35" s="33" customFormat="1" ht="15.75">
      <c r="A315" s="178"/>
      <c r="B315" s="166"/>
      <c r="C315" s="125"/>
      <c r="D315" s="125"/>
      <c r="E315" s="32"/>
      <c r="F315"/>
      <c r="G315"/>
      <c r="H315"/>
      <c r="I315"/>
      <c r="J315"/>
      <c r="K315"/>
      <c r="L315"/>
      <c r="M315"/>
      <c r="N315"/>
      <c r="O315"/>
      <c r="P315"/>
      <c r="Q315"/>
      <c r="R315"/>
      <c r="S315"/>
      <c r="T315"/>
      <c r="U315"/>
      <c r="V315"/>
      <c r="W315"/>
      <c r="X315"/>
      <c r="Y315"/>
      <c r="Z315"/>
      <c r="AA315"/>
      <c r="AB315"/>
      <c r="AC315"/>
      <c r="AD315"/>
      <c r="AE315"/>
      <c r="AF315"/>
      <c r="AG315"/>
      <c r="AH315"/>
      <c r="AI315"/>
    </row>
    <row r="316" spans="1:35" s="33" customFormat="1" ht="15.75">
      <c r="A316" s="178"/>
      <c r="B316" s="166"/>
      <c r="C316" s="125"/>
      <c r="D316" s="125"/>
      <c r="E316" s="32"/>
      <c r="F316"/>
      <c r="G316"/>
      <c r="H316"/>
      <c r="I316"/>
      <c r="J316"/>
      <c r="K316"/>
      <c r="L316"/>
      <c r="M316"/>
      <c r="N316"/>
      <c r="O316"/>
      <c r="P316"/>
      <c r="Q316"/>
      <c r="R316"/>
      <c r="S316"/>
      <c r="T316"/>
      <c r="U316"/>
      <c r="V316"/>
      <c r="W316"/>
      <c r="X316"/>
      <c r="Y316"/>
      <c r="Z316"/>
      <c r="AA316"/>
      <c r="AB316"/>
      <c r="AC316"/>
      <c r="AD316"/>
      <c r="AE316"/>
      <c r="AF316"/>
      <c r="AG316"/>
      <c r="AH316"/>
      <c r="AI316"/>
    </row>
    <row r="317" spans="1:35" s="33" customFormat="1" ht="15.75">
      <c r="A317" s="178"/>
      <c r="B317" s="166"/>
      <c r="C317" s="125"/>
      <c r="D317" s="125"/>
      <c r="E317" s="32"/>
      <c r="F317"/>
      <c r="G317"/>
      <c r="H317"/>
      <c r="I317"/>
      <c r="J317"/>
      <c r="K317"/>
      <c r="L317"/>
      <c r="M317"/>
      <c r="N317"/>
      <c r="O317"/>
      <c r="P317"/>
      <c r="Q317"/>
      <c r="R317"/>
      <c r="S317"/>
      <c r="T317"/>
      <c r="U317"/>
      <c r="V317"/>
      <c r="W317"/>
      <c r="X317"/>
      <c r="Y317"/>
      <c r="Z317"/>
      <c r="AA317"/>
      <c r="AB317"/>
      <c r="AC317"/>
      <c r="AD317"/>
      <c r="AE317"/>
      <c r="AF317"/>
      <c r="AG317"/>
      <c r="AH317"/>
      <c r="AI317"/>
    </row>
    <row r="318" spans="1:35" s="33" customFormat="1" ht="15.75">
      <c r="A318" s="178"/>
      <c r="B318" s="166"/>
      <c r="C318" s="125"/>
      <c r="D318" s="125"/>
      <c r="E318" s="32"/>
      <c r="F318"/>
      <c r="G318"/>
      <c r="H318"/>
      <c r="I318"/>
      <c r="J318"/>
      <c r="K318"/>
      <c r="L318"/>
      <c r="M318"/>
      <c r="N318"/>
      <c r="O318"/>
      <c r="P318"/>
      <c r="Q318"/>
      <c r="R318"/>
      <c r="S318"/>
      <c r="T318"/>
      <c r="U318"/>
      <c r="V318"/>
      <c r="W318"/>
      <c r="X318"/>
      <c r="Y318"/>
      <c r="Z318"/>
      <c r="AA318"/>
      <c r="AB318"/>
      <c r="AC318"/>
      <c r="AD318"/>
      <c r="AE318"/>
      <c r="AF318"/>
      <c r="AG318"/>
      <c r="AH318"/>
      <c r="AI318"/>
    </row>
    <row r="319" spans="1:35" s="33" customFormat="1" ht="15.75">
      <c r="A319" s="178"/>
      <c r="B319" s="166"/>
      <c r="C319" s="125"/>
      <c r="D319" s="125"/>
      <c r="E319" s="32"/>
      <c r="F319"/>
      <c r="G319"/>
      <c r="H319"/>
      <c r="I319"/>
      <c r="J319"/>
      <c r="K319"/>
      <c r="L319"/>
      <c r="M319"/>
      <c r="N319"/>
      <c r="O319"/>
      <c r="P319"/>
      <c r="Q319"/>
      <c r="R319"/>
      <c r="S319"/>
      <c r="T319"/>
      <c r="U319"/>
      <c r="V319"/>
      <c r="W319"/>
      <c r="X319"/>
      <c r="Y319"/>
      <c r="Z319"/>
      <c r="AA319"/>
      <c r="AB319"/>
      <c r="AC319"/>
      <c r="AD319"/>
      <c r="AE319"/>
      <c r="AF319"/>
      <c r="AG319"/>
      <c r="AH319"/>
      <c r="AI319"/>
    </row>
    <row r="320" spans="1:35" s="33" customFormat="1" ht="15.75">
      <c r="A320" s="178"/>
      <c r="B320" s="166"/>
      <c r="C320" s="125"/>
      <c r="D320" s="125"/>
      <c r="E320" s="32"/>
      <c r="F320"/>
      <c r="G320"/>
      <c r="H320"/>
      <c r="I320"/>
      <c r="J320"/>
      <c r="K320"/>
      <c r="L320"/>
      <c r="M320"/>
      <c r="N320"/>
      <c r="O320"/>
      <c r="P320"/>
      <c r="Q320"/>
      <c r="R320"/>
      <c r="S320"/>
      <c r="T320"/>
      <c r="U320"/>
      <c r="V320"/>
      <c r="W320"/>
      <c r="X320"/>
      <c r="Y320"/>
      <c r="Z320"/>
      <c r="AA320"/>
      <c r="AB320"/>
      <c r="AC320"/>
      <c r="AD320"/>
      <c r="AE320"/>
      <c r="AF320"/>
      <c r="AG320"/>
      <c r="AH320"/>
      <c r="AI320"/>
    </row>
    <row r="321" spans="1:35" s="33" customFormat="1" ht="15.75">
      <c r="A321" s="178"/>
      <c r="B321" s="166"/>
      <c r="C321" s="125"/>
      <c r="D321" s="125"/>
      <c r="E321" s="32"/>
      <c r="F321"/>
      <c r="G321"/>
      <c r="H321"/>
      <c r="I321"/>
      <c r="J321"/>
      <c r="K321"/>
      <c r="L321"/>
      <c r="M321"/>
      <c r="N321"/>
      <c r="O321"/>
      <c r="P321"/>
      <c r="Q321"/>
      <c r="R321"/>
      <c r="S321"/>
      <c r="T321"/>
      <c r="U321"/>
      <c r="V321"/>
      <c r="W321"/>
      <c r="X321"/>
      <c r="Y321"/>
      <c r="Z321"/>
      <c r="AA321"/>
      <c r="AB321"/>
      <c r="AC321"/>
      <c r="AD321"/>
      <c r="AE321"/>
      <c r="AF321"/>
      <c r="AG321"/>
      <c r="AH321"/>
      <c r="AI321"/>
    </row>
    <row r="322" spans="1:35" s="33" customFormat="1" ht="15.75">
      <c r="A322" s="178"/>
      <c r="B322" s="166"/>
      <c r="C322" s="125"/>
      <c r="D322" s="125"/>
      <c r="E322" s="32"/>
      <c r="F322"/>
      <c r="G322"/>
      <c r="H322"/>
      <c r="I322"/>
      <c r="J322"/>
      <c r="K322"/>
      <c r="L322"/>
      <c r="M322"/>
      <c r="N322"/>
      <c r="O322"/>
      <c r="P322"/>
      <c r="Q322"/>
      <c r="R322"/>
      <c r="S322"/>
      <c r="T322"/>
      <c r="U322"/>
      <c r="V322"/>
      <c r="W322"/>
      <c r="X322"/>
      <c r="Y322"/>
      <c r="Z322"/>
      <c r="AA322"/>
      <c r="AB322"/>
      <c r="AC322"/>
      <c r="AD322"/>
      <c r="AE322"/>
      <c r="AF322"/>
      <c r="AG322"/>
      <c r="AH322"/>
      <c r="AI322"/>
    </row>
    <row r="323" spans="1:35" s="33" customFormat="1" ht="15.75">
      <c r="A323" s="178"/>
      <c r="B323" s="166"/>
      <c r="C323" s="125"/>
      <c r="D323" s="125"/>
      <c r="E323" s="32"/>
      <c r="F323"/>
      <c r="G323"/>
      <c r="H323"/>
      <c r="I323"/>
      <c r="J323"/>
      <c r="K323"/>
      <c r="L323"/>
      <c r="M323"/>
      <c r="N323"/>
      <c r="O323"/>
      <c r="P323"/>
      <c r="Q323"/>
      <c r="R323"/>
      <c r="S323"/>
      <c r="T323"/>
      <c r="U323"/>
      <c r="V323"/>
      <c r="W323"/>
      <c r="X323"/>
      <c r="Y323"/>
      <c r="Z323"/>
      <c r="AA323"/>
      <c r="AB323"/>
      <c r="AC323"/>
      <c r="AD323"/>
      <c r="AE323"/>
      <c r="AF323"/>
      <c r="AG323"/>
      <c r="AH323"/>
      <c r="AI323"/>
    </row>
    <row r="324" spans="1:35" s="33" customFormat="1" ht="15.75">
      <c r="A324" s="178"/>
      <c r="B324" s="166"/>
      <c r="C324" s="125"/>
      <c r="D324" s="125"/>
      <c r="E324" s="32"/>
      <c r="F324"/>
      <c r="G324"/>
      <c r="H324"/>
      <c r="I324"/>
      <c r="J324"/>
      <c r="K324"/>
      <c r="L324"/>
      <c r="M324"/>
      <c r="N324"/>
      <c r="O324"/>
      <c r="P324"/>
      <c r="Q324"/>
      <c r="R324"/>
      <c r="S324"/>
      <c r="T324"/>
      <c r="U324"/>
      <c r="V324"/>
      <c r="W324"/>
      <c r="X324"/>
      <c r="Y324"/>
      <c r="Z324"/>
      <c r="AA324"/>
      <c r="AB324"/>
      <c r="AC324"/>
      <c r="AD324"/>
      <c r="AE324"/>
      <c r="AF324"/>
      <c r="AG324"/>
      <c r="AH324"/>
      <c r="AI324"/>
    </row>
    <row r="325" spans="1:35" s="33" customFormat="1" ht="15.75">
      <c r="A325" s="178"/>
      <c r="B325" s="166"/>
      <c r="C325" s="125"/>
      <c r="D325" s="125"/>
      <c r="E325" s="32"/>
      <c r="F325"/>
      <c r="G325"/>
      <c r="H325"/>
      <c r="I325"/>
      <c r="J325"/>
      <c r="K325"/>
      <c r="L325"/>
      <c r="M325"/>
      <c r="N325"/>
      <c r="O325"/>
      <c r="P325"/>
      <c r="Q325"/>
      <c r="R325"/>
      <c r="S325"/>
      <c r="T325"/>
      <c r="U325"/>
      <c r="V325"/>
      <c r="W325"/>
      <c r="X325"/>
      <c r="Y325"/>
      <c r="Z325"/>
      <c r="AA325"/>
      <c r="AB325"/>
      <c r="AC325"/>
      <c r="AD325"/>
      <c r="AE325"/>
      <c r="AF325"/>
      <c r="AG325"/>
      <c r="AH325"/>
      <c r="AI325"/>
    </row>
    <row r="326" spans="1:35" s="33" customFormat="1" ht="15.75">
      <c r="A326" s="178"/>
      <c r="B326" s="166"/>
      <c r="C326" s="125"/>
      <c r="D326" s="125"/>
      <c r="E326" s="32"/>
      <c r="F326"/>
      <c r="G326"/>
      <c r="H326"/>
      <c r="I326"/>
      <c r="J326"/>
      <c r="K326"/>
      <c r="L326"/>
      <c r="M326"/>
      <c r="N326"/>
      <c r="O326"/>
      <c r="P326"/>
      <c r="Q326"/>
      <c r="R326"/>
      <c r="S326"/>
      <c r="T326"/>
      <c r="U326"/>
      <c r="V326"/>
      <c r="W326"/>
      <c r="X326"/>
      <c r="Y326"/>
      <c r="Z326"/>
      <c r="AA326"/>
      <c r="AB326"/>
      <c r="AC326"/>
      <c r="AD326"/>
      <c r="AE326"/>
      <c r="AF326"/>
      <c r="AG326"/>
      <c r="AH326"/>
      <c r="AI326"/>
    </row>
    <row r="327" spans="1:35" s="33" customFormat="1" ht="15.75">
      <c r="A327" s="178"/>
      <c r="B327" s="166"/>
      <c r="C327" s="125"/>
      <c r="D327" s="125"/>
      <c r="E327" s="32"/>
      <c r="F327"/>
      <c r="G327"/>
      <c r="H327"/>
      <c r="I327"/>
      <c r="J327"/>
      <c r="K327"/>
      <c r="L327"/>
      <c r="M327"/>
      <c r="N327"/>
      <c r="O327"/>
      <c r="P327"/>
      <c r="Q327"/>
      <c r="R327"/>
      <c r="S327"/>
      <c r="T327"/>
      <c r="U327"/>
      <c r="V327"/>
      <c r="W327"/>
      <c r="X327"/>
      <c r="Y327"/>
      <c r="Z327"/>
      <c r="AA327"/>
      <c r="AB327"/>
      <c r="AC327"/>
      <c r="AD327"/>
      <c r="AE327"/>
      <c r="AF327"/>
      <c r="AG327"/>
      <c r="AH327"/>
      <c r="AI327"/>
    </row>
    <row r="328" spans="1:35" s="33" customFormat="1" ht="15.75">
      <c r="A328" s="178"/>
      <c r="B328" s="166"/>
      <c r="C328" s="125"/>
      <c r="D328" s="125"/>
      <c r="E328" s="32"/>
      <c r="F328"/>
      <c r="G328"/>
      <c r="H328"/>
      <c r="I328"/>
      <c r="J328"/>
      <c r="K328"/>
      <c r="L328"/>
      <c r="M328"/>
      <c r="N328"/>
      <c r="O328"/>
      <c r="P328"/>
      <c r="Q328"/>
      <c r="R328"/>
      <c r="S328"/>
      <c r="T328"/>
      <c r="U328"/>
      <c r="V328"/>
      <c r="W328"/>
      <c r="X328"/>
      <c r="Y328"/>
      <c r="Z328"/>
      <c r="AA328"/>
      <c r="AB328"/>
      <c r="AC328"/>
      <c r="AD328"/>
      <c r="AE328"/>
      <c r="AF328"/>
      <c r="AG328"/>
      <c r="AH328"/>
      <c r="AI328"/>
    </row>
    <row r="329" spans="1:35" s="33" customFormat="1" ht="15.75">
      <c r="A329" s="178"/>
      <c r="B329" s="166"/>
      <c r="C329" s="125"/>
      <c r="D329" s="125"/>
      <c r="E329" s="32"/>
      <c r="F329"/>
      <c r="G329"/>
      <c r="H329"/>
      <c r="I329"/>
      <c r="J329"/>
      <c r="K329"/>
      <c r="L329"/>
      <c r="M329"/>
      <c r="N329"/>
      <c r="O329"/>
      <c r="P329"/>
      <c r="Q329"/>
      <c r="R329"/>
      <c r="S329"/>
      <c r="T329"/>
      <c r="U329"/>
      <c r="V329"/>
      <c r="W329"/>
      <c r="X329"/>
      <c r="Y329"/>
      <c r="Z329"/>
      <c r="AA329"/>
      <c r="AB329"/>
      <c r="AC329"/>
      <c r="AD329"/>
      <c r="AE329"/>
      <c r="AF329"/>
      <c r="AG329"/>
      <c r="AH329"/>
      <c r="AI329"/>
    </row>
    <row r="330" spans="1:35" s="33" customFormat="1" ht="15.75">
      <c r="A330" s="178"/>
      <c r="B330" s="166"/>
      <c r="C330" s="125"/>
      <c r="D330" s="125"/>
      <c r="E330" s="32"/>
      <c r="F330"/>
      <c r="G330"/>
      <c r="H330"/>
      <c r="I330"/>
      <c r="J330"/>
      <c r="K330"/>
      <c r="L330"/>
      <c r="M330"/>
      <c r="N330"/>
      <c r="O330"/>
      <c r="P330"/>
      <c r="Q330"/>
      <c r="R330"/>
      <c r="S330"/>
      <c r="T330"/>
      <c r="U330"/>
      <c r="V330"/>
      <c r="W330"/>
      <c r="X330"/>
      <c r="Y330"/>
      <c r="Z330"/>
      <c r="AA330"/>
      <c r="AB330"/>
      <c r="AC330"/>
      <c r="AD330"/>
      <c r="AE330"/>
      <c r="AF330"/>
      <c r="AG330"/>
      <c r="AH330"/>
      <c r="AI330"/>
    </row>
    <row r="331" spans="1:35" s="33" customFormat="1" ht="15.75">
      <c r="A331" s="178"/>
      <c r="B331" s="166"/>
      <c r="C331" s="125"/>
      <c r="D331" s="125"/>
      <c r="E331" s="32"/>
      <c r="F331"/>
      <c r="G331"/>
      <c r="H331"/>
      <c r="I331"/>
      <c r="J331"/>
      <c r="K331"/>
      <c r="L331"/>
      <c r="M331"/>
      <c r="N331"/>
      <c r="O331"/>
      <c r="P331"/>
      <c r="Q331"/>
      <c r="R331"/>
      <c r="S331"/>
      <c r="T331"/>
      <c r="U331"/>
      <c r="V331"/>
      <c r="W331"/>
      <c r="X331"/>
      <c r="Y331"/>
      <c r="Z331"/>
      <c r="AA331"/>
      <c r="AB331"/>
      <c r="AC331"/>
      <c r="AD331"/>
      <c r="AE331"/>
      <c r="AF331"/>
      <c r="AG331"/>
      <c r="AH331"/>
      <c r="AI331"/>
    </row>
    <row r="332" spans="1:35" s="33" customFormat="1" ht="15.75">
      <c r="A332" s="178"/>
      <c r="B332" s="166"/>
      <c r="C332" s="125"/>
      <c r="D332" s="125"/>
      <c r="E332" s="32"/>
      <c r="F332"/>
      <c r="G332"/>
      <c r="H332"/>
      <c r="I332"/>
      <c r="J332"/>
      <c r="K332"/>
      <c r="L332"/>
      <c r="M332"/>
      <c r="N332"/>
      <c r="O332"/>
      <c r="P332"/>
      <c r="Q332"/>
      <c r="R332"/>
      <c r="S332"/>
      <c r="T332"/>
      <c r="U332"/>
      <c r="V332"/>
      <c r="W332"/>
      <c r="X332"/>
      <c r="Y332"/>
      <c r="Z332"/>
      <c r="AA332"/>
      <c r="AB332"/>
      <c r="AC332"/>
      <c r="AD332"/>
      <c r="AE332"/>
      <c r="AF332"/>
      <c r="AG332"/>
      <c r="AH332"/>
      <c r="AI332"/>
    </row>
    <row r="333" spans="1:35" s="33" customFormat="1" ht="15.75">
      <c r="A333" s="178"/>
      <c r="B333" s="166"/>
      <c r="C333" s="125"/>
      <c r="D333" s="125"/>
      <c r="E333" s="32"/>
      <c r="F333"/>
      <c r="G333"/>
      <c r="H333"/>
      <c r="I333"/>
      <c r="J333"/>
      <c r="K333"/>
      <c r="L333"/>
      <c r="M333"/>
      <c r="N333"/>
      <c r="O333"/>
      <c r="P333"/>
      <c r="Q333"/>
      <c r="R333"/>
      <c r="S333"/>
      <c r="T333"/>
      <c r="U333"/>
      <c r="V333"/>
      <c r="W333"/>
      <c r="X333"/>
      <c r="Y333"/>
      <c r="Z333"/>
      <c r="AA333"/>
      <c r="AB333"/>
      <c r="AC333"/>
      <c r="AD333"/>
      <c r="AE333"/>
      <c r="AF333"/>
      <c r="AG333"/>
      <c r="AH333"/>
      <c r="AI333"/>
    </row>
    <row r="334" spans="1:35" s="33" customFormat="1" ht="15.75">
      <c r="A334" s="178"/>
      <c r="B334" s="166"/>
      <c r="C334" s="125"/>
      <c r="D334" s="125"/>
      <c r="E334" s="32"/>
      <c r="F334"/>
      <c r="G334"/>
      <c r="H334"/>
      <c r="I334"/>
      <c r="J334"/>
      <c r="K334"/>
      <c r="L334"/>
      <c r="M334"/>
      <c r="N334"/>
      <c r="O334"/>
      <c r="P334"/>
      <c r="Q334"/>
      <c r="R334"/>
      <c r="S334"/>
      <c r="T334"/>
      <c r="U334"/>
      <c r="V334"/>
      <c r="W334"/>
      <c r="X334"/>
      <c r="Y334"/>
      <c r="Z334"/>
      <c r="AA334"/>
      <c r="AB334"/>
      <c r="AC334"/>
      <c r="AD334"/>
      <c r="AE334"/>
      <c r="AF334"/>
      <c r="AG334"/>
      <c r="AH334"/>
      <c r="AI334"/>
    </row>
    <row r="335" spans="1:35" s="33" customFormat="1" ht="15.75">
      <c r="A335" s="178"/>
      <c r="B335" s="166"/>
      <c r="C335" s="125"/>
      <c r="D335" s="125"/>
      <c r="E335" s="32"/>
      <c r="F335"/>
      <c r="G335"/>
      <c r="H335"/>
      <c r="I335"/>
      <c r="J335"/>
      <c r="K335"/>
      <c r="L335"/>
      <c r="M335"/>
      <c r="N335"/>
      <c r="O335"/>
      <c r="P335"/>
      <c r="Q335"/>
      <c r="R335"/>
      <c r="S335"/>
      <c r="T335"/>
      <c r="U335"/>
      <c r="V335"/>
      <c r="W335"/>
      <c r="X335"/>
      <c r="Y335"/>
      <c r="Z335"/>
      <c r="AA335"/>
      <c r="AB335"/>
      <c r="AC335"/>
      <c r="AD335"/>
      <c r="AE335"/>
      <c r="AF335"/>
      <c r="AG335"/>
      <c r="AH335"/>
      <c r="AI335"/>
    </row>
    <row r="336" spans="1:35" s="33" customFormat="1" ht="15.75">
      <c r="A336" s="178"/>
      <c r="B336" s="166"/>
      <c r="C336" s="125"/>
      <c r="D336" s="125"/>
      <c r="E336" s="32"/>
      <c r="F336"/>
      <c r="G336"/>
      <c r="H336"/>
      <c r="I336"/>
      <c r="J336"/>
      <c r="K336"/>
      <c r="L336"/>
      <c r="M336"/>
      <c r="N336"/>
      <c r="O336"/>
      <c r="P336"/>
      <c r="Q336"/>
      <c r="R336"/>
      <c r="S336"/>
      <c r="T336"/>
      <c r="U336"/>
      <c r="V336"/>
      <c r="W336"/>
      <c r="X336"/>
      <c r="Y336"/>
      <c r="Z336"/>
      <c r="AA336"/>
      <c r="AB336"/>
      <c r="AC336"/>
      <c r="AD336"/>
      <c r="AE336"/>
      <c r="AF336"/>
      <c r="AG336"/>
      <c r="AH336"/>
      <c r="AI336"/>
    </row>
    <row r="337" spans="1:35" s="33" customFormat="1" ht="15.75">
      <c r="A337" s="178"/>
      <c r="B337" s="166"/>
      <c r="C337" s="125"/>
      <c r="D337" s="125"/>
      <c r="E337" s="32"/>
      <c r="F337"/>
      <c r="G337"/>
      <c r="H337"/>
      <c r="I337"/>
      <c r="J337"/>
      <c r="K337"/>
      <c r="L337"/>
      <c r="M337"/>
      <c r="N337"/>
      <c r="O337"/>
      <c r="P337"/>
      <c r="Q337"/>
      <c r="R337"/>
      <c r="S337"/>
      <c r="T337"/>
      <c r="U337"/>
      <c r="V337"/>
      <c r="W337"/>
      <c r="X337"/>
      <c r="Y337"/>
      <c r="Z337"/>
      <c r="AA337"/>
      <c r="AB337"/>
      <c r="AC337"/>
      <c r="AD337"/>
      <c r="AE337"/>
      <c r="AF337"/>
      <c r="AG337"/>
      <c r="AH337"/>
      <c r="AI337"/>
    </row>
    <row r="338" spans="1:35" s="33" customFormat="1" ht="15.75">
      <c r="A338" s="178"/>
      <c r="B338" s="166"/>
      <c r="C338" s="125"/>
      <c r="D338" s="125"/>
      <c r="E338" s="32"/>
      <c r="F338"/>
      <c r="G338"/>
      <c r="H338"/>
      <c r="I338"/>
      <c r="J338"/>
      <c r="K338"/>
      <c r="L338"/>
      <c r="M338"/>
      <c r="N338"/>
      <c r="O338"/>
      <c r="P338"/>
      <c r="Q338"/>
      <c r="R338"/>
      <c r="S338"/>
      <c r="T338"/>
      <c r="U338"/>
      <c r="V338"/>
      <c r="W338"/>
      <c r="X338"/>
      <c r="Y338"/>
      <c r="Z338"/>
      <c r="AA338"/>
      <c r="AB338"/>
      <c r="AC338"/>
      <c r="AD338"/>
      <c r="AE338"/>
      <c r="AF338"/>
      <c r="AG338"/>
      <c r="AH338"/>
      <c r="AI338"/>
    </row>
    <row r="339" spans="1:35" s="33" customFormat="1" ht="15.75">
      <c r="A339" s="178"/>
      <c r="B339" s="166"/>
      <c r="C339" s="125"/>
      <c r="D339" s="125"/>
      <c r="E339" s="32"/>
      <c r="F339"/>
      <c r="G339"/>
      <c r="H339"/>
      <c r="I339"/>
      <c r="J339"/>
      <c r="K339"/>
      <c r="L339"/>
      <c r="M339"/>
      <c r="N339"/>
      <c r="O339"/>
      <c r="P339"/>
      <c r="Q339"/>
      <c r="R339"/>
      <c r="S339"/>
      <c r="T339"/>
      <c r="U339"/>
      <c r="V339"/>
      <c r="W339"/>
      <c r="X339"/>
      <c r="Y339"/>
      <c r="Z339"/>
      <c r="AA339"/>
      <c r="AB339"/>
      <c r="AC339"/>
      <c r="AD339"/>
      <c r="AE339"/>
      <c r="AF339"/>
      <c r="AG339"/>
      <c r="AH339"/>
      <c r="AI339"/>
    </row>
    <row r="340" spans="1:35" s="33" customFormat="1" ht="15.75">
      <c r="A340" s="178"/>
      <c r="B340" s="166"/>
      <c r="C340" s="125"/>
      <c r="D340" s="125"/>
      <c r="E340" s="32"/>
      <c r="F340"/>
      <c r="G340"/>
      <c r="H340"/>
      <c r="I340"/>
      <c r="J340"/>
      <c r="K340"/>
      <c r="L340"/>
      <c r="M340"/>
      <c r="N340"/>
      <c r="O340"/>
      <c r="P340"/>
      <c r="Q340"/>
      <c r="R340"/>
      <c r="S340"/>
      <c r="T340"/>
      <c r="U340"/>
      <c r="V340"/>
      <c r="W340"/>
      <c r="X340"/>
      <c r="Y340"/>
      <c r="Z340"/>
      <c r="AA340"/>
      <c r="AB340"/>
      <c r="AC340"/>
      <c r="AD340"/>
      <c r="AE340"/>
      <c r="AF340"/>
      <c r="AG340"/>
      <c r="AH340"/>
      <c r="AI340"/>
    </row>
    <row r="341" spans="1:35" s="33" customFormat="1" ht="15.75">
      <c r="A341" s="178"/>
      <c r="B341" s="166"/>
      <c r="C341" s="125"/>
      <c r="D341" s="125"/>
      <c r="E341" s="32"/>
      <c r="F341"/>
      <c r="G341"/>
      <c r="H341"/>
      <c r="I341"/>
      <c r="J341"/>
      <c r="K341"/>
      <c r="L341"/>
      <c r="M341"/>
      <c r="N341"/>
      <c r="O341"/>
      <c r="P341"/>
      <c r="Q341"/>
      <c r="R341"/>
      <c r="S341"/>
      <c r="T341"/>
      <c r="U341"/>
      <c r="V341"/>
      <c r="W341"/>
      <c r="X341"/>
      <c r="Y341"/>
      <c r="Z341"/>
      <c r="AA341"/>
      <c r="AB341"/>
      <c r="AC341"/>
      <c r="AD341"/>
      <c r="AE341"/>
      <c r="AF341"/>
      <c r="AG341"/>
      <c r="AH341"/>
      <c r="AI341"/>
    </row>
    <row r="342" spans="1:35" s="33" customFormat="1" ht="15.75">
      <c r="A342" s="178"/>
      <c r="B342" s="166"/>
      <c r="C342" s="125"/>
      <c r="D342" s="125"/>
      <c r="E342" s="32"/>
      <c r="F342"/>
      <c r="G342"/>
      <c r="H342"/>
      <c r="I342"/>
      <c r="J342"/>
      <c r="K342"/>
      <c r="L342"/>
      <c r="M342"/>
      <c r="N342"/>
      <c r="O342"/>
      <c r="P342"/>
      <c r="Q342"/>
      <c r="R342"/>
      <c r="S342"/>
      <c r="T342"/>
      <c r="U342"/>
      <c r="V342"/>
      <c r="W342"/>
      <c r="X342"/>
      <c r="Y342"/>
      <c r="Z342"/>
      <c r="AA342"/>
      <c r="AB342"/>
      <c r="AC342"/>
      <c r="AD342"/>
      <c r="AE342"/>
      <c r="AF342"/>
      <c r="AG342"/>
      <c r="AH342"/>
      <c r="AI342"/>
    </row>
    <row r="343" spans="1:35" s="33" customFormat="1" ht="15.75">
      <c r="A343" s="178"/>
      <c r="B343" s="166"/>
      <c r="C343" s="125"/>
      <c r="D343" s="125"/>
      <c r="E343" s="32"/>
      <c r="F343"/>
      <c r="G343"/>
      <c r="H343"/>
      <c r="I343"/>
      <c r="J343"/>
      <c r="K343"/>
      <c r="L343"/>
      <c r="M343"/>
      <c r="N343"/>
      <c r="O343"/>
      <c r="P343"/>
      <c r="Q343"/>
      <c r="R343"/>
      <c r="S343"/>
      <c r="T343"/>
      <c r="U343"/>
      <c r="V343"/>
      <c r="W343"/>
      <c r="X343"/>
      <c r="Y343"/>
      <c r="Z343"/>
      <c r="AA343"/>
      <c r="AB343"/>
      <c r="AC343"/>
      <c r="AD343"/>
      <c r="AE343"/>
      <c r="AF343"/>
      <c r="AG343"/>
      <c r="AH343"/>
      <c r="AI343"/>
    </row>
    <row r="344" spans="1:35" s="33" customFormat="1" ht="15.75">
      <c r="A344" s="178"/>
      <c r="B344" s="166"/>
      <c r="C344" s="125"/>
      <c r="D344" s="125"/>
      <c r="E344" s="32"/>
      <c r="F344"/>
      <c r="G344"/>
      <c r="H344"/>
      <c r="I344"/>
      <c r="J344"/>
      <c r="K344"/>
      <c r="L344"/>
      <c r="M344"/>
      <c r="N344"/>
      <c r="O344"/>
      <c r="P344"/>
      <c r="Q344"/>
      <c r="R344"/>
      <c r="S344"/>
      <c r="T344"/>
      <c r="U344"/>
      <c r="V344"/>
      <c r="W344"/>
      <c r="X344"/>
      <c r="Y344"/>
      <c r="Z344"/>
      <c r="AA344"/>
      <c r="AB344"/>
      <c r="AC344"/>
      <c r="AD344"/>
      <c r="AE344"/>
      <c r="AF344"/>
      <c r="AG344"/>
      <c r="AH344"/>
      <c r="AI344"/>
    </row>
    <row r="345" spans="1:35" s="33" customFormat="1" ht="15.75">
      <c r="A345" s="178"/>
      <c r="B345" s="166"/>
      <c r="C345" s="125"/>
      <c r="D345" s="125"/>
      <c r="E345" s="32"/>
      <c r="F345"/>
      <c r="G345"/>
      <c r="H345"/>
      <c r="I345"/>
      <c r="J345"/>
      <c r="K345"/>
      <c r="L345"/>
      <c r="M345"/>
      <c r="N345"/>
      <c r="O345"/>
      <c r="P345"/>
      <c r="Q345"/>
      <c r="R345"/>
      <c r="S345"/>
      <c r="T345"/>
      <c r="U345"/>
      <c r="V345"/>
      <c r="W345"/>
      <c r="X345"/>
      <c r="Y345"/>
      <c r="Z345"/>
      <c r="AA345"/>
      <c r="AB345"/>
      <c r="AC345"/>
      <c r="AD345"/>
      <c r="AE345"/>
      <c r="AF345"/>
      <c r="AG345"/>
      <c r="AH345"/>
      <c r="AI345"/>
    </row>
    <row r="346" spans="1:35" s="33" customFormat="1" ht="15.75">
      <c r="A346" s="178"/>
      <c r="B346" s="166"/>
      <c r="C346" s="125"/>
      <c r="D346" s="125"/>
      <c r="E346" s="32"/>
      <c r="F346"/>
      <c r="G346"/>
      <c r="H346"/>
      <c r="I346"/>
      <c r="J346"/>
      <c r="K346"/>
      <c r="L346"/>
      <c r="M346"/>
      <c r="N346"/>
      <c r="O346"/>
      <c r="P346"/>
      <c r="Q346"/>
      <c r="R346"/>
      <c r="S346"/>
      <c r="T346"/>
      <c r="U346"/>
      <c r="V346"/>
      <c r="W346"/>
      <c r="X346"/>
      <c r="Y346"/>
      <c r="Z346"/>
      <c r="AA346"/>
      <c r="AB346"/>
      <c r="AC346"/>
      <c r="AD346"/>
      <c r="AE346"/>
      <c r="AF346"/>
      <c r="AG346"/>
      <c r="AH346"/>
      <c r="AI346"/>
    </row>
    <row r="347" spans="1:35" s="33" customFormat="1" ht="15.75">
      <c r="A347" s="178"/>
      <c r="B347" s="166"/>
      <c r="C347" s="125"/>
      <c r="D347" s="125"/>
      <c r="E347" s="32"/>
      <c r="F347"/>
      <c r="G347"/>
      <c r="H347"/>
      <c r="I347"/>
      <c r="J347"/>
      <c r="K347"/>
      <c r="L347"/>
      <c r="M347"/>
      <c r="N347"/>
      <c r="O347"/>
      <c r="P347"/>
      <c r="Q347"/>
      <c r="R347"/>
      <c r="S347"/>
      <c r="T347"/>
      <c r="U347"/>
      <c r="V347"/>
      <c r="W347"/>
      <c r="X347"/>
      <c r="Y347"/>
      <c r="Z347"/>
      <c r="AA347"/>
      <c r="AB347"/>
      <c r="AC347"/>
      <c r="AD347"/>
      <c r="AE347"/>
      <c r="AF347"/>
      <c r="AG347"/>
      <c r="AH347"/>
      <c r="AI347"/>
    </row>
    <row r="348" spans="1:35" s="33" customFormat="1" ht="15.75">
      <c r="A348" s="178"/>
      <c r="B348" s="166"/>
      <c r="C348" s="125"/>
      <c r="D348" s="125"/>
      <c r="E348" s="32"/>
      <c r="F348"/>
      <c r="G348"/>
      <c r="H348"/>
      <c r="I348"/>
      <c r="J348"/>
      <c r="K348"/>
      <c r="L348"/>
      <c r="M348"/>
      <c r="N348"/>
      <c r="O348"/>
      <c r="P348"/>
      <c r="Q348"/>
      <c r="R348"/>
      <c r="S348"/>
      <c r="T348"/>
      <c r="U348"/>
      <c r="V348"/>
      <c r="W348"/>
      <c r="X348"/>
      <c r="Y348"/>
      <c r="Z348"/>
      <c r="AA348"/>
      <c r="AB348"/>
      <c r="AC348"/>
      <c r="AD348"/>
      <c r="AE348"/>
      <c r="AF348"/>
      <c r="AG348"/>
      <c r="AH348"/>
      <c r="AI348"/>
    </row>
    <row r="349" spans="1:35" s="33" customFormat="1" ht="15.75">
      <c r="A349" s="178"/>
      <c r="B349" s="166"/>
      <c r="C349" s="125"/>
      <c r="D349" s="125"/>
      <c r="E349" s="32"/>
      <c r="F349"/>
      <c r="G349"/>
      <c r="H349"/>
      <c r="I349"/>
      <c r="J349"/>
      <c r="K349"/>
      <c r="L349"/>
      <c r="M349"/>
      <c r="N349"/>
      <c r="O349"/>
      <c r="P349"/>
      <c r="Q349"/>
      <c r="R349"/>
      <c r="S349"/>
      <c r="T349"/>
      <c r="U349"/>
      <c r="V349"/>
      <c r="W349"/>
      <c r="X349"/>
      <c r="Y349"/>
      <c r="Z349"/>
      <c r="AA349"/>
      <c r="AB349"/>
      <c r="AC349"/>
      <c r="AD349"/>
      <c r="AE349"/>
      <c r="AF349"/>
      <c r="AG349"/>
      <c r="AH349"/>
      <c r="AI349"/>
    </row>
    <row r="350" spans="1:35" s="33" customFormat="1" ht="15.75">
      <c r="A350" s="178"/>
      <c r="B350" s="166"/>
      <c r="C350" s="125"/>
      <c r="D350" s="125"/>
      <c r="E350" s="32"/>
      <c r="F350"/>
      <c r="G350"/>
      <c r="H350"/>
      <c r="I350"/>
      <c r="J350"/>
      <c r="K350"/>
      <c r="L350"/>
      <c r="M350"/>
      <c r="N350"/>
      <c r="O350"/>
      <c r="P350"/>
      <c r="Q350"/>
      <c r="R350"/>
      <c r="S350"/>
      <c r="T350"/>
      <c r="U350"/>
      <c r="V350"/>
      <c r="W350"/>
      <c r="X350"/>
      <c r="Y350"/>
      <c r="Z350"/>
      <c r="AA350"/>
      <c r="AB350"/>
      <c r="AC350"/>
      <c r="AD350"/>
      <c r="AE350"/>
      <c r="AF350"/>
      <c r="AG350"/>
      <c r="AH350"/>
      <c r="AI350"/>
    </row>
    <row r="351" spans="1:35" s="33" customFormat="1" ht="15.75">
      <c r="A351" s="178"/>
      <c r="B351" s="166"/>
      <c r="C351" s="125"/>
      <c r="D351" s="125"/>
      <c r="E351" s="32"/>
      <c r="F351"/>
      <c r="G351"/>
      <c r="H351"/>
      <c r="I351"/>
      <c r="J351"/>
      <c r="K351"/>
      <c r="L351"/>
      <c r="M351"/>
      <c r="N351"/>
      <c r="O351"/>
      <c r="P351"/>
      <c r="Q351"/>
      <c r="R351"/>
      <c r="S351"/>
      <c r="T351"/>
      <c r="U351"/>
      <c r="V351"/>
      <c r="W351"/>
      <c r="X351"/>
      <c r="Y351"/>
      <c r="Z351"/>
      <c r="AA351"/>
      <c r="AB351"/>
      <c r="AC351"/>
      <c r="AD351"/>
      <c r="AE351"/>
      <c r="AF351"/>
      <c r="AG351"/>
      <c r="AH351"/>
      <c r="AI351"/>
    </row>
    <row r="352" spans="1:35" s="33" customFormat="1" ht="15.75">
      <c r="A352" s="178"/>
      <c r="B352" s="166"/>
      <c r="C352" s="125"/>
      <c r="D352" s="125"/>
      <c r="E352" s="32"/>
      <c r="F352"/>
      <c r="G352"/>
      <c r="H352"/>
      <c r="I352"/>
      <c r="J352"/>
      <c r="K352"/>
      <c r="L352"/>
      <c r="M352"/>
      <c r="N352"/>
      <c r="O352"/>
      <c r="P352"/>
      <c r="Q352"/>
      <c r="R352"/>
      <c r="S352"/>
      <c r="T352"/>
      <c r="U352"/>
      <c r="V352"/>
      <c r="W352"/>
      <c r="X352"/>
      <c r="Y352"/>
      <c r="Z352"/>
      <c r="AA352"/>
      <c r="AB352"/>
      <c r="AC352"/>
      <c r="AD352"/>
      <c r="AE352"/>
      <c r="AF352"/>
      <c r="AG352"/>
      <c r="AH352"/>
      <c r="AI352"/>
    </row>
    <row r="353" spans="1:35" s="33" customFormat="1" ht="15.75">
      <c r="A353" s="178"/>
      <c r="B353" s="166"/>
      <c r="C353" s="125"/>
      <c r="D353" s="125"/>
      <c r="E353" s="32"/>
      <c r="F353"/>
      <c r="G353"/>
      <c r="H353"/>
      <c r="I353"/>
      <c r="J353"/>
      <c r="K353"/>
      <c r="L353"/>
      <c r="M353"/>
      <c r="N353"/>
      <c r="O353"/>
      <c r="P353"/>
      <c r="Q353"/>
      <c r="R353"/>
      <c r="S353"/>
      <c r="T353"/>
      <c r="U353"/>
      <c r="V353"/>
      <c r="W353"/>
      <c r="X353"/>
      <c r="Y353"/>
      <c r="Z353"/>
      <c r="AA353"/>
      <c r="AB353"/>
      <c r="AC353"/>
      <c r="AD353"/>
      <c r="AE353"/>
      <c r="AF353"/>
      <c r="AG353"/>
      <c r="AH353"/>
      <c r="AI353"/>
    </row>
    <row r="354" spans="1:35" s="33" customFormat="1" ht="15.75">
      <c r="A354" s="178"/>
      <c r="B354" s="166"/>
      <c r="C354" s="125"/>
      <c r="D354" s="125"/>
      <c r="E354" s="32"/>
      <c r="F354"/>
      <c r="G354"/>
      <c r="H354"/>
      <c r="I354"/>
      <c r="J354"/>
      <c r="K354"/>
      <c r="L354"/>
      <c r="M354"/>
      <c r="N354"/>
      <c r="O354"/>
      <c r="P354"/>
      <c r="Q354"/>
      <c r="R354"/>
      <c r="S354"/>
      <c r="T354"/>
      <c r="U354"/>
      <c r="V354"/>
      <c r="W354"/>
      <c r="X354"/>
      <c r="Y354"/>
      <c r="Z354"/>
      <c r="AA354"/>
      <c r="AB354"/>
      <c r="AC354"/>
      <c r="AD354"/>
      <c r="AE354"/>
      <c r="AF354"/>
      <c r="AG354"/>
      <c r="AH354"/>
      <c r="AI354"/>
    </row>
    <row r="355" spans="1:35" s="33" customFormat="1" ht="15.75">
      <c r="A355" s="178"/>
      <c r="B355" s="166"/>
      <c r="C355" s="125"/>
      <c r="D355" s="125"/>
      <c r="E355" s="32"/>
      <c r="F355"/>
      <c r="G355"/>
      <c r="H355"/>
      <c r="I355"/>
      <c r="J355"/>
      <c r="K355"/>
      <c r="L355"/>
      <c r="M355"/>
      <c r="N355"/>
      <c r="O355"/>
      <c r="P355"/>
      <c r="Q355"/>
      <c r="R355"/>
      <c r="S355"/>
      <c r="T355"/>
      <c r="U355"/>
      <c r="V355"/>
      <c r="W355"/>
      <c r="X355"/>
      <c r="Y355"/>
      <c r="Z355"/>
      <c r="AA355"/>
      <c r="AB355"/>
      <c r="AC355"/>
      <c r="AD355"/>
      <c r="AE355"/>
      <c r="AF355"/>
      <c r="AG355"/>
      <c r="AH355"/>
      <c r="AI355"/>
    </row>
    <row r="356" spans="1:35" s="33" customFormat="1" ht="15.75">
      <c r="A356" s="178"/>
      <c r="B356" s="166"/>
      <c r="C356" s="125"/>
      <c r="D356" s="125"/>
      <c r="E356" s="32"/>
      <c r="F356"/>
      <c r="G356"/>
      <c r="H356"/>
      <c r="I356"/>
      <c r="J356"/>
      <c r="K356"/>
      <c r="L356"/>
      <c r="M356"/>
      <c r="N356"/>
      <c r="O356"/>
      <c r="P356"/>
      <c r="Q356"/>
      <c r="R356"/>
      <c r="S356"/>
      <c r="T356"/>
      <c r="U356"/>
      <c r="V356"/>
      <c r="W356"/>
      <c r="X356"/>
      <c r="Y356"/>
      <c r="Z356"/>
      <c r="AA356"/>
      <c r="AB356"/>
      <c r="AC356"/>
      <c r="AD356"/>
      <c r="AE356"/>
      <c r="AF356"/>
      <c r="AG356"/>
      <c r="AH356"/>
      <c r="AI356"/>
    </row>
    <row r="357" spans="1:35" s="33" customFormat="1" ht="15.75">
      <c r="A357" s="178"/>
      <c r="B357" s="166"/>
      <c r="C357" s="125"/>
      <c r="D357" s="125"/>
      <c r="E357" s="32"/>
      <c r="F357"/>
      <c r="G357"/>
      <c r="H357"/>
      <c r="I357"/>
      <c r="J357"/>
      <c r="K357"/>
      <c r="L357"/>
      <c r="M357"/>
      <c r="N357"/>
      <c r="O357"/>
      <c r="P357"/>
      <c r="Q357"/>
      <c r="R357"/>
      <c r="S357"/>
      <c r="T357"/>
      <c r="U357"/>
      <c r="V357"/>
      <c r="W357"/>
      <c r="X357"/>
      <c r="Y357"/>
      <c r="Z357"/>
      <c r="AA357"/>
      <c r="AB357"/>
      <c r="AC357"/>
      <c r="AD357"/>
      <c r="AE357"/>
      <c r="AF357"/>
      <c r="AG357"/>
      <c r="AH357"/>
      <c r="AI357"/>
    </row>
    <row r="358" spans="1:35" s="33" customFormat="1" ht="15.75">
      <c r="A358" s="178"/>
      <c r="B358" s="166"/>
      <c r="C358" s="125"/>
      <c r="D358" s="125"/>
      <c r="E358" s="32"/>
      <c r="F358"/>
      <c r="G358"/>
      <c r="H358"/>
      <c r="I358"/>
      <c r="J358"/>
      <c r="K358"/>
      <c r="L358"/>
      <c r="M358"/>
      <c r="N358"/>
      <c r="O358"/>
      <c r="P358"/>
      <c r="Q358"/>
      <c r="R358"/>
      <c r="S358"/>
      <c r="T358"/>
      <c r="U358"/>
      <c r="V358"/>
      <c r="W358"/>
      <c r="X358"/>
      <c r="Y358"/>
      <c r="Z358"/>
      <c r="AA358"/>
      <c r="AB358"/>
      <c r="AC358"/>
      <c r="AD358"/>
      <c r="AE358"/>
      <c r="AF358"/>
      <c r="AG358"/>
      <c r="AH358"/>
      <c r="AI358"/>
    </row>
    <row r="359" spans="1:35" s="33" customFormat="1" ht="15.75">
      <c r="A359" s="178"/>
      <c r="B359" s="166"/>
      <c r="C359" s="125"/>
      <c r="D359" s="125"/>
      <c r="E359" s="32"/>
      <c r="F359"/>
      <c r="G359"/>
      <c r="H359"/>
      <c r="I359"/>
      <c r="J359"/>
      <c r="K359"/>
      <c r="L359"/>
      <c r="M359"/>
      <c r="N359"/>
      <c r="O359"/>
      <c r="P359"/>
      <c r="Q359"/>
      <c r="R359"/>
      <c r="S359"/>
      <c r="T359"/>
      <c r="U359"/>
      <c r="V359"/>
      <c r="W359"/>
      <c r="X359"/>
      <c r="Y359"/>
      <c r="Z359"/>
      <c r="AA359"/>
      <c r="AB359"/>
      <c r="AC359"/>
      <c r="AD359"/>
      <c r="AE359"/>
      <c r="AF359"/>
      <c r="AG359"/>
      <c r="AH359"/>
      <c r="AI359"/>
    </row>
    <row r="360" spans="1:35" s="33" customFormat="1" ht="15.75">
      <c r="A360" s="178"/>
      <c r="B360" s="166"/>
      <c r="C360" s="125"/>
      <c r="D360" s="125"/>
      <c r="E360" s="32"/>
      <c r="F360"/>
      <c r="G360"/>
      <c r="H360"/>
      <c r="I360"/>
      <c r="J360"/>
      <c r="K360"/>
      <c r="L360"/>
      <c r="M360"/>
      <c r="N360"/>
      <c r="O360"/>
      <c r="P360"/>
      <c r="Q360"/>
      <c r="R360"/>
      <c r="S360"/>
      <c r="T360"/>
      <c r="U360"/>
      <c r="V360"/>
      <c r="W360"/>
      <c r="X360"/>
      <c r="Y360"/>
      <c r="Z360"/>
      <c r="AA360"/>
      <c r="AB360"/>
      <c r="AC360"/>
      <c r="AD360"/>
      <c r="AE360"/>
      <c r="AF360"/>
      <c r="AG360"/>
      <c r="AH360"/>
      <c r="AI360"/>
    </row>
    <row r="361" spans="1:35" s="33" customFormat="1" ht="15.75">
      <c r="A361" s="178"/>
      <c r="B361" s="166"/>
      <c r="C361" s="125"/>
      <c r="D361" s="125"/>
      <c r="E361" s="32"/>
      <c r="F361"/>
      <c r="G361"/>
      <c r="H361"/>
      <c r="I361"/>
      <c r="J361"/>
      <c r="K361"/>
      <c r="L361"/>
      <c r="M361"/>
      <c r="N361"/>
      <c r="O361"/>
      <c r="P361"/>
      <c r="Q361"/>
      <c r="R361"/>
      <c r="S361"/>
      <c r="T361"/>
      <c r="U361"/>
      <c r="V361"/>
      <c r="W361"/>
      <c r="X361"/>
      <c r="Y361"/>
      <c r="Z361"/>
      <c r="AA361"/>
      <c r="AB361"/>
      <c r="AC361"/>
      <c r="AD361"/>
      <c r="AE361"/>
      <c r="AF361"/>
      <c r="AG361"/>
      <c r="AH361"/>
      <c r="AI361"/>
    </row>
    <row r="362" spans="1:35" s="33" customFormat="1" ht="15.75">
      <c r="A362" s="178"/>
      <c r="B362" s="166"/>
      <c r="C362" s="125"/>
      <c r="D362" s="125"/>
      <c r="E362" s="32"/>
      <c r="F362"/>
      <c r="G362"/>
      <c r="H362"/>
      <c r="I362"/>
      <c r="J362"/>
      <c r="K362"/>
      <c r="L362"/>
      <c r="M362"/>
      <c r="N362"/>
      <c r="O362"/>
      <c r="P362"/>
      <c r="Q362"/>
      <c r="R362"/>
      <c r="S362"/>
      <c r="T362"/>
      <c r="U362"/>
      <c r="V362"/>
      <c r="W362"/>
      <c r="X362"/>
      <c r="Y362"/>
      <c r="Z362"/>
      <c r="AA362"/>
      <c r="AB362"/>
      <c r="AC362"/>
      <c r="AD362"/>
      <c r="AE362"/>
      <c r="AF362"/>
      <c r="AG362"/>
      <c r="AH362"/>
      <c r="AI362"/>
    </row>
    <row r="363" spans="1:35" s="33" customFormat="1" ht="15.75">
      <c r="A363" s="178"/>
      <c r="B363" s="166"/>
      <c r="C363" s="125"/>
      <c r="D363" s="125"/>
      <c r="E363" s="32"/>
      <c r="F363"/>
      <c r="G363"/>
      <c r="H363"/>
      <c r="I363"/>
      <c r="J363"/>
      <c r="K363"/>
      <c r="L363"/>
      <c r="M363"/>
      <c r="N363"/>
      <c r="O363"/>
      <c r="P363"/>
      <c r="Q363"/>
      <c r="R363"/>
      <c r="S363"/>
      <c r="T363"/>
      <c r="U363"/>
      <c r="V363"/>
      <c r="W363"/>
      <c r="X363"/>
      <c r="Y363"/>
      <c r="Z363"/>
      <c r="AA363"/>
      <c r="AB363"/>
      <c r="AC363"/>
      <c r="AD363"/>
      <c r="AE363"/>
      <c r="AF363"/>
      <c r="AG363"/>
      <c r="AH363"/>
      <c r="AI363"/>
    </row>
    <row r="364" spans="1:35" s="33" customFormat="1" ht="15.75">
      <c r="A364" s="178"/>
      <c r="B364" s="166"/>
      <c r="C364" s="125"/>
      <c r="D364" s="125"/>
      <c r="E364" s="32"/>
      <c r="F364"/>
      <c r="G364"/>
      <c r="H364"/>
      <c r="I364"/>
      <c r="J364"/>
      <c r="K364"/>
      <c r="L364"/>
      <c r="M364"/>
      <c r="N364"/>
      <c r="O364"/>
      <c r="P364"/>
      <c r="Q364"/>
      <c r="R364"/>
      <c r="S364"/>
      <c r="T364"/>
      <c r="U364"/>
      <c r="V364"/>
      <c r="W364"/>
      <c r="X364"/>
      <c r="Y364"/>
      <c r="Z364"/>
      <c r="AA364"/>
      <c r="AB364"/>
      <c r="AC364"/>
      <c r="AD364"/>
      <c r="AE364"/>
      <c r="AF364"/>
      <c r="AG364"/>
      <c r="AH364"/>
      <c r="AI364"/>
    </row>
    <row r="365" spans="1:35" s="33" customFormat="1" ht="15.75">
      <c r="A365" s="178"/>
      <c r="B365" s="166"/>
      <c r="C365" s="125"/>
      <c r="D365" s="125"/>
      <c r="E365" s="32"/>
      <c r="F365"/>
      <c r="G365"/>
      <c r="H365"/>
      <c r="I365"/>
      <c r="J365"/>
      <c r="K365"/>
      <c r="L365"/>
      <c r="M365"/>
      <c r="N365"/>
      <c r="O365"/>
      <c r="P365"/>
      <c r="Q365"/>
      <c r="R365"/>
      <c r="S365"/>
      <c r="T365"/>
      <c r="U365"/>
      <c r="V365"/>
      <c r="W365"/>
      <c r="X365"/>
      <c r="Y365"/>
      <c r="Z365"/>
      <c r="AA365"/>
      <c r="AB365"/>
      <c r="AC365"/>
      <c r="AD365"/>
      <c r="AE365"/>
      <c r="AF365"/>
      <c r="AG365"/>
      <c r="AH365"/>
      <c r="AI365"/>
    </row>
    <row r="366" spans="1:35" s="33" customFormat="1" ht="15.75">
      <c r="A366" s="178"/>
      <c r="B366" s="166"/>
      <c r="C366" s="125"/>
      <c r="D366" s="125"/>
      <c r="E366" s="32"/>
      <c r="F366"/>
      <c r="G366"/>
      <c r="H366"/>
      <c r="I366"/>
      <c r="J366"/>
      <c r="K366"/>
      <c r="L366"/>
      <c r="M366"/>
      <c r="N366"/>
      <c r="O366"/>
      <c r="P366"/>
      <c r="Q366"/>
      <c r="R366"/>
      <c r="S366"/>
      <c r="T366"/>
      <c r="U366"/>
      <c r="V366"/>
      <c r="W366"/>
      <c r="X366"/>
      <c r="Y366"/>
      <c r="Z366"/>
      <c r="AA366"/>
      <c r="AB366"/>
      <c r="AC366"/>
      <c r="AD366"/>
      <c r="AE366"/>
      <c r="AF366"/>
      <c r="AG366"/>
      <c r="AH366"/>
      <c r="AI366"/>
    </row>
    <row r="367" spans="1:35" s="33" customFormat="1" ht="15.75">
      <c r="A367" s="178"/>
      <c r="B367" s="166"/>
      <c r="C367" s="125"/>
      <c r="D367" s="125"/>
      <c r="E367" s="32"/>
      <c r="F367"/>
      <c r="G367"/>
      <c r="H367"/>
      <c r="I367"/>
      <c r="J367"/>
      <c r="K367"/>
      <c r="L367"/>
      <c r="M367"/>
      <c r="N367"/>
      <c r="O367"/>
      <c r="P367"/>
      <c r="Q367"/>
      <c r="R367"/>
      <c r="S367"/>
      <c r="T367"/>
      <c r="U367"/>
      <c r="V367"/>
      <c r="W367"/>
      <c r="X367"/>
      <c r="Y367"/>
      <c r="Z367"/>
      <c r="AA367"/>
      <c r="AB367"/>
      <c r="AC367"/>
      <c r="AD367"/>
      <c r="AE367"/>
      <c r="AF367"/>
      <c r="AG367"/>
      <c r="AH367"/>
      <c r="AI367"/>
    </row>
    <row r="368" spans="1:35" s="33" customFormat="1" ht="15.75">
      <c r="A368" s="178"/>
      <c r="B368" s="166"/>
      <c r="C368" s="125"/>
      <c r="D368" s="125"/>
      <c r="E368" s="32"/>
      <c r="F368"/>
      <c r="G368"/>
      <c r="H368"/>
      <c r="I368"/>
      <c r="J368"/>
      <c r="K368"/>
      <c r="L368"/>
      <c r="M368"/>
      <c r="N368"/>
      <c r="O368"/>
      <c r="P368"/>
      <c r="Q368"/>
      <c r="R368"/>
      <c r="S368"/>
      <c r="T368"/>
      <c r="U368"/>
      <c r="V368"/>
      <c r="W368"/>
      <c r="X368"/>
      <c r="Y368"/>
      <c r="Z368"/>
      <c r="AA368"/>
      <c r="AB368"/>
      <c r="AC368"/>
      <c r="AD368"/>
      <c r="AE368"/>
      <c r="AF368"/>
      <c r="AG368"/>
      <c r="AH368"/>
      <c r="AI368"/>
    </row>
    <row r="369" spans="1:35" s="33" customFormat="1" ht="15.75">
      <c r="A369" s="178"/>
      <c r="B369" s="166"/>
      <c r="C369" s="125"/>
      <c r="D369" s="125"/>
      <c r="E369" s="32"/>
      <c r="F369"/>
      <c r="G369"/>
      <c r="H369"/>
      <c r="I369"/>
      <c r="J369"/>
      <c r="K369"/>
      <c r="L369"/>
      <c r="M369"/>
      <c r="N369"/>
      <c r="O369"/>
      <c r="P369"/>
      <c r="Q369"/>
      <c r="R369"/>
      <c r="S369"/>
      <c r="T369"/>
      <c r="U369"/>
      <c r="V369"/>
      <c r="W369"/>
      <c r="X369"/>
      <c r="Y369"/>
      <c r="Z369"/>
      <c r="AA369"/>
      <c r="AB369"/>
      <c r="AC369"/>
      <c r="AD369"/>
      <c r="AE369"/>
      <c r="AF369"/>
      <c r="AG369"/>
      <c r="AH369"/>
      <c r="AI369"/>
    </row>
    <row r="370" spans="1:35" s="33" customFormat="1" ht="15.75">
      <c r="A370" s="178"/>
      <c r="B370" s="166"/>
      <c r="C370" s="125"/>
      <c r="D370" s="125"/>
      <c r="E370" s="32"/>
      <c r="F370"/>
      <c r="G370"/>
      <c r="H370"/>
      <c r="I370"/>
      <c r="J370"/>
      <c r="K370"/>
      <c r="L370"/>
      <c r="M370"/>
      <c r="N370"/>
      <c r="O370"/>
      <c r="P370"/>
      <c r="Q370"/>
      <c r="R370"/>
      <c r="S370"/>
      <c r="T370"/>
      <c r="U370"/>
      <c r="V370"/>
      <c r="W370"/>
      <c r="X370"/>
      <c r="Y370"/>
      <c r="Z370"/>
      <c r="AA370"/>
      <c r="AB370"/>
      <c r="AC370"/>
      <c r="AD370"/>
      <c r="AE370"/>
      <c r="AF370"/>
      <c r="AG370"/>
      <c r="AH370"/>
      <c r="AI370"/>
    </row>
    <row r="371" spans="1:35" s="33" customFormat="1" ht="15.75">
      <c r="A371" s="178"/>
      <c r="B371" s="166"/>
      <c r="C371" s="125"/>
      <c r="D371" s="125"/>
      <c r="E371" s="32"/>
      <c r="F371"/>
      <c r="G371"/>
      <c r="H371"/>
      <c r="I371"/>
      <c r="J371"/>
      <c r="K371"/>
      <c r="L371"/>
      <c r="M371"/>
      <c r="N371"/>
      <c r="O371"/>
      <c r="P371"/>
      <c r="Q371"/>
      <c r="R371"/>
      <c r="S371"/>
      <c r="T371"/>
      <c r="U371"/>
      <c r="V371"/>
      <c r="W371"/>
      <c r="X371"/>
      <c r="Y371"/>
      <c r="Z371"/>
      <c r="AA371"/>
      <c r="AB371"/>
      <c r="AC371"/>
      <c r="AD371"/>
      <c r="AE371"/>
      <c r="AF371"/>
      <c r="AG371"/>
      <c r="AH371"/>
      <c r="AI371"/>
    </row>
    <row r="372" spans="1:35" s="33" customFormat="1" ht="15.75">
      <c r="A372" s="178"/>
      <c r="B372" s="166"/>
      <c r="C372" s="125"/>
      <c r="D372" s="125"/>
      <c r="E372" s="32"/>
      <c r="F372"/>
      <c r="G372"/>
      <c r="H372"/>
      <c r="I372"/>
      <c r="J372"/>
      <c r="K372"/>
      <c r="L372"/>
      <c r="M372"/>
      <c r="N372"/>
      <c r="O372"/>
      <c r="P372"/>
      <c r="Q372"/>
      <c r="R372"/>
      <c r="S372"/>
      <c r="T372"/>
      <c r="U372"/>
      <c r="V372"/>
      <c r="W372"/>
      <c r="X372"/>
      <c r="Y372"/>
      <c r="Z372"/>
      <c r="AA372"/>
      <c r="AB372"/>
      <c r="AC372"/>
      <c r="AD372"/>
      <c r="AE372"/>
      <c r="AF372"/>
      <c r="AG372"/>
      <c r="AH372"/>
      <c r="AI372"/>
    </row>
    <row r="373" spans="1:35" s="33" customFormat="1" ht="15.75">
      <c r="A373" s="178"/>
      <c r="B373" s="166"/>
      <c r="C373" s="125"/>
      <c r="D373" s="125"/>
      <c r="E373" s="32"/>
      <c r="F373"/>
      <c r="G373"/>
      <c r="H373"/>
      <c r="I373"/>
      <c r="J373"/>
      <c r="K373"/>
      <c r="L373"/>
      <c r="M373"/>
      <c r="N373"/>
      <c r="O373"/>
      <c r="P373"/>
      <c r="Q373"/>
      <c r="R373"/>
      <c r="S373"/>
      <c r="T373"/>
      <c r="U373"/>
      <c r="V373"/>
      <c r="W373"/>
      <c r="X373"/>
      <c r="Y373"/>
      <c r="Z373"/>
      <c r="AA373"/>
      <c r="AB373"/>
      <c r="AC373"/>
      <c r="AD373"/>
      <c r="AE373"/>
      <c r="AF373"/>
      <c r="AG373"/>
      <c r="AH373"/>
      <c r="AI373"/>
    </row>
    <row r="374" spans="1:35" s="33" customFormat="1" ht="15.75">
      <c r="A374" s="178"/>
      <c r="B374" s="166"/>
      <c r="C374" s="125"/>
      <c r="D374" s="125"/>
      <c r="E374" s="32"/>
      <c r="F374"/>
      <c r="G374"/>
      <c r="H374"/>
      <c r="I374"/>
      <c r="J374"/>
      <c r="K374"/>
      <c r="L374"/>
      <c r="M374"/>
      <c r="N374"/>
      <c r="O374"/>
      <c r="P374"/>
      <c r="Q374"/>
      <c r="R374"/>
      <c r="S374"/>
      <c r="T374"/>
      <c r="U374"/>
      <c r="V374"/>
      <c r="W374"/>
      <c r="X374"/>
      <c r="Y374"/>
      <c r="Z374"/>
      <c r="AA374"/>
      <c r="AB374"/>
      <c r="AC374"/>
      <c r="AD374"/>
      <c r="AE374"/>
      <c r="AF374"/>
      <c r="AG374"/>
      <c r="AH374"/>
      <c r="AI374"/>
    </row>
    <row r="375" spans="1:35" s="33" customFormat="1" ht="15.75">
      <c r="A375" s="178"/>
      <c r="B375" s="166"/>
      <c r="C375" s="125"/>
      <c r="D375" s="125"/>
      <c r="E375" s="32"/>
      <c r="F375"/>
      <c r="G375"/>
      <c r="H375"/>
      <c r="I375"/>
      <c r="J375"/>
      <c r="K375"/>
      <c r="L375"/>
      <c r="M375"/>
      <c r="N375"/>
      <c r="O375"/>
      <c r="P375"/>
      <c r="Q375"/>
      <c r="R375"/>
      <c r="S375"/>
      <c r="T375"/>
      <c r="U375"/>
      <c r="V375"/>
      <c r="W375"/>
      <c r="X375"/>
      <c r="Y375"/>
      <c r="Z375"/>
      <c r="AA375"/>
      <c r="AB375"/>
      <c r="AC375"/>
      <c r="AD375"/>
      <c r="AE375"/>
      <c r="AF375"/>
      <c r="AG375"/>
      <c r="AH375"/>
      <c r="AI375"/>
    </row>
    <row r="376" spans="1:35" s="33" customFormat="1" ht="15.75">
      <c r="A376" s="178"/>
      <c r="B376" s="166"/>
      <c r="C376" s="125"/>
      <c r="D376" s="125"/>
      <c r="E376" s="32"/>
      <c r="F376"/>
      <c r="G376"/>
      <c r="H376"/>
      <c r="I376"/>
      <c r="J376"/>
      <c r="K376"/>
      <c r="L376"/>
      <c r="M376"/>
      <c r="N376"/>
      <c r="O376"/>
      <c r="P376"/>
      <c r="Q376"/>
      <c r="R376"/>
      <c r="S376"/>
      <c r="T376"/>
      <c r="U376"/>
      <c r="V376"/>
      <c r="W376"/>
      <c r="X376"/>
      <c r="Y376"/>
      <c r="Z376"/>
      <c r="AA376"/>
      <c r="AB376"/>
      <c r="AC376"/>
      <c r="AD376"/>
      <c r="AE376"/>
      <c r="AF376"/>
      <c r="AG376"/>
      <c r="AH376"/>
      <c r="AI376"/>
    </row>
    <row r="377" spans="1:35" s="33" customFormat="1" ht="15.75">
      <c r="A377" s="178"/>
      <c r="B377" s="166"/>
      <c r="C377" s="125"/>
      <c r="D377" s="125"/>
      <c r="E377" s="32"/>
      <c r="F377"/>
      <c r="G377"/>
      <c r="H377"/>
      <c r="I377"/>
      <c r="J377"/>
      <c r="K377"/>
      <c r="L377"/>
      <c r="M377"/>
      <c r="N377"/>
      <c r="O377"/>
      <c r="P377"/>
      <c r="Q377"/>
      <c r="R377"/>
      <c r="S377"/>
      <c r="T377"/>
      <c r="U377"/>
      <c r="V377"/>
      <c r="W377"/>
      <c r="X377"/>
      <c r="Y377"/>
      <c r="Z377"/>
      <c r="AA377"/>
      <c r="AB377"/>
      <c r="AC377"/>
      <c r="AD377"/>
      <c r="AE377"/>
      <c r="AF377"/>
      <c r="AG377"/>
      <c r="AH377"/>
      <c r="AI377"/>
    </row>
    <row r="378" spans="1:35" s="33" customFormat="1" ht="15.75">
      <c r="A378" s="178"/>
      <c r="B378" s="166"/>
      <c r="C378" s="125"/>
      <c r="D378" s="125"/>
      <c r="E378" s="32"/>
      <c r="F378"/>
      <c r="G378"/>
      <c r="H378"/>
      <c r="I378"/>
      <c r="J378"/>
      <c r="K378"/>
      <c r="L378"/>
      <c r="M378"/>
      <c r="N378"/>
      <c r="O378"/>
      <c r="P378"/>
      <c r="Q378"/>
      <c r="R378"/>
      <c r="S378"/>
      <c r="T378"/>
      <c r="U378"/>
      <c r="V378"/>
      <c r="W378"/>
      <c r="X378"/>
      <c r="Y378"/>
      <c r="Z378"/>
      <c r="AA378"/>
      <c r="AB378"/>
      <c r="AC378"/>
      <c r="AD378"/>
      <c r="AE378"/>
      <c r="AF378"/>
      <c r="AG378"/>
      <c r="AH378"/>
      <c r="AI378"/>
    </row>
    <row r="379" spans="1:35" s="33" customFormat="1" ht="15.75">
      <c r="A379" s="178"/>
      <c r="B379" s="166"/>
      <c r="C379" s="125"/>
      <c r="D379" s="125"/>
      <c r="E379" s="32"/>
      <c r="F379"/>
      <c r="G379"/>
      <c r="H379"/>
      <c r="I379"/>
      <c r="J379"/>
      <c r="K379"/>
      <c r="L379"/>
      <c r="M379"/>
      <c r="N379"/>
      <c r="O379"/>
      <c r="P379"/>
      <c r="Q379"/>
      <c r="R379"/>
      <c r="S379"/>
      <c r="T379"/>
      <c r="U379"/>
      <c r="V379"/>
      <c r="W379"/>
      <c r="X379"/>
      <c r="Y379"/>
      <c r="Z379"/>
      <c r="AA379"/>
      <c r="AB379"/>
      <c r="AC379"/>
      <c r="AD379"/>
      <c r="AE379"/>
      <c r="AF379"/>
      <c r="AG379"/>
      <c r="AH379"/>
      <c r="AI379"/>
    </row>
    <row r="380" spans="1:35" s="33" customFormat="1" ht="15.75">
      <c r="A380" s="178"/>
      <c r="B380" s="166"/>
      <c r="C380" s="125"/>
      <c r="D380" s="125"/>
      <c r="E380" s="32"/>
      <c r="F380"/>
      <c r="G380"/>
      <c r="H380"/>
      <c r="I380"/>
      <c r="J380"/>
      <c r="K380"/>
      <c r="L380"/>
      <c r="M380"/>
      <c r="N380"/>
      <c r="O380"/>
      <c r="P380"/>
      <c r="Q380"/>
      <c r="R380"/>
      <c r="S380"/>
      <c r="T380"/>
      <c r="U380"/>
      <c r="V380"/>
      <c r="W380"/>
      <c r="X380"/>
      <c r="Y380"/>
      <c r="Z380"/>
      <c r="AA380"/>
      <c r="AB380"/>
      <c r="AC380"/>
      <c r="AD380"/>
      <c r="AE380"/>
      <c r="AF380"/>
      <c r="AG380"/>
      <c r="AH380"/>
      <c r="AI380"/>
    </row>
    <row r="381" spans="1:35" s="33" customFormat="1" ht="15.75">
      <c r="A381" s="178"/>
      <c r="B381" s="166"/>
      <c r="C381" s="125"/>
      <c r="D381" s="125"/>
      <c r="E381" s="32"/>
      <c r="F381"/>
      <c r="G381"/>
      <c r="H381"/>
      <c r="I381"/>
      <c r="J381"/>
      <c r="K381"/>
      <c r="L381"/>
      <c r="M381"/>
      <c r="N381"/>
      <c r="O381"/>
      <c r="P381"/>
      <c r="Q381"/>
      <c r="R381"/>
      <c r="S381"/>
      <c r="T381"/>
      <c r="U381"/>
      <c r="V381"/>
      <c r="W381"/>
      <c r="X381"/>
      <c r="Y381"/>
      <c r="Z381"/>
      <c r="AA381"/>
      <c r="AB381"/>
      <c r="AC381"/>
      <c r="AD381"/>
      <c r="AE381"/>
      <c r="AF381"/>
      <c r="AG381"/>
      <c r="AH381"/>
      <c r="AI381"/>
    </row>
    <row r="382" spans="1:35" s="33" customFormat="1" ht="15.75">
      <c r="A382" s="178"/>
      <c r="B382" s="166"/>
      <c r="C382" s="125"/>
      <c r="D382" s="125"/>
      <c r="E382" s="32"/>
      <c r="F382"/>
      <c r="G382"/>
      <c r="H382"/>
      <c r="I382"/>
      <c r="J382"/>
      <c r="K382"/>
      <c r="L382"/>
      <c r="M382"/>
      <c r="N382"/>
      <c r="O382"/>
      <c r="P382"/>
      <c r="Q382"/>
      <c r="R382"/>
      <c r="S382"/>
      <c r="T382"/>
      <c r="U382"/>
      <c r="V382"/>
      <c r="W382"/>
      <c r="X382"/>
      <c r="Y382"/>
      <c r="Z382"/>
      <c r="AA382"/>
      <c r="AB382"/>
      <c r="AC382"/>
      <c r="AD382"/>
      <c r="AE382"/>
      <c r="AF382"/>
      <c r="AG382"/>
      <c r="AH382"/>
      <c r="AI382"/>
    </row>
    <row r="383" spans="1:35" s="33" customFormat="1" ht="15.75">
      <c r="A383" s="178"/>
      <c r="B383" s="166"/>
      <c r="C383" s="125"/>
      <c r="D383" s="125"/>
      <c r="E383" s="32"/>
      <c r="F383"/>
      <c r="G383"/>
      <c r="H383"/>
      <c r="I383"/>
      <c r="J383"/>
      <c r="K383"/>
      <c r="L383"/>
      <c r="M383"/>
      <c r="N383"/>
      <c r="O383"/>
      <c r="P383"/>
      <c r="Q383"/>
      <c r="R383"/>
      <c r="S383"/>
      <c r="T383"/>
      <c r="U383"/>
      <c r="V383"/>
      <c r="W383"/>
      <c r="X383"/>
      <c r="Y383"/>
      <c r="Z383"/>
      <c r="AA383"/>
      <c r="AB383"/>
      <c r="AC383"/>
      <c r="AD383"/>
      <c r="AE383"/>
      <c r="AF383"/>
      <c r="AG383"/>
      <c r="AH383"/>
      <c r="AI383"/>
    </row>
    <row r="384" spans="1:35" s="33" customFormat="1" ht="15.75">
      <c r="A384" s="178"/>
      <c r="B384" s="166"/>
      <c r="C384" s="125"/>
      <c r="D384" s="125"/>
      <c r="E384" s="32"/>
      <c r="F384"/>
      <c r="G384"/>
      <c r="H384"/>
      <c r="I384"/>
      <c r="J384"/>
      <c r="K384"/>
      <c r="L384"/>
      <c r="M384"/>
      <c r="N384"/>
      <c r="O384"/>
      <c r="P384"/>
      <c r="Q384"/>
      <c r="R384"/>
      <c r="S384"/>
      <c r="T384"/>
      <c r="U384"/>
      <c r="V384"/>
      <c r="W384"/>
      <c r="X384"/>
      <c r="Y384"/>
      <c r="Z384"/>
      <c r="AA384"/>
      <c r="AB384"/>
      <c r="AC384"/>
      <c r="AD384"/>
      <c r="AE384"/>
      <c r="AF384"/>
      <c r="AG384"/>
      <c r="AH384"/>
      <c r="AI384"/>
    </row>
    <row r="385" spans="1:35" s="33" customFormat="1" ht="15.75">
      <c r="A385" s="178"/>
      <c r="B385" s="166"/>
      <c r="C385" s="125"/>
      <c r="D385" s="125"/>
      <c r="E385" s="32"/>
      <c r="F385"/>
      <c r="G385"/>
      <c r="H385"/>
      <c r="I385"/>
      <c r="J385"/>
      <c r="K385"/>
      <c r="L385"/>
      <c r="M385"/>
      <c r="N385"/>
      <c r="O385"/>
      <c r="P385"/>
      <c r="Q385"/>
      <c r="R385"/>
      <c r="S385"/>
      <c r="T385"/>
      <c r="U385"/>
      <c r="V385"/>
      <c r="W385"/>
      <c r="X385"/>
      <c r="Y385"/>
      <c r="Z385"/>
      <c r="AA385"/>
      <c r="AB385"/>
      <c r="AC385"/>
      <c r="AD385"/>
      <c r="AE385"/>
      <c r="AF385"/>
      <c r="AG385"/>
      <c r="AH385"/>
      <c r="AI385"/>
    </row>
    <row r="386" spans="1:35" s="33" customFormat="1" ht="15.75">
      <c r="A386" s="178"/>
      <c r="B386" s="166"/>
      <c r="C386" s="125"/>
      <c r="D386" s="125"/>
      <c r="E386" s="32"/>
      <c r="F386"/>
      <c r="G386"/>
      <c r="H386"/>
      <c r="I386"/>
      <c r="J386"/>
      <c r="K386"/>
      <c r="L386"/>
      <c r="M386"/>
      <c r="N386"/>
      <c r="O386"/>
      <c r="P386"/>
      <c r="Q386"/>
      <c r="R386"/>
      <c r="S386"/>
      <c r="T386"/>
      <c r="U386"/>
      <c r="V386"/>
      <c r="W386"/>
      <c r="X386"/>
      <c r="Y386"/>
      <c r="Z386"/>
      <c r="AA386"/>
      <c r="AB386"/>
      <c r="AC386"/>
      <c r="AD386"/>
      <c r="AE386"/>
      <c r="AF386"/>
      <c r="AG386"/>
      <c r="AH386"/>
      <c r="AI386"/>
    </row>
    <row r="387" spans="1:35" s="33" customFormat="1" ht="15.75">
      <c r="A387" s="178"/>
      <c r="B387" s="166"/>
      <c r="C387" s="125"/>
      <c r="D387" s="125"/>
      <c r="E387" s="32"/>
      <c r="F387"/>
      <c r="G387"/>
      <c r="H387"/>
      <c r="I387"/>
      <c r="J387"/>
      <c r="K387"/>
      <c r="L387"/>
      <c r="M387"/>
      <c r="N387"/>
      <c r="O387"/>
      <c r="P387"/>
      <c r="Q387"/>
      <c r="R387"/>
      <c r="S387"/>
      <c r="T387"/>
      <c r="U387"/>
      <c r="V387"/>
      <c r="W387"/>
      <c r="X387"/>
      <c r="Y387"/>
      <c r="Z387"/>
      <c r="AA387"/>
      <c r="AB387"/>
      <c r="AC387"/>
      <c r="AD387"/>
      <c r="AE387"/>
      <c r="AF387"/>
      <c r="AG387"/>
      <c r="AH387"/>
      <c r="AI387"/>
    </row>
    <row r="388" spans="1:35" s="33" customFormat="1" ht="15.75">
      <c r="A388" s="178"/>
      <c r="B388" s="166"/>
      <c r="C388" s="125"/>
      <c r="D388" s="125"/>
      <c r="E388" s="32"/>
      <c r="F388"/>
      <c r="G388"/>
      <c r="H388"/>
      <c r="I388"/>
      <c r="J388"/>
      <c r="K388"/>
      <c r="L388"/>
      <c r="M388"/>
      <c r="N388"/>
      <c r="O388"/>
      <c r="P388"/>
      <c r="Q388"/>
      <c r="R388"/>
      <c r="S388"/>
      <c r="T388"/>
      <c r="U388"/>
      <c r="V388"/>
      <c r="W388"/>
      <c r="X388"/>
      <c r="Y388"/>
      <c r="Z388"/>
      <c r="AA388"/>
      <c r="AB388"/>
      <c r="AC388"/>
      <c r="AD388"/>
      <c r="AE388"/>
      <c r="AF388"/>
      <c r="AG388"/>
      <c r="AH388"/>
      <c r="AI388"/>
    </row>
    <row r="389" spans="1:35" s="33" customFormat="1" ht="15.75">
      <c r="A389" s="178"/>
      <c r="B389" s="166"/>
      <c r="C389" s="125"/>
      <c r="D389" s="125"/>
      <c r="E389" s="32"/>
      <c r="F389"/>
      <c r="G389"/>
      <c r="H389"/>
      <c r="I389"/>
      <c r="J389"/>
      <c r="K389"/>
      <c r="L389"/>
      <c r="M389"/>
      <c r="N389"/>
      <c r="O389"/>
      <c r="P389"/>
      <c r="Q389"/>
      <c r="R389"/>
      <c r="S389"/>
      <c r="T389"/>
      <c r="U389"/>
      <c r="V389"/>
      <c r="W389"/>
      <c r="X389"/>
      <c r="Y389"/>
      <c r="Z389"/>
      <c r="AA389"/>
      <c r="AB389"/>
      <c r="AC389"/>
      <c r="AD389"/>
      <c r="AE389"/>
      <c r="AF389"/>
      <c r="AG389"/>
      <c r="AH389"/>
      <c r="AI389"/>
    </row>
    <row r="390" spans="1:35" s="33" customFormat="1" ht="15.75">
      <c r="A390" s="178"/>
      <c r="B390" s="166"/>
      <c r="C390" s="125"/>
      <c r="D390" s="125"/>
      <c r="E390" s="32"/>
      <c r="F390"/>
      <c r="G390"/>
      <c r="H390"/>
      <c r="I390"/>
      <c r="J390"/>
      <c r="K390"/>
      <c r="L390"/>
      <c r="M390"/>
      <c r="N390"/>
      <c r="O390"/>
      <c r="P390"/>
      <c r="Q390"/>
      <c r="R390"/>
      <c r="S390"/>
      <c r="T390"/>
      <c r="U390"/>
      <c r="V390"/>
      <c r="W390"/>
      <c r="X390"/>
      <c r="Y390"/>
      <c r="Z390"/>
      <c r="AA390"/>
      <c r="AB390"/>
      <c r="AC390"/>
      <c r="AD390"/>
      <c r="AE390"/>
      <c r="AF390"/>
      <c r="AG390"/>
      <c r="AH390"/>
      <c r="AI390"/>
    </row>
    <row r="391" spans="1:35" s="33" customFormat="1" ht="15.75">
      <c r="A391" s="178"/>
      <c r="B391" s="166"/>
      <c r="C391" s="125"/>
      <c r="D391" s="125"/>
      <c r="E391" s="32"/>
      <c r="F391"/>
      <c r="G391"/>
      <c r="H391"/>
      <c r="I391"/>
      <c r="J391"/>
      <c r="K391"/>
      <c r="L391"/>
      <c r="M391"/>
      <c r="N391"/>
      <c r="O391"/>
      <c r="P391"/>
      <c r="Q391"/>
      <c r="R391"/>
      <c r="S391"/>
      <c r="T391"/>
      <c r="U391"/>
      <c r="V391"/>
      <c r="W391"/>
      <c r="X391"/>
      <c r="Y391"/>
      <c r="Z391"/>
      <c r="AA391"/>
      <c r="AB391"/>
      <c r="AC391"/>
      <c r="AD391"/>
      <c r="AE391"/>
      <c r="AF391"/>
      <c r="AG391"/>
      <c r="AH391"/>
      <c r="AI391"/>
    </row>
    <row r="392" spans="1:35" s="33" customFormat="1" ht="15.75">
      <c r="A392" s="178"/>
      <c r="B392" s="166"/>
      <c r="C392" s="125"/>
      <c r="D392" s="125"/>
      <c r="E392" s="32"/>
      <c r="F392"/>
      <c r="G392"/>
      <c r="H392"/>
      <c r="I392"/>
      <c r="J392"/>
      <c r="K392"/>
      <c r="L392"/>
      <c r="M392"/>
      <c r="N392"/>
      <c r="O392"/>
      <c r="P392"/>
      <c r="Q392"/>
      <c r="R392"/>
      <c r="S392"/>
      <c r="T392"/>
      <c r="U392"/>
      <c r="V392"/>
      <c r="W392"/>
      <c r="X392"/>
      <c r="Y392"/>
      <c r="Z392"/>
      <c r="AA392"/>
      <c r="AB392"/>
      <c r="AC392"/>
      <c r="AD392"/>
      <c r="AE392"/>
      <c r="AF392"/>
      <c r="AG392"/>
      <c r="AH392"/>
      <c r="AI392"/>
    </row>
    <row r="393" spans="1:35" s="33" customFormat="1" ht="15.75">
      <c r="A393" s="178"/>
      <c r="B393" s="166"/>
      <c r="C393" s="125"/>
      <c r="D393" s="125"/>
      <c r="E393" s="32"/>
      <c r="F393"/>
      <c r="G393"/>
      <c r="H393"/>
      <c r="I393"/>
      <c r="J393"/>
      <c r="K393"/>
      <c r="L393"/>
      <c r="M393"/>
      <c r="N393"/>
      <c r="O393"/>
      <c r="P393"/>
      <c r="Q393"/>
      <c r="R393"/>
      <c r="S393"/>
      <c r="T393"/>
      <c r="U393"/>
      <c r="V393"/>
      <c r="W393"/>
      <c r="X393"/>
      <c r="Y393"/>
      <c r="Z393"/>
      <c r="AA393"/>
      <c r="AB393"/>
      <c r="AC393"/>
      <c r="AD393"/>
      <c r="AE393"/>
      <c r="AF393"/>
      <c r="AG393"/>
      <c r="AH393"/>
      <c r="AI393"/>
    </row>
    <row r="394" spans="1:35" s="33" customFormat="1" ht="15.75">
      <c r="A394" s="178"/>
      <c r="B394" s="166"/>
      <c r="C394" s="125"/>
      <c r="D394" s="125"/>
      <c r="E394" s="32"/>
      <c r="F394"/>
      <c r="G394"/>
      <c r="H394"/>
      <c r="I394"/>
      <c r="J394"/>
      <c r="K394"/>
      <c r="L394"/>
      <c r="M394"/>
      <c r="N394"/>
      <c r="O394"/>
      <c r="P394"/>
      <c r="Q394"/>
      <c r="R394"/>
      <c r="S394"/>
      <c r="T394"/>
      <c r="U394"/>
      <c r="V394"/>
      <c r="W394"/>
      <c r="X394"/>
      <c r="Y394"/>
      <c r="Z394"/>
      <c r="AA394"/>
      <c r="AB394"/>
      <c r="AC394"/>
      <c r="AD394"/>
      <c r="AE394"/>
      <c r="AF394"/>
      <c r="AG394"/>
      <c r="AH394"/>
      <c r="AI394"/>
    </row>
    <row r="395" spans="1:35" s="33" customFormat="1" ht="15.75">
      <c r="A395" s="178"/>
      <c r="B395" s="166"/>
      <c r="C395" s="125"/>
      <c r="D395" s="125"/>
      <c r="E395" s="32"/>
      <c r="F395"/>
      <c r="G395"/>
      <c r="H395"/>
      <c r="I395"/>
      <c r="J395"/>
      <c r="K395"/>
      <c r="L395"/>
      <c r="M395"/>
      <c r="N395"/>
      <c r="O395"/>
      <c r="P395"/>
      <c r="Q395"/>
      <c r="R395"/>
      <c r="S395"/>
      <c r="T395"/>
      <c r="U395"/>
      <c r="V395"/>
      <c r="W395"/>
      <c r="X395"/>
      <c r="Y395"/>
      <c r="Z395"/>
      <c r="AA395"/>
      <c r="AB395"/>
      <c r="AC395"/>
      <c r="AD395"/>
      <c r="AE395"/>
      <c r="AF395"/>
      <c r="AG395"/>
      <c r="AH395"/>
      <c r="AI395"/>
    </row>
    <row r="396" spans="1:35" s="33" customFormat="1" ht="15.75">
      <c r="A396" s="178"/>
      <c r="B396" s="166"/>
      <c r="C396" s="125"/>
      <c r="D396" s="125"/>
      <c r="E396" s="32"/>
      <c r="F396"/>
      <c r="G396"/>
      <c r="H396"/>
      <c r="I396"/>
      <c r="J396"/>
      <c r="K396"/>
      <c r="L396"/>
      <c r="M396"/>
      <c r="N396"/>
      <c r="O396"/>
      <c r="P396"/>
      <c r="Q396"/>
      <c r="R396"/>
      <c r="S396"/>
      <c r="T396"/>
      <c r="U396"/>
      <c r="V396"/>
      <c r="W396"/>
      <c r="X396"/>
      <c r="Y396"/>
      <c r="Z396"/>
      <c r="AA396"/>
      <c r="AB396"/>
      <c r="AC396"/>
      <c r="AD396"/>
      <c r="AE396"/>
      <c r="AF396"/>
      <c r="AG396"/>
      <c r="AH396"/>
      <c r="AI396"/>
    </row>
    <row r="397" spans="1:35" s="33" customFormat="1" ht="15.75">
      <c r="A397" s="178"/>
      <c r="B397" s="166"/>
      <c r="C397" s="125"/>
      <c r="D397" s="125"/>
      <c r="E397" s="32"/>
      <c r="F397"/>
      <c r="G397"/>
      <c r="H397"/>
      <c r="I397"/>
      <c r="J397"/>
      <c r="K397"/>
      <c r="L397"/>
      <c r="M397"/>
      <c r="N397"/>
      <c r="O397"/>
      <c r="P397"/>
      <c r="Q397"/>
      <c r="R397"/>
      <c r="S397"/>
      <c r="T397"/>
      <c r="U397"/>
      <c r="V397"/>
      <c r="W397"/>
      <c r="X397"/>
      <c r="Y397"/>
      <c r="Z397"/>
      <c r="AA397"/>
      <c r="AB397"/>
      <c r="AC397"/>
      <c r="AD397"/>
      <c r="AE397"/>
      <c r="AF397"/>
      <c r="AG397"/>
      <c r="AH397"/>
      <c r="AI397"/>
    </row>
    <row r="398" spans="1:35" s="33" customFormat="1" ht="15.75">
      <c r="A398" s="178"/>
      <c r="B398" s="166"/>
      <c r="C398" s="125"/>
      <c r="D398" s="125"/>
      <c r="E398" s="32"/>
      <c r="F398"/>
      <c r="G398"/>
      <c r="H398"/>
      <c r="I398"/>
      <c r="J398"/>
      <c r="K398"/>
      <c r="L398"/>
      <c r="M398"/>
      <c r="N398"/>
      <c r="O398"/>
      <c r="P398"/>
      <c r="Q398"/>
      <c r="R398"/>
      <c r="S398"/>
      <c r="T398"/>
      <c r="U398"/>
      <c r="V398"/>
      <c r="W398"/>
      <c r="X398"/>
      <c r="Y398"/>
      <c r="Z398"/>
      <c r="AA398"/>
      <c r="AB398"/>
      <c r="AC398"/>
      <c r="AD398"/>
      <c r="AE398"/>
      <c r="AF398"/>
      <c r="AG398"/>
      <c r="AH398"/>
      <c r="AI398"/>
    </row>
    <row r="399" spans="1:35" s="33" customFormat="1" ht="15.75">
      <c r="A399" s="178"/>
      <c r="B399" s="166"/>
      <c r="C399" s="125"/>
      <c r="D399" s="125"/>
      <c r="E399" s="32"/>
      <c r="F399"/>
      <c r="G399"/>
      <c r="H399"/>
      <c r="I399"/>
      <c r="J399"/>
      <c r="K399"/>
      <c r="L399"/>
      <c r="M399"/>
      <c r="N399"/>
      <c r="O399"/>
      <c r="P399"/>
      <c r="Q399"/>
      <c r="R399"/>
      <c r="S399"/>
      <c r="T399"/>
      <c r="U399"/>
      <c r="V399"/>
      <c r="W399"/>
      <c r="X399"/>
      <c r="Y399"/>
      <c r="Z399"/>
      <c r="AA399"/>
      <c r="AB399"/>
      <c r="AC399"/>
      <c r="AD399"/>
      <c r="AE399"/>
      <c r="AF399"/>
      <c r="AG399"/>
      <c r="AH399"/>
      <c r="AI399"/>
    </row>
    <row r="400" spans="1:35" s="33" customFormat="1" ht="15.75">
      <c r="A400" s="178"/>
      <c r="B400" s="166"/>
      <c r="C400" s="125"/>
      <c r="D400" s="125"/>
      <c r="E400" s="32"/>
      <c r="F400"/>
      <c r="G400"/>
      <c r="H400"/>
      <c r="I400"/>
      <c r="J400"/>
      <c r="K400"/>
      <c r="L400"/>
      <c r="M400"/>
      <c r="N400"/>
      <c r="O400"/>
      <c r="P400"/>
      <c r="Q400"/>
      <c r="R400"/>
      <c r="S400"/>
      <c r="T400"/>
      <c r="U400"/>
      <c r="V400"/>
      <c r="W400"/>
      <c r="X400"/>
      <c r="Y400"/>
      <c r="Z400"/>
      <c r="AA400"/>
      <c r="AB400"/>
      <c r="AC400"/>
      <c r="AD400"/>
      <c r="AE400"/>
      <c r="AF400"/>
      <c r="AG400"/>
      <c r="AH400"/>
      <c r="AI400"/>
    </row>
    <row r="401" spans="1:35" s="33" customFormat="1" ht="15.75">
      <c r="A401" s="178"/>
      <c r="B401" s="166"/>
      <c r="C401" s="125"/>
      <c r="D401" s="125"/>
      <c r="E401" s="32"/>
      <c r="F401"/>
      <c r="G401"/>
      <c r="H401"/>
      <c r="I401"/>
      <c r="J401"/>
      <c r="K401"/>
      <c r="L401"/>
      <c r="M401"/>
      <c r="N401"/>
      <c r="O401"/>
      <c r="P401"/>
      <c r="Q401"/>
      <c r="R401"/>
      <c r="S401"/>
      <c r="T401"/>
      <c r="U401"/>
      <c r="V401"/>
      <c r="W401"/>
      <c r="X401"/>
      <c r="Y401"/>
      <c r="Z401"/>
      <c r="AA401"/>
      <c r="AB401"/>
      <c r="AC401"/>
      <c r="AD401"/>
      <c r="AE401"/>
      <c r="AF401"/>
      <c r="AG401"/>
      <c r="AH401"/>
      <c r="AI401"/>
    </row>
    <row r="402" spans="1:35" s="33" customFormat="1" ht="15.75">
      <c r="A402" s="178"/>
      <c r="B402" s="166"/>
      <c r="C402" s="125"/>
      <c r="D402" s="125"/>
      <c r="E402" s="32"/>
      <c r="F402"/>
      <c r="G402"/>
      <c r="H402"/>
      <c r="I402"/>
      <c r="J402"/>
      <c r="K402"/>
      <c r="L402"/>
      <c r="M402"/>
      <c r="N402"/>
      <c r="O402"/>
      <c r="P402"/>
      <c r="Q402"/>
      <c r="R402"/>
      <c r="S402"/>
      <c r="T402"/>
      <c r="U402"/>
      <c r="V402"/>
      <c r="W402"/>
      <c r="X402"/>
      <c r="Y402"/>
      <c r="Z402"/>
      <c r="AA402"/>
      <c r="AB402"/>
      <c r="AC402"/>
      <c r="AD402"/>
      <c r="AE402"/>
      <c r="AF402"/>
      <c r="AG402"/>
      <c r="AH402"/>
      <c r="AI402"/>
    </row>
    <row r="403" spans="1:35" s="33" customFormat="1" ht="15.75">
      <c r="A403" s="178"/>
      <c r="B403" s="166"/>
      <c r="C403" s="125"/>
      <c r="D403" s="125"/>
      <c r="E403" s="32"/>
      <c r="F403"/>
      <c r="G403"/>
      <c r="H403"/>
      <c r="I403"/>
      <c r="J403"/>
      <c r="K403"/>
      <c r="L403"/>
      <c r="M403"/>
      <c r="N403"/>
      <c r="O403"/>
      <c r="P403"/>
      <c r="Q403"/>
      <c r="R403"/>
      <c r="S403"/>
      <c r="T403"/>
      <c r="U403"/>
      <c r="V403"/>
      <c r="W403"/>
      <c r="X403"/>
      <c r="Y403"/>
      <c r="Z403"/>
      <c r="AA403"/>
      <c r="AB403"/>
      <c r="AC403"/>
      <c r="AD403"/>
      <c r="AE403"/>
      <c r="AF403"/>
      <c r="AG403"/>
      <c r="AH403"/>
      <c r="AI403"/>
    </row>
    <row r="404" spans="1:35" s="33" customFormat="1" ht="15.75">
      <c r="A404" s="178"/>
      <c r="B404" s="166"/>
      <c r="C404" s="125"/>
      <c r="D404" s="125"/>
      <c r="E404" s="32"/>
      <c r="F404"/>
      <c r="G404"/>
      <c r="H404"/>
      <c r="I404"/>
      <c r="J404"/>
      <c r="K404"/>
      <c r="L404"/>
      <c r="M404"/>
      <c r="N404"/>
      <c r="O404"/>
      <c r="P404"/>
      <c r="Q404"/>
      <c r="R404"/>
      <c r="S404"/>
      <c r="T404"/>
      <c r="U404"/>
      <c r="V404"/>
      <c r="W404"/>
      <c r="X404"/>
      <c r="Y404"/>
      <c r="Z404"/>
      <c r="AA404"/>
      <c r="AB404"/>
      <c r="AC404"/>
      <c r="AD404"/>
      <c r="AE404"/>
      <c r="AF404"/>
      <c r="AG404"/>
      <c r="AH404"/>
      <c r="AI404"/>
    </row>
    <row r="405" spans="1:35" s="33" customFormat="1" ht="15.75">
      <c r="A405" s="178"/>
      <c r="B405" s="166"/>
      <c r="C405" s="125"/>
      <c r="D405" s="125"/>
      <c r="E405" s="32"/>
      <c r="F405"/>
      <c r="G405"/>
      <c r="H405"/>
      <c r="I405"/>
      <c r="J405"/>
      <c r="K405"/>
      <c r="L405"/>
      <c r="M405"/>
      <c r="N405"/>
      <c r="O405"/>
      <c r="P405"/>
      <c r="Q405"/>
      <c r="R405"/>
      <c r="S405"/>
      <c r="T405"/>
      <c r="U405"/>
      <c r="V405"/>
      <c r="W405"/>
      <c r="X405"/>
      <c r="Y405"/>
      <c r="Z405"/>
      <c r="AA405"/>
      <c r="AB405"/>
      <c r="AC405"/>
      <c r="AD405"/>
      <c r="AE405"/>
      <c r="AF405"/>
      <c r="AG405"/>
      <c r="AH405"/>
      <c r="AI405"/>
    </row>
    <row r="406" spans="1:35" s="33" customFormat="1" ht="15.75">
      <c r="A406" s="178"/>
      <c r="B406" s="166"/>
      <c r="C406" s="125"/>
      <c r="D406" s="125"/>
      <c r="E406" s="32"/>
      <c r="F406"/>
      <c r="G406"/>
      <c r="H406"/>
      <c r="I406"/>
      <c r="J406"/>
      <c r="K406"/>
      <c r="L406"/>
      <c r="M406"/>
      <c r="N406"/>
      <c r="O406"/>
      <c r="P406"/>
      <c r="Q406"/>
      <c r="R406"/>
      <c r="S406"/>
      <c r="T406"/>
      <c r="U406"/>
      <c r="V406"/>
      <c r="W406"/>
      <c r="X406"/>
      <c r="Y406"/>
      <c r="Z406"/>
      <c r="AA406"/>
      <c r="AB406"/>
      <c r="AC406"/>
      <c r="AD406"/>
      <c r="AE406"/>
      <c r="AF406"/>
      <c r="AG406"/>
      <c r="AH406"/>
      <c r="AI406"/>
    </row>
    <row r="407" spans="1:35" s="33" customFormat="1" ht="15.75">
      <c r="A407" s="178"/>
      <c r="B407" s="166"/>
      <c r="C407" s="125"/>
      <c r="D407" s="125"/>
      <c r="E407" s="32"/>
      <c r="F407"/>
      <c r="G407"/>
      <c r="H407"/>
      <c r="I407"/>
      <c r="J407"/>
      <c r="K407"/>
      <c r="L407"/>
      <c r="M407"/>
      <c r="N407"/>
      <c r="O407"/>
      <c r="P407"/>
      <c r="Q407"/>
      <c r="R407"/>
      <c r="S407"/>
      <c r="T407"/>
      <c r="U407"/>
      <c r="V407"/>
      <c r="W407"/>
      <c r="X407"/>
      <c r="Y407"/>
      <c r="Z407"/>
      <c r="AA407"/>
      <c r="AB407"/>
      <c r="AC407"/>
      <c r="AD407"/>
      <c r="AE407"/>
      <c r="AF407"/>
      <c r="AG407"/>
      <c r="AH407"/>
      <c r="AI407"/>
    </row>
    <row r="408" spans="1:35" s="33" customFormat="1" ht="15.75">
      <c r="A408" s="178"/>
      <c r="B408" s="166"/>
      <c r="C408" s="125"/>
      <c r="D408" s="125"/>
      <c r="E408" s="32"/>
      <c r="F408"/>
      <c r="G408"/>
      <c r="H408"/>
      <c r="I408"/>
      <c r="J408"/>
      <c r="K408"/>
      <c r="L408"/>
      <c r="M408"/>
      <c r="N408"/>
      <c r="O408"/>
      <c r="P408"/>
      <c r="Q408"/>
      <c r="R408"/>
      <c r="S408"/>
      <c r="T408"/>
      <c r="U408"/>
      <c r="V408"/>
      <c r="W408"/>
      <c r="X408"/>
      <c r="Y408"/>
      <c r="Z408"/>
      <c r="AA408"/>
      <c r="AB408"/>
      <c r="AC408"/>
      <c r="AD408"/>
      <c r="AE408"/>
      <c r="AF408"/>
      <c r="AG408"/>
      <c r="AH408"/>
      <c r="AI408"/>
    </row>
    <row r="409" spans="1:35" s="33" customFormat="1" ht="15.75">
      <c r="A409" s="178"/>
      <c r="B409" s="166"/>
      <c r="C409" s="125"/>
      <c r="D409" s="125"/>
      <c r="E409" s="32"/>
      <c r="F409"/>
      <c r="G409"/>
      <c r="H409"/>
      <c r="I409"/>
      <c r="J409"/>
      <c r="K409"/>
      <c r="L409"/>
      <c r="M409"/>
      <c r="N409"/>
      <c r="O409"/>
      <c r="P409"/>
      <c r="Q409"/>
      <c r="R409"/>
      <c r="S409"/>
      <c r="T409"/>
      <c r="U409"/>
      <c r="V409"/>
      <c r="W409"/>
      <c r="X409"/>
      <c r="Y409"/>
      <c r="Z409"/>
      <c r="AA409"/>
      <c r="AB409"/>
      <c r="AC409"/>
      <c r="AD409"/>
      <c r="AE409"/>
      <c r="AF409"/>
      <c r="AG409"/>
      <c r="AH409"/>
      <c r="AI409"/>
    </row>
    <row r="410" spans="1:35" s="33" customFormat="1" ht="15.75">
      <c r="A410" s="178"/>
      <c r="B410" s="166"/>
      <c r="C410" s="125"/>
      <c r="D410" s="125"/>
      <c r="E410" s="32"/>
      <c r="F410"/>
      <c r="G410"/>
      <c r="H410"/>
      <c r="I410"/>
      <c r="J410"/>
      <c r="K410"/>
      <c r="L410"/>
      <c r="M410"/>
      <c r="N410"/>
      <c r="O410"/>
      <c r="P410"/>
      <c r="Q410"/>
      <c r="R410"/>
      <c r="S410"/>
      <c r="T410"/>
      <c r="U410"/>
      <c r="V410"/>
      <c r="W410"/>
      <c r="X410"/>
      <c r="Y410"/>
      <c r="Z410"/>
      <c r="AA410"/>
      <c r="AB410"/>
      <c r="AC410"/>
      <c r="AD410"/>
      <c r="AE410"/>
      <c r="AF410"/>
      <c r="AG410"/>
      <c r="AH410"/>
      <c r="AI410"/>
    </row>
    <row r="411" spans="1:35" s="33" customFormat="1" ht="15.75">
      <c r="A411" s="178"/>
      <c r="B411" s="166"/>
      <c r="C411" s="125"/>
      <c r="D411" s="125"/>
      <c r="E411" s="32"/>
      <c r="F411"/>
      <c r="G411"/>
      <c r="H411"/>
      <c r="I411"/>
      <c r="J411"/>
      <c r="K411"/>
      <c r="L411"/>
      <c r="M411"/>
      <c r="N411"/>
      <c r="O411"/>
      <c r="P411"/>
      <c r="Q411"/>
      <c r="R411"/>
      <c r="S411"/>
      <c r="T411"/>
      <c r="U411"/>
      <c r="V411"/>
      <c r="W411"/>
      <c r="X411"/>
      <c r="Y411"/>
      <c r="Z411"/>
      <c r="AA411"/>
      <c r="AB411"/>
      <c r="AC411"/>
      <c r="AD411"/>
      <c r="AE411"/>
      <c r="AF411"/>
      <c r="AG411"/>
      <c r="AH411"/>
      <c r="AI411"/>
    </row>
    <row r="412" spans="1:35" s="33" customFormat="1" ht="15.75">
      <c r="A412" s="178"/>
      <c r="B412" s="166"/>
      <c r="C412" s="125"/>
      <c r="D412" s="125"/>
      <c r="E412" s="32"/>
      <c r="F412"/>
      <c r="G412"/>
      <c r="H412"/>
      <c r="I412"/>
      <c r="J412"/>
      <c r="K412"/>
      <c r="L412"/>
      <c r="M412"/>
      <c r="N412"/>
      <c r="O412"/>
      <c r="P412"/>
      <c r="Q412"/>
      <c r="R412"/>
      <c r="S412"/>
      <c r="T412"/>
      <c r="U412"/>
      <c r="V412"/>
      <c r="W412"/>
      <c r="X412"/>
      <c r="Y412"/>
      <c r="Z412"/>
      <c r="AA412"/>
      <c r="AB412"/>
      <c r="AC412"/>
      <c r="AD412"/>
      <c r="AE412"/>
      <c r="AF412"/>
      <c r="AG412"/>
      <c r="AH412"/>
      <c r="AI412"/>
    </row>
    <row r="413" spans="1:35" s="33" customFormat="1" ht="15.75">
      <c r="A413" s="178"/>
      <c r="B413" s="166"/>
      <c r="C413" s="125"/>
      <c r="D413" s="125"/>
      <c r="E413" s="32"/>
      <c r="F413"/>
      <c r="G413"/>
      <c r="H413"/>
      <c r="I413"/>
      <c r="J413"/>
      <c r="K413"/>
      <c r="L413"/>
      <c r="M413"/>
      <c r="N413"/>
      <c r="O413"/>
      <c r="P413"/>
      <c r="Q413"/>
      <c r="R413"/>
      <c r="S413"/>
      <c r="T413"/>
      <c r="U413"/>
      <c r="V413"/>
      <c r="W413"/>
      <c r="X413"/>
      <c r="Y413"/>
      <c r="Z413"/>
      <c r="AA413"/>
      <c r="AB413"/>
      <c r="AC413"/>
      <c r="AD413"/>
      <c r="AE413"/>
      <c r="AF413"/>
      <c r="AG413"/>
      <c r="AH413"/>
      <c r="AI413"/>
    </row>
    <row r="414" spans="1:35" s="33" customFormat="1" ht="15.75">
      <c r="A414" s="178"/>
      <c r="B414" s="166"/>
      <c r="C414" s="125"/>
      <c r="D414" s="125"/>
      <c r="E414" s="32"/>
      <c r="F414"/>
      <c r="G414"/>
      <c r="H414"/>
      <c r="I414"/>
      <c r="J414"/>
      <c r="K414"/>
      <c r="L414"/>
      <c r="M414"/>
      <c r="N414"/>
      <c r="O414"/>
      <c r="P414"/>
      <c r="Q414"/>
      <c r="R414"/>
      <c r="S414"/>
      <c r="T414"/>
      <c r="U414"/>
      <c r="V414"/>
      <c r="W414"/>
      <c r="X414"/>
      <c r="Y414"/>
      <c r="Z414"/>
      <c r="AA414"/>
      <c r="AB414"/>
      <c r="AC414"/>
      <c r="AD414"/>
      <c r="AE414"/>
      <c r="AF414"/>
      <c r="AG414"/>
      <c r="AH414"/>
      <c r="AI414"/>
    </row>
    <row r="415" spans="1:35" s="33" customFormat="1" ht="15.75">
      <c r="A415" s="178"/>
      <c r="B415" s="166"/>
      <c r="C415" s="125"/>
      <c r="D415" s="125"/>
      <c r="E415" s="32"/>
      <c r="F415"/>
      <c r="G415"/>
      <c r="H415"/>
      <c r="I415"/>
      <c r="J415"/>
      <c r="K415"/>
      <c r="L415"/>
      <c r="M415"/>
      <c r="N415"/>
      <c r="O415"/>
      <c r="P415"/>
      <c r="Q415"/>
      <c r="R415"/>
      <c r="S415"/>
      <c r="T415"/>
      <c r="U415"/>
      <c r="V415"/>
      <c r="W415"/>
      <c r="X415"/>
      <c r="Y415"/>
      <c r="Z415"/>
      <c r="AA415"/>
      <c r="AB415"/>
      <c r="AC415"/>
      <c r="AD415"/>
      <c r="AE415"/>
      <c r="AF415"/>
      <c r="AG415"/>
      <c r="AH415"/>
      <c r="AI415"/>
    </row>
    <row r="416" spans="1:35" s="33" customFormat="1" ht="15.75">
      <c r="A416" s="178"/>
      <c r="B416" s="166"/>
      <c r="C416" s="125"/>
      <c r="D416" s="125"/>
      <c r="E416" s="32"/>
      <c r="F416"/>
      <c r="G416"/>
      <c r="H416"/>
      <c r="I416"/>
      <c r="J416"/>
      <c r="K416"/>
      <c r="L416"/>
      <c r="M416"/>
      <c r="N416"/>
      <c r="O416"/>
      <c r="P416"/>
      <c r="Q416"/>
      <c r="R416"/>
      <c r="S416"/>
      <c r="T416"/>
      <c r="U416"/>
      <c r="V416"/>
      <c r="W416"/>
      <c r="X416"/>
      <c r="Y416"/>
      <c r="Z416"/>
      <c r="AA416"/>
      <c r="AB416"/>
      <c r="AC416"/>
      <c r="AD416"/>
      <c r="AE416"/>
      <c r="AF416"/>
      <c r="AG416"/>
      <c r="AH416"/>
      <c r="AI416"/>
    </row>
    <row r="417" spans="1:35" s="33" customFormat="1" ht="15.75">
      <c r="A417" s="178"/>
      <c r="B417" s="166"/>
      <c r="C417" s="125"/>
      <c r="D417" s="125"/>
      <c r="E417" s="32"/>
      <c r="F417"/>
      <c r="G417"/>
      <c r="H417"/>
      <c r="I417"/>
      <c r="J417"/>
      <c r="K417"/>
      <c r="L417"/>
      <c r="M417"/>
      <c r="N417"/>
      <c r="O417"/>
      <c r="P417"/>
      <c r="Q417"/>
      <c r="R417"/>
      <c r="S417"/>
      <c r="T417"/>
      <c r="U417"/>
      <c r="V417"/>
      <c r="W417"/>
      <c r="X417"/>
      <c r="Y417"/>
      <c r="Z417"/>
      <c r="AA417"/>
      <c r="AB417"/>
      <c r="AC417"/>
      <c r="AD417"/>
      <c r="AE417"/>
      <c r="AF417"/>
      <c r="AG417"/>
      <c r="AH417"/>
      <c r="AI417"/>
    </row>
    <row r="418" spans="1:35" s="33" customFormat="1" ht="15.75">
      <c r="A418" s="178"/>
      <c r="B418" s="166"/>
      <c r="C418" s="125"/>
      <c r="D418" s="125"/>
      <c r="E418" s="32"/>
      <c r="F418"/>
      <c r="G418"/>
      <c r="H418"/>
      <c r="I418"/>
      <c r="J418"/>
      <c r="K418"/>
      <c r="L418"/>
      <c r="M418"/>
      <c r="N418"/>
      <c r="O418"/>
      <c r="P418"/>
      <c r="Q418"/>
      <c r="R418"/>
      <c r="S418"/>
      <c r="T418"/>
      <c r="U418"/>
      <c r="V418"/>
      <c r="W418"/>
      <c r="X418"/>
      <c r="Y418"/>
      <c r="Z418"/>
      <c r="AA418"/>
      <c r="AB418"/>
      <c r="AC418"/>
      <c r="AD418"/>
      <c r="AE418"/>
      <c r="AF418"/>
      <c r="AG418"/>
      <c r="AH418"/>
      <c r="AI418"/>
    </row>
    <row r="419" spans="1:35" s="33" customFormat="1" ht="15.75">
      <c r="A419" s="178"/>
      <c r="B419" s="166"/>
      <c r="C419" s="125"/>
      <c r="D419" s="125"/>
      <c r="E419" s="32"/>
      <c r="F419"/>
      <c r="G419"/>
      <c r="H419"/>
      <c r="I419"/>
      <c r="J419"/>
      <c r="K419"/>
      <c r="L419"/>
      <c r="M419"/>
      <c r="N419"/>
      <c r="O419"/>
      <c r="P419"/>
      <c r="Q419"/>
      <c r="R419"/>
      <c r="S419"/>
      <c r="T419"/>
      <c r="U419"/>
      <c r="V419"/>
      <c r="W419"/>
      <c r="X419"/>
      <c r="Y419"/>
      <c r="Z419"/>
      <c r="AA419"/>
      <c r="AB419"/>
      <c r="AC419"/>
      <c r="AD419"/>
      <c r="AE419"/>
      <c r="AF419"/>
      <c r="AG419"/>
      <c r="AH419"/>
      <c r="AI419"/>
    </row>
    <row r="420" spans="1:35" s="33" customFormat="1" ht="15.75">
      <c r="A420" s="178"/>
      <c r="B420" s="166"/>
      <c r="C420" s="125"/>
      <c r="D420" s="125"/>
      <c r="E420" s="32"/>
      <c r="F420"/>
      <c r="G420"/>
      <c r="H420"/>
      <c r="I420"/>
      <c r="J420"/>
      <c r="K420"/>
      <c r="L420"/>
      <c r="M420"/>
      <c r="N420"/>
      <c r="O420"/>
      <c r="P420"/>
      <c r="Q420"/>
      <c r="R420"/>
      <c r="S420"/>
      <c r="T420"/>
      <c r="U420"/>
      <c r="V420"/>
      <c r="W420"/>
      <c r="X420"/>
      <c r="Y420"/>
      <c r="Z420"/>
      <c r="AA420"/>
      <c r="AB420"/>
      <c r="AC420"/>
      <c r="AD420"/>
      <c r="AE420"/>
      <c r="AF420"/>
      <c r="AG420"/>
      <c r="AH420"/>
      <c r="AI420"/>
    </row>
    <row r="421" spans="1:35" s="33" customFormat="1" ht="15.75">
      <c r="A421" s="178"/>
      <c r="B421" s="166"/>
      <c r="C421" s="125"/>
      <c r="D421" s="125"/>
      <c r="E421" s="32"/>
      <c r="F421"/>
      <c r="G421"/>
      <c r="H421"/>
      <c r="I421"/>
      <c r="J421"/>
      <c r="K421"/>
      <c r="L421"/>
      <c r="M421"/>
      <c r="N421"/>
      <c r="O421"/>
      <c r="P421"/>
      <c r="Q421"/>
      <c r="R421"/>
      <c r="S421"/>
      <c r="T421"/>
      <c r="U421"/>
      <c r="V421"/>
      <c r="W421"/>
      <c r="X421"/>
      <c r="Y421"/>
      <c r="Z421"/>
      <c r="AA421"/>
      <c r="AB421"/>
      <c r="AC421"/>
      <c r="AD421"/>
      <c r="AE421"/>
      <c r="AF421"/>
      <c r="AG421"/>
      <c r="AH421"/>
      <c r="AI421"/>
    </row>
    <row r="422" spans="1:35" s="33" customFormat="1" ht="15.75">
      <c r="A422" s="178"/>
      <c r="B422" s="166"/>
      <c r="C422" s="125"/>
      <c r="D422" s="125"/>
      <c r="E422" s="32"/>
      <c r="F422"/>
      <c r="G422"/>
      <c r="H422"/>
      <c r="I422"/>
      <c r="J422"/>
      <c r="K422"/>
      <c r="L422"/>
      <c r="M422"/>
      <c r="N422"/>
      <c r="O422"/>
      <c r="P422"/>
      <c r="Q422"/>
      <c r="R422"/>
      <c r="S422"/>
      <c r="T422"/>
      <c r="U422"/>
      <c r="V422"/>
      <c r="W422"/>
      <c r="X422"/>
      <c r="Y422"/>
      <c r="Z422"/>
      <c r="AA422"/>
      <c r="AB422"/>
      <c r="AC422"/>
      <c r="AD422"/>
      <c r="AE422"/>
      <c r="AF422"/>
      <c r="AG422"/>
      <c r="AH422"/>
      <c r="AI422"/>
    </row>
    <row r="423" spans="1:35" s="33" customFormat="1" ht="15.75">
      <c r="A423" s="178"/>
      <c r="B423" s="166"/>
      <c r="C423" s="125"/>
      <c r="D423" s="125"/>
      <c r="E423" s="32"/>
      <c r="F423"/>
      <c r="G423"/>
      <c r="H423"/>
      <c r="I423"/>
      <c r="J423"/>
      <c r="K423"/>
      <c r="L423"/>
      <c r="M423"/>
      <c r="N423"/>
      <c r="O423"/>
      <c r="P423"/>
      <c r="Q423"/>
      <c r="R423"/>
      <c r="S423"/>
      <c r="T423"/>
      <c r="U423"/>
      <c r="V423"/>
      <c r="W423"/>
      <c r="X423"/>
      <c r="Y423"/>
      <c r="Z423"/>
      <c r="AA423"/>
      <c r="AB423"/>
      <c r="AC423"/>
      <c r="AD423"/>
      <c r="AE423"/>
      <c r="AF423"/>
      <c r="AG423"/>
      <c r="AH423"/>
      <c r="AI423"/>
    </row>
    <row r="424" spans="1:35" s="33" customFormat="1" ht="15.75">
      <c r="A424" s="178"/>
      <c r="B424" s="166"/>
      <c r="C424" s="125"/>
      <c r="D424" s="125"/>
      <c r="E424" s="32"/>
      <c r="F424"/>
      <c r="G424"/>
      <c r="H424"/>
      <c r="I424"/>
      <c r="J424"/>
      <c r="K424"/>
      <c r="L424"/>
      <c r="M424"/>
      <c r="N424"/>
      <c r="O424"/>
      <c r="P424"/>
      <c r="Q424"/>
      <c r="R424"/>
      <c r="S424"/>
      <c r="T424"/>
      <c r="U424"/>
      <c r="V424"/>
      <c r="W424"/>
      <c r="X424"/>
      <c r="Y424"/>
      <c r="Z424"/>
      <c r="AA424"/>
      <c r="AB424"/>
      <c r="AC424"/>
      <c r="AD424"/>
      <c r="AE424"/>
      <c r="AF424"/>
      <c r="AG424"/>
      <c r="AH424"/>
      <c r="AI424"/>
    </row>
    <row r="425" spans="1:35" s="33" customFormat="1" ht="15.75">
      <c r="A425" s="178"/>
      <c r="B425" s="166"/>
      <c r="C425" s="125"/>
      <c r="D425" s="125"/>
      <c r="E425" s="32"/>
      <c r="F425"/>
      <c r="G425"/>
      <c r="H425"/>
      <c r="I425"/>
      <c r="J425"/>
      <c r="K425"/>
      <c r="L425"/>
      <c r="M425"/>
      <c r="N425"/>
      <c r="O425"/>
      <c r="P425"/>
      <c r="Q425"/>
      <c r="R425"/>
      <c r="S425"/>
      <c r="T425"/>
      <c r="U425"/>
      <c r="V425"/>
      <c r="W425"/>
      <c r="X425"/>
      <c r="Y425"/>
      <c r="Z425"/>
      <c r="AA425"/>
      <c r="AB425"/>
      <c r="AC425"/>
      <c r="AD425"/>
      <c r="AE425"/>
      <c r="AF425"/>
      <c r="AG425"/>
      <c r="AH425"/>
      <c r="AI425"/>
    </row>
    <row r="426" spans="1:35" s="33" customFormat="1" ht="15.75">
      <c r="A426" s="178"/>
      <c r="B426" s="166"/>
      <c r="C426" s="125"/>
      <c r="D426" s="125"/>
      <c r="E426" s="32"/>
      <c r="F426"/>
      <c r="G426"/>
      <c r="H426"/>
      <c r="I426"/>
      <c r="J426"/>
      <c r="K426"/>
      <c r="L426"/>
      <c r="M426"/>
      <c r="N426"/>
      <c r="O426"/>
      <c r="P426"/>
      <c r="Q426"/>
      <c r="R426"/>
      <c r="S426"/>
      <c r="T426"/>
      <c r="U426"/>
      <c r="V426"/>
      <c r="W426"/>
      <c r="X426"/>
      <c r="Y426"/>
      <c r="Z426"/>
      <c r="AA426"/>
      <c r="AB426"/>
      <c r="AC426"/>
      <c r="AD426"/>
      <c r="AE426"/>
      <c r="AF426"/>
      <c r="AG426"/>
      <c r="AH426"/>
      <c r="AI426"/>
    </row>
    <row r="427" spans="1:35" s="33" customFormat="1" ht="15.75">
      <c r="A427" s="178"/>
      <c r="B427" s="166"/>
      <c r="C427" s="125"/>
      <c r="D427" s="125"/>
      <c r="E427" s="32"/>
      <c r="F427"/>
      <c r="G427"/>
      <c r="H427"/>
      <c r="I427"/>
      <c r="J427"/>
      <c r="K427"/>
      <c r="L427"/>
      <c r="M427"/>
      <c r="N427"/>
      <c r="O427"/>
      <c r="P427"/>
      <c r="Q427"/>
      <c r="R427"/>
      <c r="S427"/>
      <c r="T427"/>
      <c r="U427"/>
      <c r="V427"/>
      <c r="W427"/>
      <c r="X427"/>
      <c r="Y427"/>
      <c r="Z427"/>
      <c r="AA427"/>
      <c r="AB427"/>
      <c r="AC427"/>
      <c r="AD427"/>
      <c r="AE427"/>
      <c r="AF427"/>
      <c r="AG427"/>
      <c r="AH427"/>
      <c r="AI427"/>
    </row>
    <row r="428" spans="1:35" s="33" customFormat="1" ht="15.75">
      <c r="A428" s="178"/>
      <c r="B428" s="166"/>
      <c r="C428" s="125"/>
      <c r="D428" s="125"/>
      <c r="E428" s="32"/>
      <c r="F428"/>
      <c r="G428"/>
      <c r="H428"/>
      <c r="I428"/>
      <c r="J428"/>
      <c r="K428"/>
      <c r="L428"/>
      <c r="M428"/>
      <c r="N428"/>
      <c r="O428"/>
      <c r="P428"/>
      <c r="Q428"/>
      <c r="R428"/>
      <c r="S428"/>
      <c r="T428"/>
      <c r="U428"/>
      <c r="V428"/>
      <c r="W428"/>
      <c r="X428"/>
      <c r="Y428"/>
      <c r="Z428"/>
      <c r="AA428"/>
      <c r="AB428"/>
      <c r="AC428"/>
      <c r="AD428"/>
      <c r="AE428"/>
      <c r="AF428"/>
      <c r="AG428"/>
      <c r="AH428"/>
      <c r="AI428"/>
    </row>
    <row r="429" spans="1:35" s="33" customFormat="1" ht="15.75">
      <c r="A429" s="178"/>
      <c r="B429" s="166"/>
      <c r="C429" s="125"/>
      <c r="D429" s="125"/>
      <c r="E429" s="32"/>
      <c r="F429"/>
      <c r="G429"/>
      <c r="H429"/>
      <c r="I429"/>
      <c r="J429"/>
      <c r="K429"/>
      <c r="L429"/>
      <c r="M429"/>
      <c r="N429"/>
      <c r="O429"/>
      <c r="P429"/>
      <c r="Q429"/>
      <c r="R429"/>
      <c r="S429"/>
      <c r="T429"/>
      <c r="U429"/>
      <c r="V429"/>
      <c r="W429"/>
      <c r="X429"/>
      <c r="Y429"/>
      <c r="Z429"/>
      <c r="AA429"/>
      <c r="AB429"/>
      <c r="AC429"/>
      <c r="AD429"/>
      <c r="AE429"/>
      <c r="AF429"/>
      <c r="AG429"/>
      <c r="AH429"/>
      <c r="AI429"/>
    </row>
    <row r="430" spans="1:35" s="33" customFormat="1" ht="15.75">
      <c r="A430" s="178"/>
      <c r="B430" s="166"/>
      <c r="C430" s="125"/>
      <c r="D430" s="125"/>
      <c r="E430" s="32"/>
      <c r="F430"/>
      <c r="G430"/>
      <c r="H430"/>
      <c r="I430"/>
      <c r="J430"/>
      <c r="K430"/>
      <c r="L430"/>
      <c r="M430"/>
      <c r="N430"/>
      <c r="O430"/>
      <c r="P430"/>
      <c r="Q430"/>
      <c r="R430"/>
      <c r="S430"/>
      <c r="T430"/>
      <c r="U430"/>
      <c r="V430"/>
      <c r="W430"/>
      <c r="X430"/>
      <c r="Y430"/>
      <c r="Z430"/>
      <c r="AA430"/>
      <c r="AB430"/>
      <c r="AC430"/>
      <c r="AD430"/>
      <c r="AE430"/>
      <c r="AF430"/>
      <c r="AG430"/>
      <c r="AH430"/>
      <c r="AI430"/>
    </row>
    <row r="431" spans="1:35" s="33" customFormat="1" ht="15.75">
      <c r="A431" s="178"/>
      <c r="B431" s="166"/>
      <c r="C431" s="125"/>
      <c r="D431" s="125"/>
      <c r="E431" s="32"/>
      <c r="F431"/>
      <c r="G431"/>
      <c r="H431"/>
      <c r="I431"/>
      <c r="J431"/>
      <c r="K431"/>
      <c r="L431"/>
      <c r="M431"/>
      <c r="N431"/>
      <c r="O431"/>
      <c r="P431"/>
      <c r="Q431"/>
      <c r="R431"/>
      <c r="S431"/>
      <c r="T431"/>
      <c r="U431"/>
      <c r="V431"/>
      <c r="W431"/>
      <c r="X431"/>
      <c r="Y431"/>
      <c r="Z431"/>
      <c r="AA431"/>
      <c r="AB431"/>
      <c r="AC431"/>
      <c r="AD431"/>
      <c r="AE431"/>
      <c r="AF431"/>
      <c r="AG431"/>
      <c r="AH431"/>
      <c r="AI431"/>
    </row>
    <row r="432" spans="1:35" s="33" customFormat="1" ht="15.75">
      <c r="A432" s="178"/>
      <c r="B432" s="166"/>
      <c r="C432" s="125"/>
      <c r="D432" s="125"/>
      <c r="E432" s="32"/>
      <c r="F432"/>
      <c r="G432"/>
      <c r="H432"/>
      <c r="I432"/>
      <c r="J432"/>
      <c r="K432"/>
      <c r="L432"/>
      <c r="M432"/>
      <c r="N432"/>
      <c r="O432"/>
      <c r="P432"/>
      <c r="Q432"/>
      <c r="R432"/>
      <c r="S432"/>
      <c r="T432"/>
      <c r="U432"/>
      <c r="V432"/>
      <c r="W432"/>
      <c r="X432"/>
      <c r="Y432"/>
      <c r="Z432"/>
      <c r="AA432"/>
      <c r="AB432"/>
      <c r="AC432"/>
      <c r="AD432"/>
      <c r="AE432"/>
      <c r="AF432"/>
      <c r="AG432"/>
      <c r="AH432"/>
      <c r="AI432"/>
    </row>
    <row r="433" spans="1:35" s="33" customFormat="1" ht="15.75">
      <c r="A433" s="178"/>
      <c r="B433" s="166"/>
      <c r="C433" s="125"/>
      <c r="D433" s="125"/>
      <c r="E433" s="32"/>
      <c r="F433"/>
      <c r="G433"/>
      <c r="H433"/>
      <c r="I433"/>
      <c r="J433"/>
      <c r="K433"/>
      <c r="L433"/>
      <c r="M433"/>
      <c r="N433"/>
      <c r="O433"/>
      <c r="P433"/>
      <c r="Q433"/>
      <c r="R433"/>
      <c r="S433"/>
      <c r="T433"/>
      <c r="U433"/>
      <c r="V433"/>
      <c r="W433"/>
      <c r="X433"/>
      <c r="Y433"/>
      <c r="Z433"/>
      <c r="AA433"/>
      <c r="AB433"/>
      <c r="AC433"/>
      <c r="AD433"/>
      <c r="AE433"/>
      <c r="AF433"/>
      <c r="AG433"/>
      <c r="AH433"/>
      <c r="AI433"/>
    </row>
    <row r="434" spans="1:35" s="33" customFormat="1" ht="15.75">
      <c r="A434" s="178"/>
      <c r="B434" s="166"/>
      <c r="C434" s="125"/>
      <c r="D434" s="125"/>
      <c r="E434" s="32"/>
      <c r="F434"/>
      <c r="G434"/>
      <c r="H434"/>
      <c r="I434"/>
      <c r="J434"/>
      <c r="K434"/>
      <c r="L434"/>
      <c r="M434"/>
      <c r="N434"/>
      <c r="O434"/>
      <c r="P434"/>
      <c r="Q434"/>
      <c r="R434"/>
      <c r="S434"/>
      <c r="T434"/>
      <c r="U434"/>
      <c r="V434"/>
      <c r="W434"/>
      <c r="X434"/>
      <c r="Y434"/>
      <c r="Z434"/>
      <c r="AA434"/>
      <c r="AB434"/>
      <c r="AC434"/>
      <c r="AD434"/>
      <c r="AE434"/>
      <c r="AF434"/>
      <c r="AG434"/>
      <c r="AH434"/>
      <c r="AI434"/>
    </row>
    <row r="435" spans="1:35" s="33" customFormat="1" ht="15.75">
      <c r="A435" s="178"/>
      <c r="B435" s="166"/>
      <c r="C435" s="125"/>
      <c r="D435" s="125"/>
      <c r="E435" s="32"/>
      <c r="F435"/>
      <c r="G435"/>
      <c r="H435"/>
      <c r="I435"/>
      <c r="J435"/>
      <c r="K435"/>
      <c r="L435"/>
      <c r="M435"/>
      <c r="N435"/>
      <c r="O435"/>
      <c r="P435"/>
      <c r="Q435"/>
      <c r="R435"/>
      <c r="S435"/>
      <c r="T435"/>
      <c r="U435"/>
      <c r="V435"/>
      <c r="W435"/>
      <c r="X435"/>
      <c r="Y435"/>
      <c r="Z435"/>
      <c r="AA435"/>
      <c r="AB435"/>
      <c r="AC435"/>
      <c r="AD435"/>
      <c r="AE435"/>
      <c r="AF435"/>
      <c r="AG435"/>
      <c r="AH435"/>
      <c r="AI435"/>
    </row>
    <row r="436" spans="1:35" s="33" customFormat="1" ht="15.75">
      <c r="A436" s="178"/>
      <c r="B436" s="166"/>
      <c r="C436" s="125"/>
      <c r="D436" s="125"/>
      <c r="E436" s="32"/>
      <c r="F436"/>
      <c r="G436"/>
      <c r="H436"/>
      <c r="I436"/>
      <c r="J436"/>
      <c r="K436"/>
      <c r="L436"/>
      <c r="M436"/>
      <c r="N436"/>
      <c r="O436"/>
      <c r="P436"/>
      <c r="Q436"/>
      <c r="R436"/>
      <c r="S436"/>
      <c r="T436"/>
      <c r="U436"/>
      <c r="V436"/>
      <c r="W436"/>
      <c r="X436"/>
      <c r="Y436"/>
      <c r="Z436"/>
      <c r="AA436"/>
      <c r="AB436"/>
      <c r="AC436"/>
      <c r="AD436"/>
      <c r="AE436"/>
      <c r="AF436"/>
      <c r="AG436"/>
      <c r="AH436"/>
      <c r="AI436"/>
    </row>
    <row r="437" spans="1:35" s="33" customFormat="1" ht="15.75">
      <c r="A437" s="178"/>
      <c r="B437" s="166"/>
      <c r="C437" s="125"/>
      <c r="D437" s="125"/>
      <c r="E437" s="32"/>
      <c r="F437"/>
      <c r="G437"/>
      <c r="H437"/>
      <c r="I437"/>
      <c r="J437"/>
      <c r="K437"/>
      <c r="L437"/>
      <c r="M437"/>
      <c r="N437"/>
      <c r="O437"/>
      <c r="P437"/>
      <c r="Q437"/>
      <c r="R437"/>
      <c r="S437"/>
      <c r="T437"/>
      <c r="U437"/>
      <c r="V437"/>
      <c r="W437"/>
      <c r="X437"/>
      <c r="Y437"/>
      <c r="Z437"/>
      <c r="AA437"/>
      <c r="AB437"/>
      <c r="AC437"/>
      <c r="AD437"/>
      <c r="AE437"/>
      <c r="AF437"/>
      <c r="AG437"/>
      <c r="AH437"/>
      <c r="AI437"/>
    </row>
    <row r="438" spans="1:35" s="33" customFormat="1" ht="15.75">
      <c r="A438" s="178"/>
      <c r="B438" s="166"/>
      <c r="C438" s="125"/>
      <c r="D438" s="125"/>
      <c r="E438" s="32"/>
      <c r="F438"/>
      <c r="G438"/>
      <c r="H438"/>
      <c r="I438"/>
      <c r="J438"/>
      <c r="K438"/>
      <c r="L438"/>
      <c r="M438"/>
      <c r="N438"/>
      <c r="O438"/>
      <c r="P438"/>
      <c r="Q438"/>
      <c r="R438"/>
      <c r="S438"/>
      <c r="T438"/>
      <c r="U438"/>
      <c r="V438"/>
      <c r="W438"/>
      <c r="X438"/>
      <c r="Y438"/>
      <c r="Z438"/>
      <c r="AA438"/>
      <c r="AB438"/>
      <c r="AC438"/>
      <c r="AD438"/>
      <c r="AE438"/>
      <c r="AF438"/>
      <c r="AG438"/>
      <c r="AH438"/>
      <c r="AI438"/>
    </row>
    <row r="439" spans="1:35" s="33" customFormat="1" ht="15.75">
      <c r="A439" s="178"/>
      <c r="B439" s="166"/>
      <c r="C439" s="125"/>
      <c r="D439" s="125"/>
      <c r="E439" s="32"/>
      <c r="F439"/>
      <c r="G439"/>
      <c r="H439"/>
      <c r="I439"/>
      <c r="J439"/>
      <c r="K439"/>
      <c r="L439"/>
      <c r="M439"/>
      <c r="N439"/>
      <c r="O439"/>
      <c r="P439"/>
      <c r="Q439"/>
      <c r="R439"/>
      <c r="S439"/>
      <c r="T439"/>
      <c r="U439"/>
      <c r="V439"/>
      <c r="W439"/>
      <c r="X439"/>
      <c r="Y439"/>
      <c r="Z439"/>
      <c r="AA439"/>
      <c r="AB439"/>
      <c r="AC439"/>
      <c r="AD439"/>
      <c r="AE439"/>
      <c r="AF439"/>
      <c r="AG439"/>
      <c r="AH439"/>
      <c r="AI439"/>
    </row>
    <row r="440" spans="1:35" s="33" customFormat="1" ht="15.75">
      <c r="A440" s="178"/>
      <c r="B440" s="166"/>
      <c r="C440" s="125"/>
      <c r="D440" s="125"/>
      <c r="E440" s="32"/>
      <c r="F440"/>
      <c r="G440"/>
      <c r="H440"/>
      <c r="I440"/>
      <c r="J440"/>
      <c r="K440"/>
      <c r="L440"/>
      <c r="M440"/>
      <c r="N440"/>
      <c r="O440"/>
      <c r="P440"/>
      <c r="Q440"/>
      <c r="R440"/>
      <c r="S440"/>
      <c r="T440"/>
      <c r="U440"/>
      <c r="V440"/>
      <c r="W440"/>
      <c r="X440"/>
      <c r="Y440"/>
      <c r="Z440"/>
      <c r="AA440"/>
      <c r="AB440"/>
      <c r="AC440"/>
      <c r="AD440"/>
      <c r="AE440"/>
      <c r="AF440"/>
      <c r="AG440"/>
      <c r="AH440"/>
      <c r="AI440"/>
    </row>
    <row r="441" spans="1:35" s="33" customFormat="1" ht="15.75">
      <c r="A441" s="178"/>
      <c r="B441" s="166"/>
      <c r="C441" s="125"/>
      <c r="D441" s="125"/>
      <c r="E441" s="32"/>
      <c r="F441"/>
      <c r="G441"/>
      <c r="H441"/>
      <c r="I441"/>
      <c r="J441"/>
      <c r="K441"/>
      <c r="L441"/>
      <c r="M441"/>
      <c r="N441"/>
      <c r="O441"/>
      <c r="P441"/>
      <c r="Q441"/>
      <c r="R441"/>
      <c r="S441"/>
      <c r="T441"/>
      <c r="U441"/>
      <c r="V441"/>
      <c r="W441"/>
      <c r="X441"/>
      <c r="Y441"/>
      <c r="Z441"/>
      <c r="AA441"/>
      <c r="AB441"/>
      <c r="AC441"/>
      <c r="AD441"/>
      <c r="AE441"/>
      <c r="AF441"/>
      <c r="AG441"/>
      <c r="AH441"/>
      <c r="AI441"/>
    </row>
    <row r="442" spans="1:35" s="33" customFormat="1" ht="15.75">
      <c r="A442" s="178"/>
      <c r="B442" s="166"/>
      <c r="C442" s="125"/>
      <c r="D442" s="125"/>
      <c r="E442" s="32"/>
      <c r="F442"/>
      <c r="G442"/>
      <c r="H442"/>
      <c r="I442"/>
      <c r="J442"/>
      <c r="K442"/>
      <c r="L442"/>
      <c r="M442"/>
      <c r="N442"/>
      <c r="O442"/>
      <c r="P442"/>
      <c r="Q442"/>
      <c r="R442"/>
      <c r="S442"/>
      <c r="T442"/>
      <c r="U442"/>
      <c r="V442"/>
      <c r="W442"/>
      <c r="X442"/>
      <c r="Y442"/>
      <c r="Z442"/>
      <c r="AA442"/>
      <c r="AB442"/>
      <c r="AC442"/>
      <c r="AD442"/>
      <c r="AE442"/>
      <c r="AF442"/>
      <c r="AG442"/>
      <c r="AH442"/>
      <c r="AI442"/>
    </row>
    <row r="443" spans="1:35" s="33" customFormat="1" ht="15.75">
      <c r="A443" s="178"/>
      <c r="B443" s="166"/>
      <c r="C443" s="125"/>
      <c r="D443" s="125"/>
      <c r="E443" s="32"/>
      <c r="F443"/>
      <c r="G443"/>
      <c r="H443"/>
      <c r="I443"/>
      <c r="J443"/>
      <c r="K443"/>
      <c r="L443"/>
      <c r="M443"/>
      <c r="N443"/>
      <c r="O443"/>
      <c r="P443"/>
      <c r="Q443"/>
      <c r="R443"/>
      <c r="S443"/>
      <c r="T443"/>
      <c r="U443"/>
      <c r="V443"/>
      <c r="W443"/>
      <c r="X443"/>
      <c r="Y443"/>
      <c r="Z443"/>
      <c r="AA443"/>
      <c r="AB443"/>
      <c r="AC443"/>
      <c r="AD443"/>
      <c r="AE443"/>
      <c r="AF443"/>
      <c r="AG443"/>
      <c r="AH443"/>
      <c r="AI443"/>
    </row>
    <row r="444" spans="1:35" s="33" customFormat="1" ht="15.75">
      <c r="A444" s="178"/>
      <c r="B444" s="166"/>
      <c r="C444" s="125"/>
      <c r="D444" s="125"/>
      <c r="E444" s="32"/>
      <c r="F444"/>
      <c r="G444"/>
      <c r="H444"/>
      <c r="I444"/>
      <c r="J444"/>
      <c r="K444"/>
      <c r="L444"/>
      <c r="M444"/>
      <c r="N444"/>
      <c r="O444"/>
      <c r="P444"/>
      <c r="Q444"/>
      <c r="R444"/>
      <c r="S444"/>
      <c r="T444"/>
      <c r="U444"/>
      <c r="V444"/>
      <c r="W444"/>
      <c r="X444"/>
      <c r="Y444"/>
      <c r="Z444"/>
      <c r="AA444"/>
      <c r="AB444"/>
      <c r="AC444"/>
      <c r="AD444"/>
      <c r="AE444"/>
      <c r="AF444"/>
      <c r="AG444"/>
      <c r="AH444"/>
      <c r="AI444"/>
    </row>
    <row r="445" spans="1:35" s="33" customFormat="1" ht="15.75">
      <c r="A445" s="178"/>
      <c r="B445" s="166"/>
      <c r="C445" s="125"/>
      <c r="D445" s="125"/>
      <c r="E445" s="32"/>
      <c r="F445"/>
      <c r="G445"/>
      <c r="H445"/>
      <c r="I445"/>
      <c r="J445"/>
      <c r="K445"/>
      <c r="L445"/>
      <c r="M445"/>
      <c r="N445"/>
      <c r="O445"/>
      <c r="P445"/>
      <c r="Q445"/>
      <c r="R445"/>
      <c r="S445"/>
      <c r="T445"/>
      <c r="U445"/>
      <c r="V445"/>
      <c r="W445"/>
      <c r="X445"/>
      <c r="Y445"/>
      <c r="Z445"/>
      <c r="AA445"/>
      <c r="AB445"/>
      <c r="AC445"/>
      <c r="AD445"/>
      <c r="AE445"/>
      <c r="AF445"/>
      <c r="AG445"/>
      <c r="AH445"/>
      <c r="AI445"/>
    </row>
    <row r="446" spans="1:35" s="33" customFormat="1" ht="15.75">
      <c r="A446" s="178"/>
      <c r="B446" s="166"/>
      <c r="C446" s="125"/>
      <c r="D446" s="125"/>
      <c r="E446" s="32"/>
      <c r="F446"/>
      <c r="G446"/>
      <c r="H446"/>
      <c r="I446"/>
      <c r="J446"/>
      <c r="K446"/>
      <c r="L446"/>
      <c r="M446"/>
      <c r="N446"/>
      <c r="O446"/>
      <c r="P446"/>
      <c r="Q446"/>
      <c r="R446"/>
      <c r="S446"/>
      <c r="T446"/>
      <c r="U446"/>
      <c r="V446"/>
      <c r="W446"/>
      <c r="X446"/>
      <c r="Y446"/>
      <c r="Z446"/>
      <c r="AA446"/>
      <c r="AB446"/>
      <c r="AC446"/>
      <c r="AD446"/>
      <c r="AE446"/>
      <c r="AF446"/>
      <c r="AG446"/>
      <c r="AH446"/>
      <c r="AI446"/>
    </row>
    <row r="447" spans="1:35" s="33" customFormat="1" ht="15.75">
      <c r="A447" s="178"/>
      <c r="B447" s="166"/>
      <c r="C447" s="125"/>
      <c r="D447" s="125"/>
      <c r="E447" s="32"/>
      <c r="F447"/>
      <c r="G447"/>
      <c r="H447"/>
      <c r="I447"/>
      <c r="J447"/>
      <c r="K447"/>
      <c r="L447"/>
      <c r="M447"/>
      <c r="N447"/>
      <c r="O447"/>
      <c r="P447"/>
      <c r="Q447"/>
      <c r="R447"/>
      <c r="S447"/>
      <c r="T447"/>
      <c r="U447"/>
      <c r="V447"/>
      <c r="W447"/>
      <c r="X447"/>
      <c r="Y447"/>
      <c r="Z447"/>
      <c r="AA447"/>
      <c r="AB447"/>
      <c r="AC447"/>
      <c r="AD447"/>
      <c r="AE447"/>
      <c r="AF447"/>
      <c r="AG447"/>
      <c r="AH447"/>
      <c r="AI447"/>
    </row>
    <row r="448" spans="1:35" s="33" customFormat="1" ht="15.75">
      <c r="A448" s="178"/>
      <c r="B448" s="166"/>
      <c r="C448" s="125"/>
      <c r="D448" s="125"/>
      <c r="E448" s="32"/>
      <c r="F448"/>
      <c r="G448"/>
      <c r="H448"/>
      <c r="I448"/>
      <c r="J448"/>
      <c r="K448"/>
      <c r="L448"/>
      <c r="M448"/>
      <c r="N448"/>
      <c r="O448"/>
      <c r="P448"/>
      <c r="Q448"/>
      <c r="R448"/>
      <c r="S448"/>
      <c r="T448"/>
      <c r="U448"/>
      <c r="V448"/>
      <c r="W448"/>
      <c r="X448"/>
      <c r="Y448"/>
      <c r="Z448"/>
      <c r="AA448"/>
      <c r="AB448"/>
      <c r="AC448"/>
      <c r="AD448"/>
      <c r="AE448"/>
      <c r="AF448"/>
      <c r="AG448"/>
      <c r="AH448"/>
      <c r="AI448"/>
    </row>
    <row r="449" spans="1:35" s="33" customFormat="1" ht="15.75">
      <c r="A449" s="178"/>
      <c r="B449" s="166"/>
      <c r="C449" s="125"/>
      <c r="D449" s="125"/>
      <c r="E449" s="32"/>
      <c r="F449"/>
      <c r="G449"/>
      <c r="H449"/>
      <c r="I449"/>
      <c r="J449"/>
      <c r="K449"/>
      <c r="L449"/>
      <c r="M449"/>
      <c r="N449"/>
      <c r="O449"/>
      <c r="P449"/>
      <c r="Q449"/>
      <c r="R449"/>
      <c r="S449"/>
      <c r="T449"/>
      <c r="U449"/>
      <c r="V449"/>
      <c r="W449"/>
      <c r="X449"/>
      <c r="Y449"/>
      <c r="Z449"/>
      <c r="AA449"/>
      <c r="AB449"/>
      <c r="AC449"/>
      <c r="AD449"/>
      <c r="AE449"/>
      <c r="AF449"/>
      <c r="AG449"/>
      <c r="AH449"/>
      <c r="AI449"/>
    </row>
    <row r="450" spans="1:35" s="33" customFormat="1" ht="15.75">
      <c r="A450" s="178"/>
      <c r="B450" s="166"/>
      <c r="C450" s="125"/>
      <c r="D450" s="125"/>
      <c r="E450" s="32"/>
      <c r="F450"/>
      <c r="G450"/>
      <c r="H450"/>
      <c r="I450"/>
      <c r="J450"/>
      <c r="K450"/>
      <c r="L450"/>
      <c r="M450"/>
      <c r="N450"/>
      <c r="O450"/>
      <c r="P450"/>
      <c r="Q450"/>
      <c r="R450"/>
      <c r="S450"/>
      <c r="T450"/>
      <c r="U450"/>
      <c r="V450"/>
      <c r="W450"/>
      <c r="X450"/>
      <c r="Y450"/>
      <c r="Z450"/>
      <c r="AA450"/>
      <c r="AB450"/>
      <c r="AC450"/>
      <c r="AD450"/>
      <c r="AE450"/>
      <c r="AF450"/>
      <c r="AG450"/>
      <c r="AH450"/>
      <c r="AI450"/>
    </row>
    <row r="451" spans="1:35" s="33" customFormat="1" ht="15.75">
      <c r="A451" s="178"/>
      <c r="B451" s="166"/>
      <c r="C451" s="125"/>
      <c r="D451" s="125"/>
      <c r="E451" s="32"/>
      <c r="F451"/>
      <c r="G451"/>
      <c r="H451"/>
      <c r="I451"/>
      <c r="J451"/>
      <c r="K451"/>
      <c r="L451"/>
      <c r="M451"/>
      <c r="N451"/>
      <c r="O451"/>
      <c r="P451"/>
      <c r="Q451"/>
      <c r="R451"/>
      <c r="S451"/>
      <c r="T451"/>
      <c r="U451"/>
      <c r="V451"/>
      <c r="W451"/>
      <c r="X451"/>
      <c r="Y451"/>
      <c r="Z451"/>
      <c r="AA451"/>
      <c r="AB451"/>
      <c r="AC451"/>
      <c r="AD451"/>
      <c r="AE451"/>
      <c r="AF451"/>
      <c r="AG451"/>
      <c r="AH451"/>
      <c r="AI451"/>
    </row>
    <row r="452" spans="1:35" s="33" customFormat="1" ht="15.75">
      <c r="A452" s="178"/>
      <c r="B452" s="166"/>
      <c r="C452" s="125"/>
      <c r="D452" s="125"/>
      <c r="E452" s="32"/>
      <c r="F452"/>
      <c r="G452"/>
      <c r="H452"/>
      <c r="I452"/>
      <c r="J452"/>
      <c r="K452"/>
      <c r="L452"/>
      <c r="M452"/>
      <c r="N452"/>
      <c r="O452"/>
      <c r="P452"/>
      <c r="Q452"/>
      <c r="R452"/>
      <c r="S452"/>
      <c r="T452"/>
      <c r="U452"/>
      <c r="V452"/>
      <c r="W452"/>
      <c r="X452"/>
      <c r="Y452"/>
      <c r="Z452"/>
      <c r="AA452"/>
      <c r="AB452"/>
      <c r="AC452"/>
      <c r="AD452"/>
      <c r="AE452"/>
      <c r="AF452"/>
      <c r="AG452"/>
      <c r="AH452"/>
      <c r="AI452"/>
    </row>
    <row r="453" spans="1:35" s="33" customFormat="1" ht="15.75">
      <c r="A453" s="178"/>
      <c r="B453" s="166"/>
      <c r="C453" s="125"/>
      <c r="D453" s="125"/>
      <c r="E453" s="32"/>
      <c r="F453"/>
      <c r="G453"/>
      <c r="H453"/>
      <c r="I453"/>
      <c r="J453"/>
      <c r="K453"/>
      <c r="L453"/>
      <c r="M453"/>
      <c r="N453"/>
      <c r="O453"/>
      <c r="P453"/>
      <c r="Q453"/>
      <c r="R453"/>
      <c r="S453"/>
      <c r="T453"/>
      <c r="U453"/>
      <c r="V453"/>
      <c r="W453"/>
      <c r="X453"/>
      <c r="Y453"/>
      <c r="Z453"/>
      <c r="AA453"/>
      <c r="AB453"/>
      <c r="AC453"/>
      <c r="AD453"/>
      <c r="AE453"/>
      <c r="AF453"/>
      <c r="AG453"/>
      <c r="AH453"/>
      <c r="AI453"/>
    </row>
    <row r="454" spans="1:35" s="33" customFormat="1" ht="15.75">
      <c r="A454" s="178"/>
      <c r="B454" s="166"/>
      <c r="C454" s="125"/>
      <c r="D454" s="125"/>
      <c r="E454" s="32"/>
      <c r="F454"/>
      <c r="G454"/>
      <c r="H454"/>
      <c r="I454"/>
      <c r="J454"/>
      <c r="K454"/>
      <c r="L454"/>
      <c r="M454"/>
      <c r="N454"/>
      <c r="O454"/>
      <c r="P454"/>
      <c r="Q454"/>
      <c r="R454"/>
      <c r="S454"/>
      <c r="T454"/>
      <c r="U454"/>
      <c r="V454"/>
      <c r="W454"/>
      <c r="X454"/>
      <c r="Y454"/>
      <c r="Z454"/>
      <c r="AA454"/>
      <c r="AB454"/>
      <c r="AC454"/>
      <c r="AD454"/>
      <c r="AE454"/>
      <c r="AF454"/>
      <c r="AG454"/>
      <c r="AH454"/>
      <c r="AI454"/>
    </row>
    <row r="455" spans="1:35" s="33" customFormat="1" ht="15.75">
      <c r="A455" s="178"/>
      <c r="B455" s="166"/>
      <c r="C455" s="125"/>
      <c r="D455" s="125"/>
      <c r="E455" s="32"/>
      <c r="F455"/>
      <c r="G455"/>
      <c r="H455"/>
      <c r="I455"/>
      <c r="J455"/>
      <c r="K455"/>
      <c r="L455"/>
      <c r="M455"/>
      <c r="N455"/>
      <c r="O455"/>
      <c r="P455"/>
      <c r="Q455"/>
      <c r="R455"/>
      <c r="S455"/>
      <c r="T455"/>
      <c r="U455"/>
      <c r="V455"/>
      <c r="W455"/>
      <c r="X455"/>
      <c r="Y455"/>
      <c r="Z455"/>
      <c r="AA455"/>
      <c r="AB455"/>
      <c r="AC455"/>
      <c r="AD455"/>
      <c r="AE455"/>
      <c r="AF455"/>
      <c r="AG455"/>
      <c r="AH455"/>
      <c r="AI455"/>
    </row>
    <row r="456" spans="1:35" s="33" customFormat="1" ht="15.75">
      <c r="A456" s="178"/>
      <c r="B456" s="166"/>
      <c r="C456" s="125"/>
      <c r="D456" s="125"/>
      <c r="E456" s="32"/>
      <c r="F456"/>
      <c r="G456"/>
      <c r="H456"/>
      <c r="I456"/>
      <c r="J456"/>
      <c r="K456"/>
      <c r="L456"/>
      <c r="M456"/>
      <c r="N456"/>
      <c r="O456"/>
      <c r="P456"/>
      <c r="Q456"/>
      <c r="R456"/>
      <c r="S456"/>
      <c r="T456"/>
      <c r="U456"/>
      <c r="V456"/>
      <c r="W456"/>
      <c r="X456"/>
      <c r="Y456"/>
      <c r="Z456"/>
      <c r="AA456"/>
      <c r="AB456"/>
      <c r="AC456"/>
      <c r="AD456"/>
      <c r="AE456"/>
      <c r="AF456"/>
      <c r="AG456"/>
      <c r="AH456"/>
      <c r="AI456"/>
    </row>
    <row r="457" spans="1:35" s="33" customFormat="1" ht="15.75">
      <c r="A457" s="178"/>
      <c r="B457" s="166"/>
      <c r="C457" s="125"/>
      <c r="D457" s="125"/>
      <c r="E457" s="32"/>
      <c r="F457"/>
      <c r="G457"/>
      <c r="H457"/>
      <c r="I457"/>
      <c r="J457"/>
      <c r="K457"/>
      <c r="L457"/>
      <c r="M457"/>
      <c r="N457"/>
      <c r="O457"/>
      <c r="P457"/>
      <c r="Q457"/>
      <c r="R457"/>
      <c r="S457"/>
      <c r="T457"/>
      <c r="U457"/>
      <c r="V457"/>
      <c r="W457"/>
      <c r="X457"/>
      <c r="Y457"/>
      <c r="Z457"/>
      <c r="AA457"/>
      <c r="AB457"/>
      <c r="AC457"/>
      <c r="AD457"/>
      <c r="AE457"/>
      <c r="AF457"/>
      <c r="AG457"/>
      <c r="AH457"/>
      <c r="AI457"/>
    </row>
    <row r="458" spans="1:35" s="33" customFormat="1" ht="15.75">
      <c r="A458" s="178"/>
      <c r="B458" s="166"/>
      <c r="C458" s="125"/>
      <c r="D458" s="125"/>
      <c r="E458" s="32"/>
      <c r="F458"/>
      <c r="G458"/>
      <c r="H458"/>
      <c r="I458"/>
      <c r="J458"/>
      <c r="K458"/>
      <c r="L458"/>
      <c r="M458"/>
      <c r="N458"/>
      <c r="O458"/>
      <c r="P458"/>
      <c r="Q458"/>
      <c r="R458"/>
      <c r="S458"/>
      <c r="T458"/>
      <c r="U458"/>
      <c r="V458"/>
      <c r="W458"/>
      <c r="X458"/>
      <c r="Y458"/>
      <c r="Z458"/>
      <c r="AA458"/>
      <c r="AB458"/>
      <c r="AC458"/>
      <c r="AD458"/>
      <c r="AE458"/>
      <c r="AF458"/>
      <c r="AG458"/>
      <c r="AH458"/>
      <c r="AI458"/>
    </row>
    <row r="459" spans="1:35" s="33" customFormat="1" ht="15.75">
      <c r="A459" s="178"/>
      <c r="B459" s="166"/>
      <c r="C459" s="125"/>
      <c r="D459" s="125"/>
      <c r="E459" s="32"/>
      <c r="F459"/>
      <c r="G459"/>
      <c r="H459"/>
      <c r="I459"/>
      <c r="J459"/>
      <c r="K459"/>
      <c r="L459"/>
      <c r="M459"/>
      <c r="N459"/>
      <c r="O459"/>
      <c r="P459"/>
      <c r="Q459"/>
      <c r="R459"/>
      <c r="S459"/>
      <c r="T459"/>
      <c r="U459"/>
      <c r="V459"/>
      <c r="W459"/>
      <c r="X459"/>
      <c r="Y459"/>
      <c r="Z459"/>
      <c r="AA459"/>
      <c r="AB459"/>
      <c r="AC459"/>
      <c r="AD459"/>
      <c r="AE459"/>
      <c r="AF459"/>
      <c r="AG459"/>
      <c r="AH459"/>
      <c r="AI459"/>
    </row>
    <row r="460" spans="1:35" s="33" customFormat="1" ht="15.75">
      <c r="A460" s="178"/>
      <c r="B460" s="166"/>
      <c r="C460" s="125"/>
      <c r="D460" s="125"/>
      <c r="E460" s="32"/>
      <c r="F460"/>
      <c r="G460"/>
      <c r="H460"/>
      <c r="I460"/>
      <c r="J460"/>
      <c r="K460"/>
      <c r="L460"/>
      <c r="M460"/>
      <c r="N460"/>
      <c r="O460"/>
      <c r="P460"/>
      <c r="Q460"/>
      <c r="R460"/>
      <c r="S460"/>
      <c r="T460"/>
      <c r="U460"/>
      <c r="V460"/>
      <c r="W460"/>
      <c r="X460"/>
      <c r="Y460"/>
      <c r="Z460"/>
      <c r="AA460"/>
      <c r="AB460"/>
      <c r="AC460"/>
      <c r="AD460"/>
      <c r="AE460"/>
      <c r="AF460"/>
      <c r="AG460"/>
      <c r="AH460"/>
      <c r="AI460"/>
    </row>
    <row r="461" spans="1:35" s="33" customFormat="1" ht="15.75">
      <c r="A461" s="178"/>
      <c r="B461" s="166"/>
      <c r="C461" s="125"/>
      <c r="D461" s="125"/>
      <c r="E461" s="32"/>
      <c r="F461"/>
      <c r="G461"/>
      <c r="H461"/>
      <c r="I461"/>
      <c r="J461"/>
      <c r="K461"/>
      <c r="L461"/>
      <c r="M461"/>
      <c r="N461"/>
      <c r="O461"/>
      <c r="P461"/>
      <c r="Q461"/>
      <c r="R461"/>
      <c r="S461"/>
      <c r="T461"/>
      <c r="U461"/>
      <c r="V461"/>
      <c r="W461"/>
      <c r="X461"/>
      <c r="Y461"/>
      <c r="Z461"/>
      <c r="AA461"/>
      <c r="AB461"/>
      <c r="AC461"/>
      <c r="AD461"/>
      <c r="AE461"/>
      <c r="AF461"/>
      <c r="AG461"/>
      <c r="AH461"/>
      <c r="AI461"/>
    </row>
    <row r="462" spans="1:35" s="33" customFormat="1" ht="15.75">
      <c r="A462" s="178"/>
      <c r="B462" s="166"/>
      <c r="C462" s="125"/>
      <c r="D462" s="125"/>
      <c r="E462" s="32"/>
      <c r="F462"/>
      <c r="G462"/>
      <c r="H462"/>
      <c r="I462"/>
      <c r="J462"/>
      <c r="K462"/>
      <c r="L462"/>
      <c r="M462"/>
      <c r="N462"/>
      <c r="O462"/>
      <c r="P462"/>
      <c r="Q462"/>
      <c r="R462"/>
      <c r="S462"/>
      <c r="T462"/>
      <c r="U462"/>
      <c r="V462"/>
      <c r="W462"/>
      <c r="X462"/>
      <c r="Y462"/>
      <c r="Z462"/>
      <c r="AA462"/>
      <c r="AB462"/>
      <c r="AC462"/>
      <c r="AD462"/>
      <c r="AE462"/>
      <c r="AF462"/>
      <c r="AG462"/>
      <c r="AH462"/>
      <c r="AI462"/>
    </row>
    <row r="463" spans="1:35" s="33" customFormat="1" ht="15.75">
      <c r="A463" s="178"/>
      <c r="B463" s="166"/>
      <c r="C463" s="125"/>
      <c r="D463" s="125"/>
      <c r="E463" s="32"/>
      <c r="F463"/>
      <c r="G463"/>
      <c r="H463"/>
      <c r="I463"/>
      <c r="J463"/>
      <c r="K463"/>
      <c r="L463"/>
      <c r="M463"/>
      <c r="N463"/>
      <c r="O463"/>
      <c r="P463"/>
      <c r="Q463"/>
      <c r="R463"/>
      <c r="S463"/>
      <c r="T463"/>
      <c r="U463"/>
      <c r="V463"/>
      <c r="W463"/>
      <c r="X463"/>
      <c r="Y463"/>
      <c r="Z463"/>
      <c r="AA463"/>
      <c r="AB463"/>
      <c r="AC463"/>
      <c r="AD463"/>
      <c r="AE463"/>
      <c r="AF463"/>
      <c r="AG463"/>
      <c r="AH463"/>
      <c r="AI463"/>
    </row>
    <row r="464" spans="1:35" s="33" customFormat="1" ht="15.75">
      <c r="A464" s="178"/>
      <c r="B464" s="166"/>
      <c r="C464" s="125"/>
      <c r="D464" s="125"/>
      <c r="E464" s="32"/>
      <c r="F464"/>
      <c r="G464"/>
      <c r="H464"/>
      <c r="I464"/>
      <c r="J464"/>
      <c r="K464"/>
      <c r="L464"/>
      <c r="M464"/>
      <c r="N464"/>
      <c r="O464"/>
      <c r="P464"/>
      <c r="Q464"/>
      <c r="R464"/>
      <c r="S464"/>
      <c r="T464"/>
      <c r="U464"/>
      <c r="V464"/>
      <c r="W464"/>
      <c r="X464"/>
      <c r="Y464"/>
      <c r="Z464"/>
      <c r="AA464"/>
      <c r="AB464"/>
      <c r="AC464"/>
      <c r="AD464"/>
      <c r="AE464"/>
      <c r="AF464"/>
      <c r="AG464"/>
      <c r="AH464"/>
      <c r="AI464"/>
    </row>
    <row r="465" spans="1:35" s="33" customFormat="1" ht="15.75">
      <c r="A465" s="178"/>
      <c r="B465" s="166"/>
      <c r="C465" s="125"/>
      <c r="D465" s="125"/>
      <c r="E465" s="32"/>
      <c r="F465"/>
      <c r="G465"/>
      <c r="H465"/>
      <c r="I465"/>
      <c r="J465"/>
      <c r="K465"/>
      <c r="L465"/>
      <c r="M465"/>
      <c r="N465"/>
      <c r="O465"/>
      <c r="P465"/>
      <c r="Q465"/>
      <c r="R465"/>
      <c r="S465"/>
      <c r="T465"/>
      <c r="U465"/>
      <c r="V465"/>
      <c r="W465"/>
      <c r="X465"/>
      <c r="Y465"/>
      <c r="Z465"/>
      <c r="AA465"/>
      <c r="AB465"/>
      <c r="AC465"/>
      <c r="AD465"/>
      <c r="AE465"/>
      <c r="AF465"/>
      <c r="AG465"/>
      <c r="AH465"/>
      <c r="AI465"/>
    </row>
    <row r="466" spans="1:35" s="33" customFormat="1" ht="15.75">
      <c r="A466" s="178"/>
      <c r="B466" s="166"/>
      <c r="C466" s="125"/>
      <c r="D466" s="125"/>
      <c r="E466" s="32"/>
      <c r="F466"/>
      <c r="G466"/>
      <c r="H466"/>
      <c r="I466"/>
      <c r="J466"/>
      <c r="K466"/>
      <c r="L466"/>
      <c r="M466"/>
      <c r="N466"/>
      <c r="O466"/>
      <c r="P466"/>
      <c r="Q466"/>
      <c r="R466"/>
      <c r="S466"/>
      <c r="T466"/>
      <c r="U466"/>
      <c r="V466"/>
      <c r="W466"/>
      <c r="X466"/>
      <c r="Y466"/>
      <c r="Z466"/>
      <c r="AA466"/>
      <c r="AB466"/>
      <c r="AC466"/>
      <c r="AD466"/>
      <c r="AE466"/>
      <c r="AF466"/>
      <c r="AG466"/>
      <c r="AH466"/>
      <c r="AI466"/>
    </row>
    <row r="467" spans="1:35" s="33" customFormat="1" ht="15.75">
      <c r="A467" s="178"/>
      <c r="B467" s="166"/>
      <c r="C467" s="125"/>
      <c r="D467" s="125"/>
      <c r="E467" s="32"/>
      <c r="F467"/>
      <c r="G467"/>
      <c r="H467"/>
      <c r="I467"/>
      <c r="J467"/>
      <c r="K467"/>
      <c r="L467"/>
      <c r="M467"/>
      <c r="N467"/>
      <c r="O467"/>
      <c r="P467"/>
      <c r="Q467"/>
      <c r="R467"/>
      <c r="S467"/>
      <c r="T467"/>
      <c r="U467"/>
      <c r="V467"/>
      <c r="W467"/>
      <c r="X467"/>
      <c r="Y467"/>
      <c r="Z467"/>
      <c r="AA467"/>
      <c r="AB467"/>
      <c r="AC467"/>
      <c r="AD467"/>
      <c r="AE467"/>
      <c r="AF467"/>
      <c r="AG467"/>
      <c r="AH467"/>
      <c r="AI467"/>
    </row>
    <row r="468" spans="1:35" s="33" customFormat="1" ht="15.75">
      <c r="A468" s="178"/>
      <c r="B468" s="166"/>
      <c r="C468" s="125"/>
      <c r="D468" s="125"/>
      <c r="E468" s="32"/>
      <c r="F468"/>
      <c r="G468"/>
      <c r="H468"/>
      <c r="I468"/>
      <c r="J468"/>
      <c r="K468"/>
      <c r="L468"/>
      <c r="M468"/>
      <c r="N468"/>
      <c r="O468"/>
      <c r="P468"/>
      <c r="Q468"/>
      <c r="R468"/>
      <c r="S468"/>
      <c r="T468"/>
      <c r="U468"/>
      <c r="V468"/>
      <c r="W468"/>
      <c r="X468"/>
      <c r="Y468"/>
      <c r="Z468"/>
      <c r="AA468"/>
      <c r="AB468"/>
      <c r="AC468"/>
      <c r="AD468"/>
      <c r="AE468"/>
      <c r="AF468"/>
      <c r="AG468"/>
      <c r="AH468"/>
      <c r="AI468"/>
    </row>
    <row r="469" spans="1:35" s="33" customFormat="1" ht="15.75">
      <c r="A469" s="178"/>
      <c r="B469" s="166"/>
      <c r="C469" s="125"/>
      <c r="D469" s="125"/>
      <c r="E469" s="32"/>
      <c r="F469"/>
      <c r="G469"/>
      <c r="H469"/>
      <c r="I469"/>
      <c r="J469"/>
      <c r="K469"/>
      <c r="L469"/>
      <c r="M469"/>
      <c r="N469"/>
      <c r="O469"/>
      <c r="P469"/>
      <c r="Q469"/>
      <c r="R469"/>
      <c r="S469"/>
      <c r="T469"/>
      <c r="U469"/>
      <c r="V469"/>
      <c r="W469"/>
      <c r="X469"/>
      <c r="Y469"/>
      <c r="Z469"/>
      <c r="AA469"/>
      <c r="AB469"/>
      <c r="AC469"/>
      <c r="AD469"/>
      <c r="AE469"/>
      <c r="AF469"/>
      <c r="AG469"/>
      <c r="AH469"/>
      <c r="AI469"/>
    </row>
    <row r="470" spans="1:35" s="33" customFormat="1" ht="15.75">
      <c r="A470" s="178"/>
      <c r="B470" s="166"/>
      <c r="C470" s="125"/>
      <c r="D470" s="125"/>
      <c r="E470" s="32"/>
      <c r="F470"/>
      <c r="G470"/>
      <c r="H470"/>
      <c r="I470"/>
      <c r="J470"/>
      <c r="K470"/>
      <c r="L470"/>
      <c r="M470"/>
      <c r="N470"/>
      <c r="O470"/>
      <c r="P470"/>
      <c r="Q470"/>
      <c r="R470"/>
      <c r="S470"/>
      <c r="T470"/>
      <c r="U470"/>
      <c r="V470"/>
      <c r="W470"/>
      <c r="X470"/>
      <c r="Y470"/>
      <c r="Z470"/>
      <c r="AA470"/>
      <c r="AB470"/>
      <c r="AC470"/>
      <c r="AD470"/>
      <c r="AE470"/>
      <c r="AF470"/>
      <c r="AG470"/>
      <c r="AH470"/>
      <c r="AI470"/>
    </row>
    <row r="471" spans="1:35" s="33" customFormat="1" ht="15.75">
      <c r="A471" s="178"/>
      <c r="B471" s="166"/>
      <c r="C471" s="125"/>
      <c r="D471" s="125"/>
      <c r="E471" s="32"/>
      <c r="F471"/>
      <c r="G471"/>
      <c r="H471"/>
      <c r="I471"/>
      <c r="J471"/>
      <c r="K471"/>
      <c r="L471"/>
      <c r="M471"/>
      <c r="N471"/>
      <c r="O471"/>
      <c r="P471"/>
      <c r="Q471"/>
      <c r="R471"/>
      <c r="S471"/>
      <c r="T471"/>
      <c r="U471"/>
      <c r="V471"/>
      <c r="W471"/>
      <c r="X471"/>
      <c r="Y471"/>
      <c r="Z471"/>
      <c r="AA471"/>
      <c r="AB471"/>
      <c r="AC471"/>
      <c r="AD471"/>
      <c r="AE471"/>
      <c r="AF471"/>
      <c r="AG471"/>
      <c r="AH471"/>
      <c r="AI471"/>
    </row>
    <row r="472" spans="1:35" s="33" customFormat="1" ht="15.75">
      <c r="A472" s="178"/>
      <c r="B472" s="166"/>
      <c r="C472" s="125"/>
      <c r="D472" s="125"/>
      <c r="E472" s="32"/>
      <c r="F472"/>
      <c r="G472"/>
      <c r="H472"/>
      <c r="I472"/>
      <c r="J472"/>
      <c r="K472"/>
      <c r="L472"/>
      <c r="M472"/>
      <c r="N472"/>
      <c r="O472"/>
      <c r="P472"/>
      <c r="Q472"/>
      <c r="R472"/>
      <c r="S472"/>
      <c r="T472"/>
      <c r="U472"/>
      <c r="V472"/>
      <c r="W472"/>
      <c r="X472"/>
      <c r="Y472"/>
      <c r="Z472"/>
      <c r="AA472"/>
      <c r="AB472"/>
      <c r="AC472"/>
      <c r="AD472"/>
      <c r="AE472"/>
      <c r="AF472"/>
      <c r="AG472"/>
      <c r="AH472"/>
      <c r="AI472"/>
    </row>
    <row r="473" spans="1:35" s="33" customFormat="1" ht="15.75">
      <c r="A473" s="178"/>
      <c r="B473" s="166"/>
      <c r="C473" s="125"/>
      <c r="D473" s="125"/>
      <c r="E473" s="32"/>
      <c r="F473"/>
      <c r="G473"/>
      <c r="H473"/>
      <c r="I473"/>
      <c r="J473"/>
      <c r="K473"/>
      <c r="L473"/>
      <c r="M473"/>
      <c r="N473"/>
      <c r="O473"/>
      <c r="P473"/>
      <c r="Q473"/>
      <c r="R473"/>
      <c r="S473"/>
      <c r="T473"/>
      <c r="U473"/>
      <c r="V473"/>
      <c r="W473"/>
      <c r="X473"/>
      <c r="Y473"/>
      <c r="Z473"/>
      <c r="AA473"/>
      <c r="AB473"/>
      <c r="AC473"/>
      <c r="AD473"/>
      <c r="AE473"/>
      <c r="AF473"/>
      <c r="AG473"/>
      <c r="AH473"/>
      <c r="AI473"/>
    </row>
    <row r="474" spans="1:35" s="33" customFormat="1" ht="15.75">
      <c r="A474" s="178"/>
      <c r="B474" s="166"/>
      <c r="C474" s="125"/>
      <c r="D474" s="125"/>
      <c r="E474" s="32"/>
      <c r="F474"/>
      <c r="G474"/>
      <c r="H474"/>
      <c r="I474"/>
      <c r="J474"/>
      <c r="K474"/>
      <c r="L474"/>
      <c r="M474"/>
      <c r="N474"/>
      <c r="O474"/>
      <c r="P474"/>
      <c r="Q474"/>
      <c r="R474"/>
      <c r="S474"/>
      <c r="T474"/>
      <c r="U474"/>
      <c r="V474"/>
      <c r="W474"/>
      <c r="X474"/>
      <c r="Y474"/>
      <c r="Z474"/>
      <c r="AA474"/>
      <c r="AB474"/>
      <c r="AC474"/>
      <c r="AD474"/>
      <c r="AE474"/>
      <c r="AF474"/>
      <c r="AG474"/>
      <c r="AH474"/>
      <c r="AI474"/>
    </row>
    <row r="475" spans="1:35" s="33" customFormat="1" ht="15.75">
      <c r="A475" s="178"/>
      <c r="B475" s="166"/>
      <c r="C475" s="125"/>
      <c r="D475" s="125"/>
      <c r="E475" s="32"/>
      <c r="F475"/>
      <c r="G475"/>
      <c r="H475"/>
      <c r="I475"/>
      <c r="J475"/>
      <c r="K475"/>
      <c r="L475"/>
      <c r="M475"/>
      <c r="N475"/>
      <c r="O475"/>
      <c r="P475"/>
      <c r="Q475"/>
      <c r="R475"/>
      <c r="S475"/>
      <c r="T475"/>
      <c r="U475"/>
      <c r="V475"/>
      <c r="W475"/>
      <c r="X475"/>
      <c r="Y475"/>
      <c r="Z475"/>
      <c r="AA475"/>
      <c r="AB475"/>
      <c r="AC475"/>
      <c r="AD475"/>
      <c r="AE475"/>
      <c r="AF475"/>
      <c r="AG475"/>
      <c r="AH475"/>
      <c r="AI475"/>
    </row>
    <row r="476" spans="1:35" s="33" customFormat="1" ht="15.75">
      <c r="A476" s="178"/>
      <c r="B476" s="166"/>
      <c r="C476" s="125"/>
      <c r="D476" s="125"/>
      <c r="E476" s="32"/>
      <c r="F476"/>
      <c r="G476"/>
      <c r="H476"/>
      <c r="I476"/>
      <c r="J476"/>
      <c r="K476"/>
      <c r="L476"/>
      <c r="M476"/>
      <c r="N476"/>
      <c r="O476"/>
      <c r="P476"/>
      <c r="Q476"/>
      <c r="R476"/>
      <c r="S476"/>
      <c r="T476"/>
      <c r="U476"/>
      <c r="V476"/>
      <c r="W476"/>
      <c r="X476"/>
      <c r="Y476"/>
      <c r="Z476"/>
      <c r="AA476"/>
      <c r="AB476"/>
      <c r="AC476"/>
      <c r="AD476"/>
      <c r="AE476"/>
      <c r="AF476"/>
      <c r="AG476"/>
      <c r="AH476"/>
      <c r="AI476"/>
    </row>
    <row r="477" spans="1:35" s="33" customFormat="1" ht="15.75">
      <c r="A477" s="178"/>
      <c r="B477" s="166"/>
      <c r="C477" s="125"/>
      <c r="D477" s="125"/>
      <c r="E477" s="32"/>
      <c r="F477"/>
      <c r="G477"/>
      <c r="H477"/>
      <c r="I477"/>
      <c r="J477"/>
      <c r="K477"/>
      <c r="L477"/>
      <c r="M477"/>
      <c r="N477"/>
      <c r="O477"/>
      <c r="P477"/>
      <c r="Q477"/>
      <c r="R477"/>
      <c r="S477"/>
      <c r="T477"/>
      <c r="U477"/>
      <c r="V477"/>
      <c r="W477"/>
      <c r="X477"/>
      <c r="Y477"/>
      <c r="Z477"/>
      <c r="AA477"/>
      <c r="AB477"/>
      <c r="AC477"/>
      <c r="AD477"/>
      <c r="AE477"/>
      <c r="AF477"/>
      <c r="AG477"/>
      <c r="AH477"/>
      <c r="AI477"/>
    </row>
    <row r="478" spans="1:35" s="33" customFormat="1" ht="15.75">
      <c r="A478" s="178"/>
      <c r="B478" s="166"/>
      <c r="C478" s="125"/>
      <c r="D478" s="125"/>
      <c r="E478" s="32"/>
      <c r="F478"/>
      <c r="G478"/>
      <c r="H478"/>
      <c r="I478"/>
      <c r="J478"/>
      <c r="K478"/>
      <c r="L478"/>
      <c r="M478"/>
      <c r="N478"/>
      <c r="O478"/>
      <c r="P478"/>
      <c r="Q478"/>
      <c r="R478"/>
      <c r="S478"/>
      <c r="T478"/>
      <c r="U478"/>
      <c r="V478"/>
      <c r="W478"/>
      <c r="X478"/>
      <c r="Y478"/>
      <c r="Z478"/>
      <c r="AA478"/>
      <c r="AB478"/>
      <c r="AC478"/>
      <c r="AD478"/>
      <c r="AE478"/>
      <c r="AF478"/>
      <c r="AG478"/>
      <c r="AH478"/>
      <c r="AI478"/>
    </row>
    <row r="479" spans="1:35" s="33" customFormat="1" ht="15.75">
      <c r="A479" s="178"/>
      <c r="B479" s="166"/>
      <c r="C479" s="125"/>
      <c r="D479" s="125"/>
      <c r="E479" s="32"/>
      <c r="F479"/>
      <c r="G479"/>
      <c r="H479"/>
      <c r="I479"/>
      <c r="J479"/>
      <c r="K479"/>
      <c r="L479"/>
      <c r="M479"/>
      <c r="N479"/>
      <c r="O479"/>
      <c r="P479"/>
      <c r="Q479"/>
      <c r="R479"/>
      <c r="S479"/>
      <c r="T479"/>
      <c r="U479"/>
      <c r="V479"/>
      <c r="W479"/>
      <c r="X479"/>
      <c r="Y479"/>
      <c r="Z479"/>
      <c r="AA479"/>
      <c r="AB479"/>
      <c r="AC479"/>
      <c r="AD479"/>
      <c r="AE479"/>
      <c r="AF479"/>
      <c r="AG479"/>
      <c r="AH479"/>
      <c r="AI479"/>
    </row>
    <row r="480" spans="1:35" s="33" customFormat="1" ht="15.75">
      <c r="A480" s="178"/>
      <c r="B480" s="166"/>
      <c r="C480" s="125"/>
      <c r="D480" s="125"/>
      <c r="E480" s="32"/>
      <c r="F480"/>
      <c r="G480"/>
      <c r="H480"/>
      <c r="I480"/>
      <c r="J480"/>
      <c r="K480"/>
      <c r="L480"/>
      <c r="M480"/>
      <c r="N480"/>
      <c r="O480"/>
      <c r="P480"/>
      <c r="Q480"/>
      <c r="R480"/>
      <c r="S480"/>
      <c r="T480"/>
      <c r="U480"/>
      <c r="V480"/>
      <c r="W480"/>
      <c r="X480"/>
      <c r="Y480"/>
      <c r="Z480"/>
      <c r="AA480"/>
      <c r="AB480"/>
      <c r="AC480"/>
      <c r="AD480"/>
      <c r="AE480"/>
      <c r="AF480"/>
      <c r="AG480"/>
      <c r="AH480"/>
      <c r="AI480"/>
    </row>
    <row r="481" spans="1:35" s="33" customFormat="1" ht="15.75">
      <c r="A481" s="178"/>
      <c r="B481" s="166"/>
      <c r="C481" s="125"/>
      <c r="D481" s="125"/>
      <c r="E481" s="32"/>
      <c r="F481"/>
      <c r="G481"/>
      <c r="H481"/>
      <c r="I481"/>
      <c r="J481"/>
      <c r="K481"/>
      <c r="L481"/>
      <c r="M481"/>
      <c r="N481"/>
      <c r="O481"/>
      <c r="P481"/>
      <c r="Q481"/>
      <c r="R481"/>
      <c r="S481"/>
      <c r="T481"/>
      <c r="U481"/>
      <c r="V481"/>
      <c r="W481"/>
      <c r="X481"/>
      <c r="Y481"/>
      <c r="Z481"/>
      <c r="AA481"/>
      <c r="AB481"/>
      <c r="AC481"/>
      <c r="AD481"/>
      <c r="AE481"/>
      <c r="AF481"/>
      <c r="AG481"/>
      <c r="AH481"/>
      <c r="AI481"/>
    </row>
    <row r="482" spans="1:35" s="33" customFormat="1" ht="15.75">
      <c r="A482" s="178"/>
      <c r="B482" s="166"/>
      <c r="C482" s="125"/>
      <c r="D482" s="125"/>
      <c r="E482" s="32"/>
      <c r="F482"/>
      <c r="G482"/>
      <c r="H482"/>
      <c r="I482"/>
      <c r="J482"/>
      <c r="K482"/>
      <c r="L482"/>
      <c r="M482"/>
      <c r="N482"/>
      <c r="O482"/>
      <c r="P482"/>
      <c r="Q482"/>
      <c r="R482"/>
      <c r="S482"/>
      <c r="T482"/>
      <c r="U482"/>
      <c r="V482"/>
      <c r="W482"/>
      <c r="X482"/>
      <c r="Y482"/>
      <c r="Z482"/>
      <c r="AA482"/>
      <c r="AB482"/>
      <c r="AC482"/>
      <c r="AD482"/>
      <c r="AE482"/>
      <c r="AF482"/>
      <c r="AG482"/>
      <c r="AH482"/>
      <c r="AI482"/>
    </row>
    <row r="483" spans="1:35" s="33" customFormat="1" ht="15.75">
      <c r="A483" s="178"/>
      <c r="B483" s="166"/>
      <c r="C483" s="125"/>
      <c r="D483" s="125"/>
      <c r="E483" s="32"/>
      <c r="F483"/>
      <c r="G483"/>
      <c r="H483"/>
      <c r="I483"/>
      <c r="J483"/>
      <c r="K483"/>
      <c r="L483"/>
      <c r="M483"/>
      <c r="N483"/>
      <c r="O483"/>
      <c r="P483"/>
      <c r="Q483"/>
      <c r="R483"/>
      <c r="S483"/>
      <c r="T483"/>
      <c r="U483"/>
      <c r="V483"/>
      <c r="W483"/>
      <c r="X483"/>
      <c r="Y483"/>
      <c r="Z483"/>
      <c r="AA483"/>
      <c r="AB483"/>
      <c r="AC483"/>
      <c r="AD483"/>
      <c r="AE483"/>
      <c r="AF483"/>
      <c r="AG483"/>
      <c r="AH483"/>
      <c r="AI483"/>
    </row>
    <row r="484" spans="1:35" s="33" customFormat="1" ht="15.75">
      <c r="A484" s="178"/>
      <c r="B484" s="166"/>
      <c r="C484" s="125"/>
      <c r="D484" s="125"/>
      <c r="E484" s="32"/>
      <c r="F484"/>
      <c r="G484"/>
      <c r="H484"/>
      <c r="I484"/>
      <c r="J484"/>
      <c r="K484"/>
      <c r="L484"/>
      <c r="M484"/>
      <c r="N484"/>
      <c r="O484"/>
      <c r="P484"/>
      <c r="Q484"/>
      <c r="R484"/>
      <c r="S484"/>
      <c r="T484"/>
      <c r="U484"/>
      <c r="V484"/>
      <c r="W484"/>
      <c r="X484"/>
      <c r="Y484"/>
      <c r="Z484"/>
      <c r="AA484"/>
      <c r="AB484"/>
      <c r="AC484"/>
      <c r="AD484"/>
      <c r="AE484"/>
      <c r="AF484"/>
      <c r="AG484"/>
      <c r="AH484"/>
      <c r="AI484"/>
    </row>
    <row r="485" spans="1:35" s="33" customFormat="1" ht="15.75">
      <c r="A485" s="178"/>
      <c r="B485" s="166"/>
      <c r="C485" s="125"/>
      <c r="D485" s="125"/>
      <c r="E485" s="32"/>
      <c r="F485"/>
      <c r="G485"/>
      <c r="H485"/>
      <c r="I485"/>
      <c r="J485"/>
      <c r="K485"/>
      <c r="L485"/>
      <c r="M485"/>
      <c r="N485"/>
      <c r="O485"/>
      <c r="P485"/>
      <c r="Q485"/>
      <c r="R485"/>
      <c r="S485"/>
      <c r="T485"/>
      <c r="U485"/>
      <c r="V485"/>
      <c r="W485"/>
      <c r="X485"/>
      <c r="Y485"/>
      <c r="Z485"/>
      <c r="AA485"/>
      <c r="AB485"/>
      <c r="AC485"/>
      <c r="AD485"/>
      <c r="AE485"/>
      <c r="AF485"/>
      <c r="AG485"/>
      <c r="AH485"/>
      <c r="AI485"/>
    </row>
    <row r="486" spans="1:35" s="33" customFormat="1" ht="15.75">
      <c r="A486" s="178"/>
      <c r="B486" s="166"/>
      <c r="C486" s="125"/>
      <c r="D486" s="125"/>
      <c r="E486" s="32"/>
      <c r="F486"/>
      <c r="G486"/>
      <c r="H486"/>
      <c r="I486"/>
      <c r="J486"/>
      <c r="K486"/>
      <c r="L486"/>
      <c r="M486"/>
      <c r="N486"/>
      <c r="O486"/>
      <c r="P486"/>
      <c r="Q486"/>
      <c r="R486"/>
      <c r="S486"/>
      <c r="T486"/>
      <c r="U486"/>
      <c r="V486"/>
      <c r="W486"/>
      <c r="X486"/>
      <c r="Y486"/>
      <c r="Z486"/>
      <c r="AA486"/>
      <c r="AB486"/>
      <c r="AC486"/>
      <c r="AD486"/>
      <c r="AE486"/>
      <c r="AF486"/>
      <c r="AG486"/>
      <c r="AH486"/>
      <c r="AI486"/>
    </row>
    <row r="487" spans="1:35" s="33" customFormat="1" ht="15.75">
      <c r="A487" s="178"/>
      <c r="B487" s="166"/>
      <c r="C487" s="125"/>
      <c r="D487" s="125"/>
      <c r="E487" s="32"/>
      <c r="F487"/>
      <c r="G487"/>
      <c r="H487"/>
      <c r="I487"/>
      <c r="J487"/>
      <c r="K487"/>
      <c r="L487"/>
      <c r="M487"/>
      <c r="N487"/>
      <c r="O487"/>
      <c r="P487"/>
      <c r="Q487"/>
      <c r="R487"/>
      <c r="S487"/>
      <c r="T487"/>
      <c r="U487"/>
      <c r="V487"/>
      <c r="W487"/>
      <c r="X487"/>
      <c r="Y487"/>
      <c r="Z487"/>
      <c r="AA487"/>
      <c r="AB487"/>
      <c r="AC487"/>
      <c r="AD487"/>
      <c r="AE487"/>
      <c r="AF487"/>
      <c r="AG487"/>
      <c r="AH487"/>
      <c r="AI487"/>
    </row>
    <row r="488" spans="1:35" s="33" customFormat="1" ht="15.75">
      <c r="A488" s="178"/>
      <c r="B488" s="166"/>
      <c r="C488" s="125"/>
      <c r="D488" s="125"/>
      <c r="E488" s="32"/>
      <c r="F488"/>
      <c r="G488"/>
      <c r="H488"/>
      <c r="I488"/>
      <c r="J488"/>
      <c r="K488"/>
      <c r="L488"/>
      <c r="M488"/>
      <c r="N488"/>
      <c r="O488"/>
      <c r="P488"/>
      <c r="Q488"/>
      <c r="R488"/>
      <c r="S488"/>
      <c r="T488"/>
      <c r="U488"/>
      <c r="V488"/>
      <c r="W488"/>
      <c r="X488"/>
      <c r="Y488"/>
      <c r="Z488"/>
      <c r="AA488"/>
      <c r="AB488"/>
      <c r="AC488"/>
      <c r="AD488"/>
      <c r="AE488"/>
      <c r="AF488"/>
      <c r="AG488"/>
      <c r="AH488"/>
      <c r="AI488"/>
    </row>
    <row r="489" spans="1:35" s="33" customFormat="1" ht="15.75">
      <c r="A489" s="178"/>
      <c r="B489" s="166"/>
      <c r="C489" s="125"/>
      <c r="D489" s="125"/>
      <c r="E489" s="32"/>
      <c r="F489"/>
      <c r="G489"/>
      <c r="H489"/>
      <c r="I489"/>
      <c r="J489"/>
      <c r="K489"/>
      <c r="L489"/>
      <c r="M489"/>
      <c r="N489"/>
      <c r="O489"/>
      <c r="P489"/>
      <c r="Q489"/>
      <c r="R489"/>
      <c r="S489"/>
      <c r="T489"/>
      <c r="U489"/>
      <c r="V489"/>
      <c r="W489"/>
      <c r="X489"/>
      <c r="Y489"/>
      <c r="Z489"/>
      <c r="AA489"/>
      <c r="AB489"/>
      <c r="AC489"/>
      <c r="AD489"/>
      <c r="AE489"/>
      <c r="AF489"/>
      <c r="AG489"/>
      <c r="AH489"/>
      <c r="AI489"/>
    </row>
    <row r="490" spans="1:35" s="33" customFormat="1" ht="15.75">
      <c r="A490" s="178"/>
      <c r="B490" s="166"/>
      <c r="C490" s="125"/>
      <c r="D490" s="125"/>
      <c r="E490" s="32"/>
      <c r="F490"/>
      <c r="G490"/>
      <c r="H490"/>
      <c r="I490"/>
      <c r="J490"/>
      <c r="K490"/>
      <c r="L490"/>
      <c r="M490"/>
      <c r="N490"/>
      <c r="O490"/>
      <c r="P490"/>
      <c r="Q490"/>
      <c r="R490"/>
      <c r="S490"/>
      <c r="T490"/>
      <c r="U490"/>
      <c r="V490"/>
      <c r="W490"/>
      <c r="X490"/>
      <c r="Y490"/>
      <c r="Z490"/>
      <c r="AA490"/>
      <c r="AB490"/>
      <c r="AC490"/>
      <c r="AD490"/>
      <c r="AE490"/>
      <c r="AF490"/>
      <c r="AG490"/>
      <c r="AH490"/>
      <c r="AI490"/>
    </row>
    <row r="491" spans="1:35" s="33" customFormat="1" ht="15.75">
      <c r="A491" s="178"/>
      <c r="B491" s="166"/>
      <c r="C491" s="125"/>
      <c r="D491" s="125"/>
      <c r="E491" s="32"/>
      <c r="F491"/>
      <c r="G491"/>
      <c r="H491"/>
      <c r="I491"/>
      <c r="J491"/>
      <c r="K491"/>
      <c r="L491"/>
      <c r="M491"/>
      <c r="N491"/>
      <c r="O491"/>
      <c r="P491"/>
      <c r="Q491"/>
      <c r="R491"/>
      <c r="S491"/>
      <c r="T491"/>
      <c r="U491"/>
      <c r="V491"/>
      <c r="W491"/>
      <c r="X491"/>
      <c r="Y491"/>
      <c r="Z491"/>
      <c r="AA491"/>
      <c r="AB491"/>
      <c r="AC491"/>
      <c r="AD491"/>
      <c r="AE491"/>
      <c r="AF491"/>
      <c r="AG491"/>
      <c r="AH491"/>
      <c r="AI491"/>
    </row>
    <row r="492" spans="1:35" s="33" customFormat="1" ht="15.75">
      <c r="A492" s="178"/>
      <c r="B492" s="166"/>
      <c r="C492" s="125"/>
      <c r="D492" s="125"/>
      <c r="E492" s="32"/>
      <c r="F492"/>
      <c r="G492"/>
      <c r="H492"/>
      <c r="I492"/>
      <c r="J492"/>
      <c r="K492"/>
      <c r="L492"/>
      <c r="M492"/>
      <c r="N492"/>
      <c r="O492"/>
      <c r="P492"/>
      <c r="Q492"/>
      <c r="R492"/>
      <c r="S492"/>
      <c r="T492"/>
      <c r="U492"/>
      <c r="V492"/>
      <c r="W492"/>
      <c r="X492"/>
      <c r="Y492"/>
      <c r="Z492"/>
      <c r="AA492"/>
      <c r="AB492"/>
      <c r="AC492"/>
      <c r="AD492"/>
      <c r="AE492"/>
      <c r="AF492"/>
      <c r="AG492"/>
      <c r="AH492"/>
      <c r="AI492"/>
    </row>
    <row r="493" spans="1:35" s="33" customFormat="1" ht="15.75">
      <c r="A493" s="178"/>
      <c r="B493" s="166"/>
      <c r="C493" s="125"/>
      <c r="D493" s="125"/>
      <c r="E493" s="32"/>
      <c r="F493"/>
      <c r="G493"/>
      <c r="H493"/>
      <c r="I493"/>
      <c r="J493"/>
      <c r="K493"/>
      <c r="L493"/>
      <c r="M493"/>
      <c r="N493"/>
      <c r="O493"/>
      <c r="P493"/>
      <c r="Q493"/>
      <c r="R493"/>
      <c r="S493"/>
      <c r="T493"/>
      <c r="U493"/>
      <c r="V493"/>
      <c r="W493"/>
      <c r="X493"/>
      <c r="Y493"/>
      <c r="Z493"/>
      <c r="AA493"/>
      <c r="AB493"/>
      <c r="AC493"/>
      <c r="AD493"/>
      <c r="AE493"/>
      <c r="AF493"/>
      <c r="AG493"/>
      <c r="AH493"/>
      <c r="AI493"/>
    </row>
    <row r="494" spans="1:35" s="33" customFormat="1" ht="15.75">
      <c r="A494" s="178"/>
      <c r="B494" s="166"/>
      <c r="C494" s="125"/>
      <c r="D494" s="125"/>
      <c r="E494" s="32"/>
      <c r="F494"/>
      <c r="G494"/>
      <c r="H494"/>
      <c r="I494"/>
      <c r="J494"/>
      <c r="K494"/>
      <c r="L494"/>
      <c r="M494"/>
      <c r="N494"/>
      <c r="O494"/>
      <c r="P494"/>
      <c r="Q494"/>
      <c r="R494"/>
      <c r="S494"/>
      <c r="T494"/>
      <c r="U494"/>
      <c r="V494"/>
      <c r="W494"/>
      <c r="X494"/>
      <c r="Y494"/>
      <c r="Z494"/>
      <c r="AA494"/>
      <c r="AB494"/>
      <c r="AC494"/>
      <c r="AD494"/>
      <c r="AE494"/>
      <c r="AF494"/>
      <c r="AG494"/>
      <c r="AH494"/>
      <c r="AI494"/>
    </row>
    <row r="495" spans="1:35" s="33" customFormat="1" ht="15.75">
      <c r="A495" s="178"/>
      <c r="B495" s="166"/>
      <c r="C495" s="125"/>
      <c r="D495" s="125"/>
      <c r="E495" s="32"/>
      <c r="F495"/>
      <c r="G495"/>
      <c r="H495"/>
      <c r="I495"/>
      <c r="J495"/>
      <c r="K495"/>
      <c r="L495"/>
      <c r="M495"/>
      <c r="N495"/>
      <c r="O495"/>
      <c r="P495"/>
      <c r="Q495"/>
      <c r="R495"/>
      <c r="S495"/>
      <c r="T495"/>
      <c r="U495"/>
      <c r="V495"/>
      <c r="W495"/>
      <c r="X495"/>
      <c r="Y495"/>
      <c r="Z495"/>
      <c r="AA495"/>
      <c r="AB495"/>
      <c r="AC495"/>
      <c r="AD495"/>
      <c r="AE495"/>
      <c r="AF495"/>
      <c r="AG495"/>
      <c r="AH495"/>
      <c r="AI495"/>
    </row>
    <row r="496" spans="1:35" s="33" customFormat="1" ht="15.75">
      <c r="A496" s="178"/>
      <c r="B496" s="166"/>
      <c r="C496" s="125"/>
      <c r="D496" s="125"/>
      <c r="E496" s="32"/>
      <c r="F496"/>
      <c r="G496"/>
      <c r="H496"/>
      <c r="I496"/>
      <c r="J496"/>
      <c r="K496"/>
      <c r="L496"/>
      <c r="M496"/>
      <c r="N496"/>
      <c r="O496"/>
      <c r="P496"/>
      <c r="Q496"/>
      <c r="R496"/>
      <c r="S496"/>
      <c r="T496"/>
      <c r="U496"/>
      <c r="V496"/>
      <c r="W496"/>
      <c r="X496"/>
      <c r="Y496"/>
      <c r="Z496"/>
      <c r="AA496"/>
      <c r="AB496"/>
      <c r="AC496"/>
      <c r="AD496"/>
      <c r="AE496"/>
      <c r="AF496"/>
      <c r="AG496"/>
      <c r="AH496"/>
      <c r="AI496"/>
    </row>
    <row r="497" spans="1:35" s="33" customFormat="1" ht="15.75">
      <c r="A497" s="178"/>
      <c r="B497" s="166"/>
      <c r="C497" s="125"/>
      <c r="D497" s="125"/>
      <c r="E497" s="32"/>
      <c r="F497"/>
      <c r="G497"/>
      <c r="H497"/>
      <c r="I497"/>
      <c r="J497"/>
      <c r="K497"/>
      <c r="L497"/>
      <c r="M497"/>
      <c r="N497"/>
      <c r="O497"/>
      <c r="P497"/>
      <c r="Q497"/>
      <c r="R497"/>
      <c r="S497"/>
      <c r="T497"/>
      <c r="U497"/>
      <c r="V497"/>
      <c r="W497"/>
      <c r="X497"/>
      <c r="Y497"/>
      <c r="Z497"/>
      <c r="AA497"/>
      <c r="AB497"/>
      <c r="AC497"/>
      <c r="AD497"/>
      <c r="AE497"/>
      <c r="AF497"/>
      <c r="AG497"/>
      <c r="AH497"/>
      <c r="AI497"/>
    </row>
    <row r="498" spans="1:35" s="33" customFormat="1" ht="15.75">
      <c r="A498" s="178"/>
      <c r="B498" s="166"/>
      <c r="C498" s="125"/>
      <c r="D498" s="125"/>
      <c r="E498" s="32"/>
      <c r="F498"/>
      <c r="G498"/>
      <c r="H498"/>
      <c r="I498"/>
      <c r="J498"/>
      <c r="K498"/>
      <c r="L498"/>
      <c r="M498"/>
      <c r="N498"/>
      <c r="O498"/>
      <c r="P498"/>
      <c r="Q498"/>
      <c r="R498"/>
      <c r="S498"/>
      <c r="T498"/>
      <c r="U498"/>
      <c r="V498"/>
      <c r="W498"/>
      <c r="X498"/>
      <c r="Y498"/>
      <c r="Z498"/>
      <c r="AA498"/>
      <c r="AB498"/>
      <c r="AC498"/>
      <c r="AD498"/>
      <c r="AE498"/>
      <c r="AF498"/>
      <c r="AG498"/>
      <c r="AH498"/>
      <c r="AI498"/>
    </row>
    <row r="499" spans="1:35" s="33" customFormat="1" ht="15.75">
      <c r="A499" s="178"/>
      <c r="B499" s="166"/>
      <c r="C499" s="125"/>
      <c r="D499" s="125"/>
      <c r="E499" s="32"/>
      <c r="F499"/>
      <c r="G499"/>
      <c r="H499"/>
      <c r="I499"/>
      <c r="J499"/>
      <c r="K499"/>
      <c r="L499"/>
      <c r="M499"/>
      <c r="N499"/>
      <c r="O499"/>
      <c r="P499"/>
      <c r="Q499"/>
      <c r="R499"/>
      <c r="S499"/>
      <c r="T499"/>
      <c r="U499"/>
      <c r="V499"/>
      <c r="W499"/>
      <c r="X499"/>
      <c r="Y499"/>
      <c r="Z499"/>
      <c r="AA499"/>
      <c r="AB499"/>
      <c r="AC499"/>
      <c r="AD499"/>
      <c r="AE499"/>
      <c r="AF499"/>
      <c r="AG499"/>
      <c r="AH499"/>
      <c r="AI499"/>
    </row>
    <row r="500" spans="1:35" s="33" customFormat="1" ht="15.75">
      <c r="A500" s="178"/>
      <c r="B500" s="166"/>
      <c r="C500" s="125"/>
      <c r="D500" s="125"/>
      <c r="E500" s="32"/>
      <c r="F500"/>
      <c r="G500"/>
      <c r="H500"/>
      <c r="I500"/>
      <c r="J500"/>
      <c r="K500"/>
      <c r="L500"/>
      <c r="M500"/>
      <c r="N500"/>
      <c r="O500"/>
      <c r="P500"/>
      <c r="Q500"/>
      <c r="R500"/>
      <c r="S500"/>
      <c r="T500"/>
      <c r="U500"/>
      <c r="V500"/>
      <c r="W500"/>
      <c r="X500"/>
      <c r="Y500"/>
      <c r="Z500"/>
      <c r="AA500"/>
      <c r="AB500"/>
      <c r="AC500"/>
      <c r="AD500"/>
      <c r="AE500"/>
      <c r="AF500"/>
      <c r="AG500"/>
      <c r="AH500"/>
      <c r="AI500"/>
    </row>
    <row r="501" spans="1:35" s="33" customFormat="1" ht="15.75">
      <c r="A501" s="178"/>
      <c r="B501" s="166"/>
      <c r="C501" s="125"/>
      <c r="D501" s="125"/>
      <c r="E501" s="32"/>
      <c r="F501"/>
      <c r="G501"/>
      <c r="H501"/>
      <c r="I501"/>
      <c r="J501"/>
      <c r="K501"/>
      <c r="L501"/>
      <c r="M501"/>
      <c r="N501"/>
      <c r="O501"/>
      <c r="P501"/>
      <c r="Q501"/>
      <c r="R501"/>
      <c r="S501"/>
      <c r="T501"/>
      <c r="U501"/>
      <c r="V501"/>
      <c r="W501"/>
      <c r="X501"/>
      <c r="Y501"/>
      <c r="Z501"/>
      <c r="AA501"/>
      <c r="AB501"/>
      <c r="AC501"/>
      <c r="AD501"/>
      <c r="AE501"/>
      <c r="AF501"/>
      <c r="AG501"/>
      <c r="AH501"/>
      <c r="AI501"/>
    </row>
    <row r="502" spans="1:35" s="33" customFormat="1" ht="15.75">
      <c r="A502" s="178"/>
      <c r="B502" s="166"/>
      <c r="C502" s="125"/>
      <c r="D502" s="125"/>
      <c r="E502" s="32"/>
      <c r="F502"/>
      <c r="G502"/>
      <c r="H502"/>
      <c r="I502"/>
      <c r="J502"/>
      <c r="K502"/>
      <c r="L502"/>
      <c r="M502"/>
      <c r="N502"/>
      <c r="O502"/>
      <c r="P502"/>
      <c r="Q502"/>
      <c r="R502"/>
      <c r="S502"/>
      <c r="T502"/>
      <c r="U502"/>
      <c r="V502"/>
      <c r="W502"/>
      <c r="X502"/>
      <c r="Y502"/>
      <c r="Z502"/>
      <c r="AA502"/>
      <c r="AB502"/>
      <c r="AC502"/>
      <c r="AD502"/>
      <c r="AE502"/>
      <c r="AF502"/>
      <c r="AG502"/>
      <c r="AH502"/>
      <c r="AI502"/>
    </row>
    <row r="503" spans="1:35" s="33" customFormat="1" ht="15.75">
      <c r="A503" s="178"/>
      <c r="B503" s="166"/>
      <c r="C503" s="125"/>
      <c r="D503" s="125"/>
      <c r="E503" s="32"/>
      <c r="F503"/>
      <c r="G503"/>
      <c r="H503"/>
      <c r="I503"/>
      <c r="J503"/>
      <c r="K503"/>
      <c r="L503"/>
      <c r="M503"/>
      <c r="N503"/>
      <c r="O503"/>
      <c r="P503"/>
      <c r="Q503"/>
      <c r="R503"/>
      <c r="S503"/>
      <c r="T503"/>
      <c r="U503"/>
      <c r="V503"/>
      <c r="W503"/>
      <c r="X503"/>
      <c r="Y503"/>
      <c r="Z503"/>
      <c r="AA503"/>
      <c r="AB503"/>
      <c r="AC503"/>
      <c r="AD503"/>
      <c r="AE503"/>
      <c r="AF503"/>
      <c r="AG503"/>
      <c r="AH503"/>
      <c r="AI503"/>
    </row>
    <row r="504" spans="1:35" s="33" customFormat="1" ht="15.75">
      <c r="A504" s="178"/>
      <c r="B504" s="166"/>
      <c r="C504" s="125"/>
      <c r="D504" s="125"/>
      <c r="E504" s="32"/>
      <c r="F504"/>
      <c r="G504"/>
      <c r="H504"/>
      <c r="I504"/>
      <c r="J504"/>
      <c r="K504"/>
      <c r="L504"/>
      <c r="M504"/>
      <c r="N504"/>
      <c r="O504"/>
      <c r="P504"/>
      <c r="Q504"/>
      <c r="R504"/>
      <c r="S504"/>
      <c r="T504"/>
      <c r="U504"/>
      <c r="V504"/>
      <c r="W504"/>
      <c r="X504"/>
      <c r="Y504"/>
      <c r="Z504"/>
      <c r="AA504"/>
      <c r="AB504"/>
      <c r="AC504"/>
      <c r="AD504"/>
      <c r="AE504"/>
      <c r="AF504"/>
      <c r="AG504"/>
      <c r="AH504"/>
      <c r="AI504"/>
    </row>
    <row r="505" spans="1:35" s="33" customFormat="1" ht="15.75">
      <c r="A505" s="178"/>
      <c r="B505" s="166"/>
      <c r="C505" s="125"/>
      <c r="D505" s="125"/>
      <c r="E505" s="32"/>
      <c r="F505"/>
      <c r="G505"/>
      <c r="H505"/>
      <c r="I505"/>
      <c r="J505"/>
      <c r="K505"/>
      <c r="L505"/>
      <c r="M505"/>
      <c r="N505"/>
      <c r="O505"/>
      <c r="P505"/>
      <c r="Q505"/>
      <c r="R505"/>
      <c r="S505"/>
      <c r="T505"/>
      <c r="U505"/>
      <c r="V505"/>
      <c r="W505"/>
      <c r="X505"/>
      <c r="Y505"/>
      <c r="Z505"/>
      <c r="AA505"/>
      <c r="AB505"/>
      <c r="AC505"/>
      <c r="AD505"/>
      <c r="AE505"/>
      <c r="AF505"/>
      <c r="AG505"/>
      <c r="AH505"/>
      <c r="AI505"/>
    </row>
    <row r="506" spans="1:35" s="33" customFormat="1" ht="15.75">
      <c r="A506" s="178"/>
      <c r="B506" s="166"/>
      <c r="C506" s="125"/>
      <c r="D506" s="125"/>
      <c r="E506" s="32"/>
      <c r="F506"/>
      <c r="G506"/>
      <c r="H506"/>
      <c r="I506"/>
      <c r="J506"/>
      <c r="K506"/>
      <c r="L506"/>
      <c r="M506"/>
      <c r="N506"/>
      <c r="O506"/>
      <c r="P506"/>
      <c r="Q506"/>
      <c r="R506"/>
      <c r="S506"/>
      <c r="T506"/>
      <c r="U506"/>
      <c r="V506"/>
      <c r="W506"/>
      <c r="X506"/>
      <c r="Y506"/>
      <c r="Z506"/>
      <c r="AA506"/>
      <c r="AB506"/>
      <c r="AC506"/>
      <c r="AD506"/>
      <c r="AE506"/>
      <c r="AF506"/>
      <c r="AG506"/>
      <c r="AH506"/>
      <c r="AI506"/>
    </row>
    <row r="507" spans="1:35" s="33" customFormat="1" ht="15.75">
      <c r="A507" s="178"/>
      <c r="B507" s="166"/>
      <c r="C507" s="125"/>
      <c r="D507" s="125"/>
      <c r="E507" s="32"/>
      <c r="F507"/>
      <c r="G507"/>
      <c r="H507"/>
      <c r="I507"/>
      <c r="J507"/>
      <c r="K507"/>
      <c r="L507"/>
      <c r="M507"/>
      <c r="N507"/>
      <c r="O507"/>
      <c r="P507"/>
      <c r="Q507"/>
      <c r="R507"/>
      <c r="S507"/>
      <c r="T507"/>
      <c r="U507"/>
      <c r="V507"/>
      <c r="W507"/>
      <c r="X507"/>
      <c r="Y507"/>
      <c r="Z507"/>
      <c r="AA507"/>
      <c r="AB507"/>
      <c r="AC507"/>
      <c r="AD507"/>
      <c r="AE507"/>
      <c r="AF507"/>
      <c r="AG507"/>
      <c r="AH507"/>
      <c r="AI507"/>
    </row>
    <row r="508" spans="1:35" s="33" customFormat="1" ht="15.75">
      <c r="A508" s="178"/>
      <c r="B508" s="166"/>
      <c r="C508" s="125"/>
      <c r="D508" s="125"/>
      <c r="E508" s="32"/>
      <c r="F508"/>
      <c r="G508"/>
      <c r="H508"/>
      <c r="I508"/>
      <c r="J508"/>
      <c r="K508"/>
      <c r="L508"/>
      <c r="M508"/>
      <c r="N508"/>
      <c r="O508"/>
      <c r="P508"/>
      <c r="Q508"/>
      <c r="R508"/>
      <c r="S508"/>
      <c r="T508"/>
      <c r="U508"/>
      <c r="V508"/>
      <c r="W508"/>
      <c r="X508"/>
      <c r="Y508"/>
      <c r="Z508"/>
      <c r="AA508"/>
      <c r="AB508"/>
      <c r="AC508"/>
      <c r="AD508"/>
      <c r="AE508"/>
      <c r="AF508"/>
      <c r="AG508"/>
      <c r="AH508"/>
      <c r="AI508"/>
    </row>
    <row r="509" spans="1:35" s="33" customFormat="1" ht="15.75">
      <c r="A509" s="178"/>
      <c r="B509" s="166"/>
      <c r="C509" s="125"/>
      <c r="D509" s="125"/>
      <c r="E509" s="32"/>
      <c r="F509"/>
      <c r="G509"/>
      <c r="H509"/>
      <c r="I509"/>
      <c r="J509"/>
      <c r="K509"/>
      <c r="L509"/>
      <c r="M509"/>
      <c r="N509"/>
      <c r="O509"/>
      <c r="P509"/>
      <c r="Q509"/>
      <c r="R509"/>
      <c r="S509"/>
      <c r="T509"/>
      <c r="U509"/>
      <c r="V509"/>
      <c r="W509"/>
      <c r="X509"/>
      <c r="Y509"/>
      <c r="Z509"/>
      <c r="AA509"/>
      <c r="AB509"/>
      <c r="AC509"/>
      <c r="AD509"/>
      <c r="AE509"/>
      <c r="AF509"/>
      <c r="AG509"/>
      <c r="AH509"/>
      <c r="AI509"/>
    </row>
    <row r="510" spans="1:35" s="33" customFormat="1" ht="15.75">
      <c r="A510" s="178"/>
      <c r="B510" s="166"/>
      <c r="C510" s="125"/>
      <c r="D510" s="125"/>
      <c r="E510" s="32"/>
      <c r="F510"/>
      <c r="G510"/>
      <c r="H510"/>
      <c r="I510"/>
      <c r="J510"/>
      <c r="K510"/>
      <c r="L510"/>
      <c r="M510"/>
      <c r="N510"/>
      <c r="O510"/>
      <c r="P510"/>
      <c r="Q510"/>
      <c r="R510"/>
      <c r="S510"/>
      <c r="T510"/>
      <c r="U510"/>
      <c r="V510"/>
      <c r="W510"/>
      <c r="X510"/>
      <c r="Y510"/>
      <c r="Z510"/>
      <c r="AA510"/>
      <c r="AB510"/>
      <c r="AC510"/>
      <c r="AD510"/>
      <c r="AE510"/>
      <c r="AF510"/>
      <c r="AG510"/>
      <c r="AH510"/>
      <c r="AI510"/>
    </row>
    <row r="511" spans="1:35" s="33" customFormat="1" ht="15.75">
      <c r="A511" s="178"/>
      <c r="B511" s="166"/>
      <c r="C511" s="125"/>
      <c r="D511" s="125"/>
      <c r="E511" s="32"/>
      <c r="F511"/>
      <c r="G511"/>
      <c r="H511"/>
      <c r="I511"/>
      <c r="J511"/>
      <c r="K511"/>
      <c r="L511"/>
      <c r="M511"/>
      <c r="N511"/>
      <c r="O511"/>
      <c r="P511"/>
      <c r="Q511"/>
      <c r="R511"/>
      <c r="S511"/>
      <c r="T511"/>
      <c r="U511"/>
      <c r="V511"/>
      <c r="W511"/>
      <c r="X511"/>
      <c r="Y511"/>
      <c r="Z511"/>
      <c r="AA511"/>
      <c r="AB511"/>
      <c r="AC511"/>
      <c r="AD511"/>
      <c r="AE511"/>
      <c r="AF511"/>
      <c r="AG511"/>
      <c r="AH511"/>
      <c r="AI511"/>
    </row>
    <row r="512" spans="1:35" s="33" customFormat="1" ht="15.75">
      <c r="A512" s="178"/>
      <c r="B512" s="166"/>
      <c r="C512" s="125"/>
      <c r="D512" s="125"/>
      <c r="E512" s="32"/>
      <c r="F512"/>
      <c r="G512"/>
      <c r="H512"/>
      <c r="I512"/>
      <c r="J512"/>
      <c r="K512"/>
      <c r="L512"/>
      <c r="M512"/>
      <c r="N512"/>
      <c r="O512"/>
      <c r="P512"/>
      <c r="Q512"/>
      <c r="R512"/>
      <c r="S512"/>
      <c r="T512"/>
      <c r="U512"/>
      <c r="V512"/>
      <c r="W512"/>
      <c r="X512"/>
      <c r="Y512"/>
      <c r="Z512"/>
      <c r="AA512"/>
      <c r="AB512"/>
      <c r="AC512"/>
      <c r="AD512"/>
      <c r="AE512"/>
      <c r="AF512"/>
      <c r="AG512"/>
      <c r="AH512"/>
      <c r="AI512"/>
    </row>
    <row r="513" spans="1:35" s="33" customFormat="1" ht="15.75">
      <c r="A513" s="178"/>
      <c r="B513" s="166"/>
      <c r="C513" s="125"/>
      <c r="D513" s="125"/>
      <c r="E513" s="32"/>
      <c r="F513"/>
      <c r="G513"/>
      <c r="H513"/>
      <c r="I513"/>
      <c r="J513"/>
      <c r="K513"/>
      <c r="L513"/>
      <c r="M513"/>
      <c r="N513"/>
      <c r="O513"/>
      <c r="P513"/>
      <c r="Q513"/>
      <c r="R513"/>
      <c r="S513"/>
      <c r="T513"/>
      <c r="U513"/>
      <c r="V513"/>
      <c r="W513"/>
      <c r="X513"/>
      <c r="Y513"/>
      <c r="Z513"/>
      <c r="AA513"/>
      <c r="AB513"/>
      <c r="AC513"/>
      <c r="AD513"/>
      <c r="AE513"/>
      <c r="AF513"/>
      <c r="AG513"/>
      <c r="AH513"/>
      <c r="AI513"/>
    </row>
    <row r="514" spans="1:35" s="33" customFormat="1" ht="15.75">
      <c r="A514" s="178"/>
      <c r="B514" s="166"/>
      <c r="C514" s="125"/>
      <c r="D514" s="125"/>
      <c r="E514" s="32"/>
      <c r="F514"/>
      <c r="G514"/>
      <c r="H514"/>
      <c r="I514"/>
      <c r="J514"/>
      <c r="K514"/>
      <c r="L514"/>
      <c r="M514"/>
      <c r="N514"/>
      <c r="O514"/>
      <c r="P514"/>
      <c r="Q514"/>
      <c r="R514"/>
      <c r="S514"/>
      <c r="T514"/>
      <c r="U514"/>
      <c r="V514"/>
      <c r="W514"/>
      <c r="X514"/>
      <c r="Y514"/>
      <c r="Z514"/>
      <c r="AA514"/>
      <c r="AB514"/>
      <c r="AC514"/>
      <c r="AD514"/>
      <c r="AE514"/>
      <c r="AF514"/>
      <c r="AG514"/>
      <c r="AH514"/>
      <c r="AI514"/>
    </row>
    <row r="515" spans="1:35" s="33" customFormat="1" ht="15.75">
      <c r="A515" s="178"/>
      <c r="B515" s="166"/>
      <c r="C515" s="125"/>
      <c r="D515" s="125"/>
      <c r="E515" s="32"/>
      <c r="F515"/>
      <c r="G515"/>
      <c r="H515"/>
      <c r="I515"/>
      <c r="J515"/>
      <c r="K515"/>
      <c r="L515"/>
      <c r="M515"/>
      <c r="N515"/>
      <c r="O515"/>
      <c r="P515"/>
      <c r="Q515"/>
      <c r="R515"/>
      <c r="S515"/>
      <c r="T515"/>
      <c r="U515"/>
      <c r="V515"/>
      <c r="W515"/>
      <c r="X515"/>
      <c r="Y515"/>
      <c r="Z515"/>
      <c r="AA515"/>
      <c r="AB515"/>
      <c r="AC515"/>
      <c r="AD515"/>
      <c r="AE515"/>
      <c r="AF515"/>
      <c r="AG515"/>
      <c r="AH515"/>
      <c r="AI515"/>
    </row>
    <row r="516" spans="1:35" s="33" customFormat="1" ht="15.75">
      <c r="A516" s="178"/>
      <c r="B516" s="166"/>
      <c r="C516" s="125"/>
      <c r="D516" s="125"/>
      <c r="E516" s="32"/>
      <c r="F516"/>
      <c r="G516"/>
      <c r="H516"/>
      <c r="I516"/>
      <c r="J516"/>
      <c r="K516"/>
      <c r="L516"/>
      <c r="M516"/>
      <c r="N516"/>
      <c r="O516"/>
      <c r="P516"/>
      <c r="Q516"/>
      <c r="R516"/>
      <c r="S516"/>
      <c r="T516"/>
      <c r="U516"/>
      <c r="V516"/>
      <c r="W516"/>
      <c r="X516"/>
      <c r="Y516"/>
      <c r="Z516"/>
      <c r="AA516"/>
      <c r="AB516"/>
      <c r="AC516"/>
      <c r="AD516"/>
      <c r="AE516"/>
      <c r="AF516"/>
      <c r="AG516"/>
      <c r="AH516"/>
      <c r="AI516"/>
    </row>
    <row r="517" spans="1:35" s="33" customFormat="1" ht="15.75">
      <c r="A517" s="178"/>
      <c r="B517" s="166"/>
      <c r="C517" s="125"/>
      <c r="D517" s="125"/>
      <c r="E517" s="32"/>
      <c r="F517"/>
      <c r="G517"/>
      <c r="H517"/>
      <c r="I517"/>
      <c r="J517"/>
      <c r="K517"/>
      <c r="L517"/>
      <c r="M517"/>
      <c r="N517"/>
      <c r="O517"/>
      <c r="P517"/>
      <c r="Q517"/>
      <c r="R517"/>
      <c r="S517"/>
      <c r="T517"/>
      <c r="U517"/>
      <c r="V517"/>
      <c r="W517"/>
      <c r="X517"/>
      <c r="Y517"/>
      <c r="Z517"/>
      <c r="AA517"/>
      <c r="AB517"/>
      <c r="AC517"/>
      <c r="AD517"/>
      <c r="AE517"/>
      <c r="AF517"/>
      <c r="AG517"/>
      <c r="AH517"/>
      <c r="AI517"/>
    </row>
    <row r="518" spans="1:35" s="33" customFormat="1" ht="15.75">
      <c r="A518" s="178"/>
      <c r="B518" s="166"/>
      <c r="C518" s="125"/>
      <c r="D518" s="125"/>
      <c r="E518" s="32"/>
      <c r="F518"/>
      <c r="G518"/>
      <c r="H518"/>
      <c r="I518"/>
      <c r="J518"/>
      <c r="K518"/>
      <c r="L518"/>
      <c r="M518"/>
      <c r="N518"/>
      <c r="O518"/>
      <c r="P518"/>
      <c r="Q518"/>
      <c r="R518"/>
      <c r="S518"/>
      <c r="T518"/>
      <c r="U518"/>
      <c r="V518"/>
      <c r="W518"/>
      <c r="X518"/>
      <c r="Y518"/>
      <c r="Z518"/>
      <c r="AA518"/>
      <c r="AB518"/>
      <c r="AC518"/>
      <c r="AD518"/>
      <c r="AE518"/>
      <c r="AF518"/>
      <c r="AG518"/>
      <c r="AH518"/>
      <c r="AI518"/>
    </row>
    <row r="519" spans="1:35" s="33" customFormat="1" ht="15.75">
      <c r="A519" s="178"/>
      <c r="B519" s="166"/>
      <c r="C519" s="125"/>
      <c r="D519" s="125"/>
      <c r="E519" s="32"/>
      <c r="F519"/>
      <c r="G519"/>
      <c r="H519"/>
      <c r="I519"/>
      <c r="J519"/>
      <c r="K519"/>
      <c r="L519"/>
      <c r="M519"/>
      <c r="N519"/>
      <c r="O519"/>
      <c r="P519"/>
      <c r="Q519"/>
      <c r="R519"/>
      <c r="S519"/>
      <c r="T519"/>
      <c r="U519"/>
      <c r="V519"/>
      <c r="W519"/>
      <c r="X519"/>
      <c r="Y519"/>
      <c r="Z519"/>
      <c r="AA519"/>
      <c r="AB519"/>
      <c r="AC519"/>
      <c r="AD519"/>
      <c r="AE519"/>
      <c r="AF519"/>
      <c r="AG519"/>
      <c r="AH519"/>
      <c r="AI519"/>
    </row>
    <row r="520" spans="1:35" s="33" customFormat="1" ht="15.75">
      <c r="A520" s="178"/>
      <c r="B520" s="166"/>
      <c r="C520" s="125"/>
      <c r="D520" s="125"/>
      <c r="E520" s="32"/>
      <c r="F520"/>
      <c r="G520"/>
      <c r="H520"/>
      <c r="I520"/>
      <c r="J520"/>
      <c r="K520"/>
      <c r="L520"/>
      <c r="M520"/>
      <c r="N520"/>
      <c r="O520"/>
      <c r="P520"/>
      <c r="Q520"/>
      <c r="R520"/>
      <c r="S520"/>
      <c r="T520"/>
      <c r="U520"/>
      <c r="V520"/>
      <c r="W520"/>
      <c r="X520"/>
      <c r="Y520"/>
      <c r="Z520"/>
      <c r="AA520"/>
      <c r="AB520"/>
      <c r="AC520"/>
      <c r="AD520"/>
      <c r="AE520"/>
      <c r="AF520"/>
      <c r="AG520"/>
      <c r="AH520"/>
      <c r="AI520"/>
    </row>
    <row r="521" spans="1:35" s="33" customFormat="1" ht="15.75">
      <c r="A521" s="178"/>
      <c r="B521" s="166"/>
      <c r="C521" s="125"/>
      <c r="D521" s="125"/>
      <c r="E521" s="32"/>
      <c r="F521"/>
      <c r="G521"/>
      <c r="H521"/>
      <c r="I521"/>
      <c r="J521"/>
      <c r="K521"/>
      <c r="L521"/>
      <c r="M521"/>
      <c r="N521"/>
      <c r="O521"/>
      <c r="P521"/>
      <c r="Q521"/>
      <c r="R521"/>
      <c r="S521"/>
      <c r="T521"/>
      <c r="U521"/>
      <c r="V521"/>
      <c r="W521"/>
      <c r="X521"/>
      <c r="Y521"/>
      <c r="Z521"/>
      <c r="AA521"/>
      <c r="AB521"/>
      <c r="AC521"/>
      <c r="AD521"/>
      <c r="AE521"/>
      <c r="AF521"/>
      <c r="AG521"/>
      <c r="AH521"/>
      <c r="AI521"/>
    </row>
    <row r="522" spans="1:35" s="33" customFormat="1" ht="15.75">
      <c r="A522" s="178"/>
      <c r="B522" s="166"/>
      <c r="C522" s="125"/>
      <c r="D522" s="125"/>
      <c r="E522" s="32"/>
      <c r="F522"/>
      <c r="G522"/>
      <c r="H522"/>
      <c r="I522"/>
      <c r="J522"/>
      <c r="K522"/>
      <c r="L522"/>
      <c r="M522"/>
      <c r="N522"/>
      <c r="O522"/>
      <c r="P522"/>
      <c r="Q522"/>
      <c r="R522"/>
      <c r="S522"/>
      <c r="T522"/>
      <c r="U522"/>
      <c r="V522"/>
      <c r="W522"/>
      <c r="X522"/>
      <c r="Y522"/>
      <c r="Z522"/>
      <c r="AA522"/>
      <c r="AB522"/>
      <c r="AC522"/>
      <c r="AD522"/>
      <c r="AE522"/>
      <c r="AF522"/>
      <c r="AG522"/>
      <c r="AH522"/>
      <c r="AI522"/>
    </row>
    <row r="523" spans="1:35" s="33" customFormat="1" ht="15.75">
      <c r="A523" s="178"/>
      <c r="B523" s="166"/>
      <c r="C523" s="125"/>
      <c r="D523" s="125"/>
      <c r="E523" s="32"/>
      <c r="F523"/>
      <c r="G523"/>
      <c r="H523"/>
      <c r="I523"/>
      <c r="J523"/>
      <c r="K523"/>
      <c r="L523"/>
      <c r="M523"/>
      <c r="N523"/>
      <c r="O523"/>
      <c r="P523"/>
      <c r="Q523"/>
      <c r="R523"/>
      <c r="S523"/>
      <c r="T523"/>
      <c r="U523"/>
      <c r="V523"/>
      <c r="W523"/>
      <c r="X523"/>
      <c r="Y523"/>
      <c r="Z523"/>
      <c r="AA523"/>
      <c r="AB523"/>
      <c r="AC523"/>
      <c r="AD523"/>
      <c r="AE523"/>
      <c r="AF523"/>
      <c r="AG523"/>
      <c r="AH523"/>
      <c r="AI523"/>
    </row>
    <row r="524" spans="1:35" s="33" customFormat="1" ht="15.75">
      <c r="A524" s="178"/>
      <c r="B524" s="166"/>
      <c r="C524" s="125"/>
      <c r="D524" s="125"/>
      <c r="E524" s="32"/>
      <c r="F524"/>
      <c r="G524"/>
      <c r="H524"/>
      <c r="I524"/>
      <c r="J524"/>
      <c r="K524"/>
      <c r="L524"/>
      <c r="M524"/>
      <c r="N524"/>
      <c r="O524"/>
      <c r="P524"/>
      <c r="Q524"/>
      <c r="R524"/>
      <c r="S524"/>
      <c r="T524"/>
      <c r="U524"/>
      <c r="V524"/>
      <c r="W524"/>
      <c r="X524"/>
      <c r="Y524"/>
      <c r="Z524"/>
      <c r="AA524"/>
      <c r="AB524"/>
      <c r="AC524"/>
      <c r="AD524"/>
      <c r="AE524"/>
      <c r="AF524"/>
      <c r="AG524"/>
      <c r="AH524"/>
      <c r="AI524"/>
    </row>
    <row r="525" spans="1:35" s="33" customFormat="1" ht="15.75">
      <c r="A525" s="178"/>
      <c r="B525" s="166"/>
      <c r="C525" s="125"/>
      <c r="D525" s="125"/>
      <c r="E525" s="32"/>
      <c r="F525"/>
      <c r="G525"/>
      <c r="H525"/>
      <c r="I525"/>
      <c r="J525"/>
      <c r="K525"/>
      <c r="L525"/>
      <c r="M525"/>
      <c r="N525"/>
      <c r="O525"/>
      <c r="P525"/>
      <c r="Q525"/>
      <c r="R525"/>
      <c r="S525"/>
      <c r="T525"/>
      <c r="U525"/>
      <c r="V525"/>
      <c r="W525"/>
      <c r="X525"/>
      <c r="Y525"/>
      <c r="Z525"/>
      <c r="AA525"/>
      <c r="AB525"/>
      <c r="AC525"/>
      <c r="AD525"/>
      <c r="AE525"/>
      <c r="AF525"/>
      <c r="AG525"/>
      <c r="AH525"/>
      <c r="AI525"/>
    </row>
    <row r="526" spans="1:35" s="33" customFormat="1" ht="15.75">
      <c r="A526" s="178"/>
      <c r="B526" s="166"/>
      <c r="C526" s="125"/>
      <c r="D526" s="125"/>
      <c r="E526" s="32"/>
      <c r="F526"/>
      <c r="G526"/>
      <c r="H526"/>
      <c r="I526"/>
      <c r="J526"/>
      <c r="K526"/>
      <c r="L526"/>
      <c r="M526"/>
      <c r="N526"/>
      <c r="O526"/>
      <c r="P526"/>
      <c r="Q526"/>
      <c r="R526"/>
      <c r="S526"/>
      <c r="T526"/>
      <c r="U526"/>
      <c r="V526"/>
      <c r="W526"/>
      <c r="X526"/>
      <c r="Y526"/>
      <c r="Z526"/>
      <c r="AA526"/>
      <c r="AB526"/>
      <c r="AC526"/>
      <c r="AD526"/>
      <c r="AE526"/>
      <c r="AF526"/>
      <c r="AG526"/>
      <c r="AH526"/>
      <c r="AI526"/>
    </row>
    <row r="527" spans="1:35" s="33" customFormat="1" ht="15.75">
      <c r="A527" s="178"/>
      <c r="B527" s="166"/>
      <c r="C527" s="125"/>
      <c r="D527" s="125"/>
      <c r="E527" s="32"/>
      <c r="F527"/>
      <c r="G527"/>
      <c r="H527"/>
      <c r="I527"/>
      <c r="J527"/>
      <c r="K527"/>
      <c r="L527"/>
      <c r="M527"/>
      <c r="N527"/>
      <c r="O527"/>
      <c r="P527"/>
      <c r="Q527"/>
      <c r="R527"/>
      <c r="S527"/>
      <c r="T527"/>
      <c r="U527"/>
      <c r="V527"/>
      <c r="W527"/>
      <c r="X527"/>
      <c r="Y527"/>
      <c r="Z527"/>
      <c r="AA527"/>
      <c r="AB527"/>
      <c r="AC527"/>
      <c r="AD527"/>
      <c r="AE527"/>
      <c r="AF527"/>
      <c r="AG527"/>
      <c r="AH527"/>
      <c r="AI527"/>
    </row>
    <row r="528" spans="1:35" s="33" customFormat="1" ht="15.75">
      <c r="A528" s="178"/>
      <c r="B528" s="166"/>
      <c r="C528" s="125"/>
      <c r="D528" s="125"/>
      <c r="E528" s="32"/>
      <c r="F528"/>
      <c r="G528"/>
      <c r="H528"/>
      <c r="I528"/>
      <c r="J528"/>
      <c r="K528"/>
      <c r="L528"/>
      <c r="M528"/>
      <c r="N528"/>
      <c r="O528"/>
      <c r="P528"/>
      <c r="Q528"/>
      <c r="R528"/>
      <c r="S528"/>
      <c r="T528"/>
      <c r="U528"/>
      <c r="V528"/>
      <c r="W528"/>
      <c r="X528"/>
      <c r="Y528"/>
      <c r="Z528"/>
      <c r="AA528"/>
      <c r="AB528"/>
      <c r="AC528"/>
      <c r="AD528"/>
      <c r="AE528"/>
      <c r="AF528"/>
      <c r="AG528"/>
      <c r="AH528"/>
      <c r="AI528"/>
    </row>
    <row r="529" spans="1:35" s="33" customFormat="1" ht="15.75">
      <c r="A529" s="178"/>
      <c r="B529" s="166"/>
      <c r="C529" s="125"/>
      <c r="D529" s="125"/>
      <c r="E529" s="32"/>
      <c r="F529"/>
      <c r="G529"/>
      <c r="H529"/>
      <c r="I529"/>
      <c r="J529"/>
      <c r="K529"/>
      <c r="L529"/>
      <c r="M529"/>
      <c r="N529"/>
      <c r="O529"/>
      <c r="P529"/>
      <c r="Q529"/>
      <c r="R529"/>
      <c r="S529"/>
      <c r="T529"/>
      <c r="U529"/>
      <c r="V529"/>
      <c r="W529"/>
      <c r="X529"/>
      <c r="Y529"/>
      <c r="Z529"/>
      <c r="AA529"/>
      <c r="AB529"/>
      <c r="AC529"/>
      <c r="AD529"/>
      <c r="AE529"/>
      <c r="AF529"/>
      <c r="AG529"/>
      <c r="AH529"/>
      <c r="AI529"/>
    </row>
    <row r="530" spans="1:35" s="33" customFormat="1" ht="15.75">
      <c r="A530" s="178"/>
      <c r="B530" s="166"/>
      <c r="C530" s="125"/>
      <c r="D530" s="125"/>
      <c r="E530" s="32"/>
      <c r="F530"/>
      <c r="G530"/>
      <c r="H530"/>
      <c r="I530"/>
      <c r="J530"/>
      <c r="K530"/>
      <c r="L530"/>
      <c r="M530"/>
      <c r="N530"/>
      <c r="O530"/>
      <c r="P530"/>
      <c r="Q530"/>
      <c r="R530"/>
      <c r="S530"/>
      <c r="T530"/>
      <c r="U530"/>
      <c r="V530"/>
      <c r="W530"/>
      <c r="X530"/>
      <c r="Y530"/>
      <c r="Z530"/>
      <c r="AA530"/>
      <c r="AB530"/>
      <c r="AC530"/>
      <c r="AD530"/>
      <c r="AE530"/>
      <c r="AF530"/>
      <c r="AG530"/>
      <c r="AH530"/>
      <c r="AI530"/>
    </row>
    <row r="531" spans="1:35" s="33" customFormat="1" ht="15.75">
      <c r="A531" s="178"/>
      <c r="B531" s="166"/>
      <c r="C531" s="125"/>
      <c r="D531" s="125"/>
      <c r="E531" s="32"/>
      <c r="F531"/>
      <c r="G531"/>
      <c r="H531"/>
      <c r="I531"/>
      <c r="J531"/>
      <c r="K531"/>
      <c r="L531"/>
      <c r="M531"/>
      <c r="N531"/>
      <c r="O531"/>
      <c r="P531"/>
      <c r="Q531"/>
      <c r="R531"/>
      <c r="S531"/>
      <c r="T531"/>
      <c r="U531"/>
      <c r="V531"/>
      <c r="W531"/>
      <c r="X531"/>
      <c r="Y531"/>
      <c r="Z531"/>
      <c r="AA531"/>
      <c r="AB531"/>
      <c r="AC531"/>
      <c r="AD531"/>
      <c r="AE531"/>
      <c r="AF531"/>
      <c r="AG531"/>
      <c r="AH531"/>
      <c r="AI531"/>
    </row>
    <row r="532" spans="1:35" s="33" customFormat="1" ht="15.75">
      <c r="A532" s="178"/>
      <c r="B532" s="166"/>
      <c r="C532" s="125"/>
      <c r="D532" s="125"/>
      <c r="E532" s="32"/>
      <c r="F532"/>
      <c r="G532"/>
      <c r="H532"/>
      <c r="I532"/>
      <c r="J532"/>
      <c r="K532"/>
      <c r="L532"/>
      <c r="M532"/>
      <c r="N532"/>
      <c r="O532"/>
      <c r="P532"/>
      <c r="Q532"/>
      <c r="R532"/>
      <c r="S532"/>
      <c r="T532"/>
      <c r="U532"/>
      <c r="V532"/>
      <c r="W532"/>
      <c r="X532"/>
      <c r="Y532"/>
      <c r="Z532"/>
      <c r="AA532"/>
      <c r="AB532"/>
      <c r="AC532"/>
      <c r="AD532"/>
      <c r="AE532"/>
      <c r="AF532"/>
      <c r="AG532"/>
      <c r="AH532"/>
      <c r="AI532"/>
    </row>
    <row r="533" spans="1:35" s="33" customFormat="1" ht="15.75">
      <c r="A533" s="178"/>
      <c r="B533" s="166"/>
      <c r="C533" s="125"/>
      <c r="D533" s="125"/>
      <c r="E533" s="32"/>
      <c r="F533"/>
      <c r="G533"/>
      <c r="H533"/>
      <c r="I533"/>
      <c r="J533"/>
      <c r="K533"/>
      <c r="L533"/>
      <c r="M533"/>
      <c r="N533"/>
      <c r="O533"/>
      <c r="P533"/>
      <c r="Q533"/>
      <c r="R533"/>
      <c r="S533"/>
      <c r="T533"/>
      <c r="U533"/>
      <c r="V533"/>
      <c r="W533"/>
      <c r="X533"/>
      <c r="Y533"/>
      <c r="Z533"/>
      <c r="AA533"/>
      <c r="AB533"/>
      <c r="AC533"/>
      <c r="AD533"/>
      <c r="AE533"/>
      <c r="AF533"/>
      <c r="AG533"/>
      <c r="AH533"/>
      <c r="AI533"/>
    </row>
    <row r="534" spans="1:35" s="33" customFormat="1" ht="15.75">
      <c r="A534" s="178"/>
      <c r="B534" s="166"/>
      <c r="C534" s="125"/>
      <c r="D534" s="125"/>
      <c r="E534" s="32"/>
      <c r="F534"/>
      <c r="G534"/>
      <c r="H534"/>
      <c r="I534"/>
      <c r="J534"/>
      <c r="K534"/>
      <c r="L534"/>
      <c r="M534"/>
      <c r="N534"/>
      <c r="O534"/>
      <c r="P534"/>
      <c r="Q534"/>
      <c r="R534"/>
      <c r="S534"/>
      <c r="T534"/>
      <c r="U534"/>
      <c r="V534"/>
      <c r="W534"/>
      <c r="X534"/>
      <c r="Y534"/>
      <c r="Z534"/>
      <c r="AA534"/>
      <c r="AB534"/>
      <c r="AC534"/>
      <c r="AD534"/>
      <c r="AE534"/>
      <c r="AF534"/>
      <c r="AG534"/>
      <c r="AH534"/>
      <c r="AI534"/>
    </row>
    <row r="535" spans="1:35" s="33" customFormat="1" ht="15.75">
      <c r="A535" s="178"/>
      <c r="B535" s="166"/>
      <c r="C535" s="125"/>
      <c r="D535" s="125"/>
      <c r="E535" s="32"/>
      <c r="F535"/>
      <c r="G535"/>
      <c r="H535"/>
      <c r="I535"/>
      <c r="J535"/>
      <c r="K535"/>
      <c r="L535"/>
      <c r="M535"/>
      <c r="N535"/>
      <c r="O535"/>
      <c r="P535"/>
      <c r="Q535"/>
      <c r="R535"/>
      <c r="S535"/>
      <c r="T535"/>
      <c r="U535"/>
      <c r="V535"/>
      <c r="W535"/>
      <c r="X535"/>
      <c r="Y535"/>
      <c r="Z535"/>
      <c r="AA535"/>
      <c r="AB535"/>
      <c r="AC535"/>
      <c r="AD535"/>
      <c r="AE535"/>
      <c r="AF535"/>
      <c r="AG535"/>
      <c r="AH535"/>
      <c r="AI535"/>
    </row>
    <row r="536" spans="1:35" s="33" customFormat="1" ht="15.75">
      <c r="A536" s="178"/>
      <c r="B536" s="166"/>
      <c r="C536" s="125"/>
      <c r="D536" s="125"/>
      <c r="E536" s="32"/>
      <c r="F536"/>
      <c r="G536"/>
      <c r="H536"/>
      <c r="I536"/>
      <c r="J536"/>
      <c r="K536"/>
      <c r="L536"/>
      <c r="M536"/>
      <c r="N536"/>
      <c r="O536"/>
      <c r="P536"/>
      <c r="Q536"/>
      <c r="R536"/>
      <c r="S536"/>
      <c r="T536"/>
      <c r="U536"/>
      <c r="V536"/>
      <c r="W536"/>
      <c r="X536"/>
      <c r="Y536"/>
      <c r="Z536"/>
      <c r="AA536"/>
      <c r="AB536"/>
      <c r="AC536"/>
      <c r="AD536"/>
      <c r="AE536"/>
      <c r="AF536"/>
      <c r="AG536"/>
      <c r="AH536"/>
      <c r="AI536"/>
    </row>
    <row r="537" spans="1:35" s="33" customFormat="1" ht="15.75">
      <c r="A537" s="178"/>
      <c r="B537" s="166"/>
      <c r="C537" s="125"/>
      <c r="D537" s="125"/>
      <c r="E537" s="32"/>
      <c r="F537"/>
      <c r="G537"/>
      <c r="H537"/>
      <c r="I537"/>
      <c r="J537"/>
      <c r="K537"/>
      <c r="L537"/>
      <c r="M537"/>
      <c r="N537"/>
      <c r="O537"/>
      <c r="P537"/>
      <c r="Q537"/>
      <c r="R537"/>
      <c r="S537"/>
      <c r="T537"/>
      <c r="U537"/>
      <c r="V537"/>
      <c r="W537"/>
      <c r="X537"/>
      <c r="Y537"/>
      <c r="Z537"/>
      <c r="AA537"/>
      <c r="AB537"/>
      <c r="AC537"/>
      <c r="AD537"/>
      <c r="AE537"/>
      <c r="AF537"/>
      <c r="AG537"/>
      <c r="AH537"/>
      <c r="AI537"/>
    </row>
    <row r="538" spans="1:35" s="33" customFormat="1" ht="15.75">
      <c r="A538" s="178"/>
      <c r="B538" s="166"/>
      <c r="C538" s="125"/>
      <c r="D538" s="125"/>
      <c r="E538" s="32"/>
      <c r="F538"/>
      <c r="G538"/>
      <c r="H538"/>
      <c r="I538"/>
      <c r="J538"/>
      <c r="K538"/>
      <c r="L538"/>
      <c r="M538"/>
      <c r="N538"/>
      <c r="O538"/>
      <c r="P538"/>
      <c r="Q538"/>
      <c r="R538"/>
      <c r="S538"/>
      <c r="T538"/>
      <c r="U538"/>
      <c r="V538"/>
      <c r="W538"/>
      <c r="X538"/>
      <c r="Y538"/>
      <c r="Z538"/>
      <c r="AA538"/>
      <c r="AB538"/>
      <c r="AC538"/>
      <c r="AD538"/>
      <c r="AE538"/>
      <c r="AF538"/>
      <c r="AG538"/>
      <c r="AH538"/>
      <c r="AI538"/>
    </row>
    <row r="539" spans="1:35" s="33" customFormat="1" ht="15.75">
      <c r="A539" s="178"/>
      <c r="B539" s="166"/>
      <c r="C539" s="125"/>
      <c r="D539" s="125"/>
      <c r="E539" s="32"/>
      <c r="F539"/>
      <c r="G539"/>
      <c r="H539"/>
      <c r="I539"/>
      <c r="J539"/>
      <c r="K539"/>
      <c r="L539"/>
      <c r="M539"/>
      <c r="N539"/>
      <c r="O539"/>
      <c r="P539"/>
      <c r="Q539"/>
      <c r="R539"/>
      <c r="S539"/>
      <c r="T539"/>
      <c r="U539"/>
      <c r="V539"/>
      <c r="W539"/>
      <c r="X539"/>
      <c r="Y539"/>
      <c r="Z539"/>
      <c r="AA539"/>
      <c r="AB539"/>
      <c r="AC539"/>
      <c r="AD539"/>
      <c r="AE539"/>
      <c r="AF539"/>
      <c r="AG539"/>
      <c r="AH539"/>
      <c r="AI539"/>
    </row>
    <row r="540" spans="1:35" s="33" customFormat="1" ht="15.75">
      <c r="A540" s="178"/>
      <c r="B540" s="166"/>
      <c r="C540" s="125"/>
      <c r="D540" s="125"/>
      <c r="E540" s="32"/>
      <c r="F540"/>
      <c r="G540"/>
      <c r="H540"/>
      <c r="I540"/>
      <c r="J540"/>
      <c r="K540"/>
      <c r="L540"/>
      <c r="M540"/>
      <c r="N540"/>
      <c r="O540"/>
      <c r="P540"/>
      <c r="Q540"/>
      <c r="R540"/>
      <c r="S540"/>
      <c r="T540"/>
      <c r="U540"/>
      <c r="V540"/>
      <c r="W540"/>
      <c r="X540"/>
      <c r="Y540"/>
      <c r="Z540"/>
      <c r="AA540"/>
      <c r="AB540"/>
      <c r="AC540"/>
      <c r="AD540"/>
      <c r="AE540"/>
      <c r="AF540"/>
      <c r="AG540"/>
      <c r="AH540"/>
      <c r="AI540"/>
    </row>
    <row r="541" spans="1:35" s="33" customFormat="1" ht="15.75">
      <c r="A541" s="178"/>
      <c r="B541" s="166"/>
      <c r="C541" s="125"/>
      <c r="D541" s="125"/>
      <c r="E541" s="32"/>
      <c r="F541"/>
      <c r="G541"/>
      <c r="H541"/>
      <c r="I541"/>
      <c r="J541"/>
      <c r="K541"/>
      <c r="L541"/>
      <c r="M541"/>
      <c r="N541"/>
      <c r="O541"/>
      <c r="P541"/>
      <c r="Q541"/>
      <c r="R541"/>
      <c r="S541"/>
      <c r="T541"/>
      <c r="U541"/>
      <c r="V541"/>
      <c r="W541"/>
      <c r="X541"/>
      <c r="Y541"/>
      <c r="Z541"/>
      <c r="AA541"/>
      <c r="AB541"/>
      <c r="AC541"/>
      <c r="AD541"/>
      <c r="AE541"/>
      <c r="AF541"/>
      <c r="AG541"/>
      <c r="AH541"/>
      <c r="AI541"/>
    </row>
    <row r="542" spans="1:35" s="33" customFormat="1" ht="15.75">
      <c r="A542" s="178"/>
      <c r="B542" s="166"/>
      <c r="C542" s="125"/>
      <c r="D542" s="125"/>
      <c r="E542" s="32"/>
      <c r="F542"/>
      <c r="G542"/>
      <c r="H542"/>
      <c r="I542"/>
      <c r="J542"/>
      <c r="K542"/>
      <c r="L542"/>
      <c r="M542"/>
      <c r="N542"/>
      <c r="O542"/>
      <c r="P542"/>
      <c r="Q542"/>
      <c r="R542"/>
      <c r="S542"/>
      <c r="T542"/>
      <c r="U542"/>
      <c r="V542"/>
      <c r="W542"/>
      <c r="X542"/>
      <c r="Y542"/>
      <c r="Z542"/>
      <c r="AA542"/>
      <c r="AB542"/>
      <c r="AC542"/>
      <c r="AD542"/>
      <c r="AE542"/>
      <c r="AF542"/>
      <c r="AG542"/>
      <c r="AH542"/>
      <c r="AI542"/>
    </row>
    <row r="543" spans="1:35" s="33" customFormat="1" ht="15.75">
      <c r="A543" s="178"/>
      <c r="B543" s="166"/>
      <c r="C543" s="125"/>
      <c r="D543" s="125"/>
      <c r="E543" s="32"/>
      <c r="F543"/>
      <c r="G543"/>
      <c r="H543"/>
      <c r="I543"/>
      <c r="J543"/>
      <c r="K543"/>
      <c r="L543"/>
      <c r="M543"/>
      <c r="N543"/>
      <c r="O543"/>
      <c r="P543"/>
      <c r="Q543"/>
      <c r="R543"/>
      <c r="S543"/>
      <c r="T543"/>
      <c r="U543"/>
      <c r="V543"/>
      <c r="W543"/>
      <c r="X543"/>
      <c r="Y543"/>
      <c r="Z543"/>
      <c r="AA543"/>
      <c r="AB543"/>
      <c r="AC543"/>
      <c r="AD543"/>
      <c r="AE543"/>
      <c r="AF543"/>
      <c r="AG543"/>
      <c r="AH543"/>
      <c r="AI543"/>
    </row>
    <row r="544" spans="1:35" s="33" customFormat="1" ht="15.75">
      <c r="A544" s="178"/>
      <c r="B544" s="166"/>
      <c r="C544" s="125"/>
      <c r="D544" s="125"/>
      <c r="E544" s="32"/>
      <c r="F544"/>
      <c r="G544"/>
      <c r="H544"/>
      <c r="I544"/>
      <c r="J544"/>
      <c r="K544"/>
      <c r="L544"/>
      <c r="M544"/>
      <c r="N544"/>
      <c r="O544"/>
      <c r="P544"/>
      <c r="Q544"/>
      <c r="R544"/>
      <c r="S544"/>
      <c r="T544"/>
      <c r="U544"/>
      <c r="V544"/>
      <c r="W544"/>
      <c r="X544"/>
      <c r="Y544"/>
      <c r="Z544"/>
      <c r="AA544"/>
      <c r="AB544"/>
      <c r="AC544"/>
      <c r="AD544"/>
      <c r="AE544"/>
      <c r="AF544"/>
      <c r="AG544"/>
      <c r="AH544"/>
      <c r="AI544"/>
    </row>
    <row r="545" spans="1:35" s="33" customFormat="1" ht="15.75">
      <c r="A545" s="178"/>
      <c r="B545" s="166"/>
      <c r="C545" s="125"/>
      <c r="D545" s="125"/>
      <c r="E545" s="32"/>
      <c r="F545"/>
      <c r="G545"/>
      <c r="H545"/>
      <c r="I545"/>
      <c r="J545"/>
      <c r="K545"/>
      <c r="L545"/>
      <c r="M545"/>
      <c r="N545"/>
      <c r="O545"/>
      <c r="P545"/>
      <c r="Q545"/>
      <c r="R545"/>
      <c r="S545"/>
      <c r="T545"/>
      <c r="U545"/>
      <c r="V545"/>
      <c r="W545"/>
      <c r="X545"/>
      <c r="Y545"/>
      <c r="Z545"/>
      <c r="AA545"/>
      <c r="AB545"/>
      <c r="AC545"/>
      <c r="AD545"/>
      <c r="AE545"/>
      <c r="AF545"/>
      <c r="AG545"/>
      <c r="AH545"/>
      <c r="AI545"/>
    </row>
    <row r="546" spans="1:35" s="33" customFormat="1" ht="15.75">
      <c r="A546" s="178"/>
      <c r="B546" s="166"/>
      <c r="C546" s="125"/>
      <c r="D546" s="125"/>
      <c r="E546" s="32"/>
      <c r="F546"/>
      <c r="G546"/>
      <c r="H546"/>
      <c r="I546"/>
      <c r="J546"/>
      <c r="K546"/>
      <c r="L546"/>
      <c r="M546"/>
      <c r="N546"/>
      <c r="O546"/>
      <c r="P546"/>
      <c r="Q546"/>
      <c r="R546"/>
      <c r="S546"/>
      <c r="T546"/>
      <c r="U546"/>
      <c r="V546"/>
      <c r="W546"/>
      <c r="X546"/>
      <c r="Y546"/>
      <c r="Z546"/>
      <c r="AA546"/>
      <c r="AB546"/>
      <c r="AC546"/>
      <c r="AD546"/>
      <c r="AE546"/>
      <c r="AF546"/>
      <c r="AG546"/>
      <c r="AH546"/>
      <c r="AI546"/>
    </row>
    <row r="547" spans="1:35" s="33" customFormat="1" ht="15.75">
      <c r="A547" s="178"/>
      <c r="B547" s="166"/>
      <c r="C547" s="125"/>
      <c r="D547" s="125"/>
      <c r="E547" s="32"/>
      <c r="F547"/>
      <c r="G547"/>
      <c r="H547"/>
      <c r="I547"/>
      <c r="J547"/>
      <c r="K547"/>
      <c r="L547"/>
      <c r="M547"/>
      <c r="N547"/>
      <c r="O547"/>
      <c r="P547"/>
      <c r="Q547"/>
      <c r="R547"/>
      <c r="S547"/>
      <c r="T547"/>
      <c r="U547"/>
      <c r="V547"/>
      <c r="W547"/>
      <c r="X547"/>
      <c r="Y547"/>
      <c r="Z547"/>
      <c r="AA547"/>
      <c r="AB547"/>
      <c r="AC547"/>
      <c r="AD547"/>
      <c r="AE547"/>
      <c r="AF547"/>
      <c r="AG547"/>
      <c r="AH547"/>
      <c r="AI547"/>
    </row>
    <row r="548" spans="1:35" s="33" customFormat="1" ht="15.75">
      <c r="A548" s="178"/>
      <c r="B548" s="166"/>
      <c r="C548" s="125"/>
      <c r="D548" s="125"/>
      <c r="E548" s="32"/>
      <c r="F548"/>
      <c r="G548"/>
      <c r="H548"/>
      <c r="I548"/>
      <c r="J548"/>
      <c r="K548"/>
      <c r="L548"/>
      <c r="M548"/>
      <c r="N548"/>
      <c r="O548"/>
      <c r="P548"/>
      <c r="Q548"/>
      <c r="R548"/>
      <c r="S548"/>
      <c r="T548"/>
      <c r="U548"/>
      <c r="V548"/>
      <c r="W548"/>
      <c r="X548"/>
      <c r="Y548"/>
      <c r="Z548"/>
      <c r="AA548"/>
      <c r="AB548"/>
      <c r="AC548"/>
      <c r="AD548"/>
      <c r="AE548"/>
      <c r="AF548"/>
      <c r="AG548"/>
      <c r="AH548"/>
      <c r="AI548"/>
    </row>
    <row r="549" spans="1:35" s="33" customFormat="1" ht="15.75">
      <c r="A549" s="178"/>
      <c r="B549" s="166"/>
      <c r="C549" s="125"/>
      <c r="D549" s="125"/>
      <c r="E549" s="32"/>
      <c r="F549"/>
      <c r="G549"/>
      <c r="H549"/>
      <c r="I549"/>
      <c r="J549"/>
      <c r="K549"/>
      <c r="L549"/>
      <c r="M549"/>
      <c r="N549"/>
      <c r="O549"/>
      <c r="P549"/>
      <c r="Q549"/>
      <c r="R549"/>
      <c r="S549"/>
      <c r="T549"/>
      <c r="U549"/>
      <c r="V549"/>
      <c r="W549"/>
      <c r="X549"/>
      <c r="Y549"/>
      <c r="Z549"/>
      <c r="AA549"/>
      <c r="AB549"/>
      <c r="AC549"/>
      <c r="AD549"/>
      <c r="AE549"/>
      <c r="AF549"/>
      <c r="AG549"/>
      <c r="AH549"/>
      <c r="AI549"/>
    </row>
    <row r="550" spans="1:35" s="33" customFormat="1" ht="15.75">
      <c r="A550" s="178"/>
      <c r="B550" s="166"/>
      <c r="C550" s="125"/>
      <c r="D550" s="125"/>
      <c r="E550" s="32"/>
      <c r="F550"/>
      <c r="G550"/>
      <c r="H550"/>
      <c r="I550"/>
      <c r="J550"/>
      <c r="K550"/>
      <c r="L550"/>
      <c r="M550"/>
      <c r="N550"/>
      <c r="O550"/>
      <c r="P550"/>
      <c r="Q550"/>
      <c r="R550"/>
      <c r="S550"/>
      <c r="T550"/>
      <c r="U550"/>
      <c r="V550"/>
      <c r="W550"/>
      <c r="X550"/>
      <c r="Y550"/>
      <c r="Z550"/>
      <c r="AA550"/>
      <c r="AB550"/>
      <c r="AC550"/>
      <c r="AD550"/>
      <c r="AE550"/>
      <c r="AF550"/>
      <c r="AG550"/>
      <c r="AH550"/>
      <c r="AI550"/>
    </row>
    <row r="551" spans="1:35" s="33" customFormat="1" ht="15.75">
      <c r="A551" s="178"/>
      <c r="B551" s="166"/>
      <c r="C551" s="125"/>
      <c r="D551" s="125"/>
      <c r="E551" s="32"/>
      <c r="F551"/>
      <c r="G551"/>
      <c r="H551"/>
      <c r="I551"/>
      <c r="J551"/>
      <c r="K551"/>
      <c r="L551"/>
      <c r="M551"/>
      <c r="N551"/>
      <c r="O551"/>
      <c r="P551"/>
      <c r="Q551"/>
      <c r="R551"/>
      <c r="S551"/>
      <c r="T551"/>
      <c r="U551"/>
      <c r="V551"/>
      <c r="W551"/>
      <c r="X551"/>
      <c r="Y551"/>
      <c r="Z551"/>
      <c r="AA551"/>
      <c r="AB551"/>
      <c r="AC551"/>
      <c r="AD551"/>
      <c r="AE551"/>
      <c r="AF551"/>
      <c r="AG551"/>
      <c r="AH551"/>
      <c r="AI551"/>
    </row>
    <row r="552" spans="1:35" s="33" customFormat="1" ht="15.75">
      <c r="A552" s="178"/>
      <c r="B552" s="166"/>
      <c r="C552" s="125"/>
      <c r="D552" s="125"/>
      <c r="E552" s="32"/>
      <c r="F552"/>
      <c r="G552"/>
      <c r="H552"/>
      <c r="I552"/>
      <c r="J552"/>
      <c r="K552"/>
      <c r="L552"/>
      <c r="M552"/>
      <c r="N552"/>
      <c r="O552"/>
      <c r="P552"/>
      <c r="Q552"/>
      <c r="R552"/>
      <c r="S552"/>
      <c r="T552"/>
      <c r="U552"/>
      <c r="V552"/>
      <c r="W552"/>
      <c r="X552"/>
      <c r="Y552"/>
      <c r="Z552"/>
      <c r="AA552"/>
      <c r="AB552"/>
      <c r="AC552"/>
      <c r="AD552"/>
      <c r="AE552"/>
      <c r="AF552"/>
      <c r="AG552"/>
      <c r="AH552"/>
      <c r="AI552"/>
    </row>
    <row r="553" spans="1:35" s="33" customFormat="1" ht="15.75">
      <c r="A553" s="178"/>
      <c r="B553" s="166"/>
      <c r="C553" s="125"/>
      <c r="D553" s="125"/>
      <c r="E553" s="32"/>
      <c r="F553"/>
      <c r="G553"/>
      <c r="H553"/>
      <c r="I553"/>
      <c r="J553"/>
      <c r="K553"/>
      <c r="L553"/>
      <c r="M553"/>
      <c r="N553"/>
      <c r="O553"/>
      <c r="P553"/>
      <c r="Q553"/>
      <c r="R553"/>
      <c r="S553"/>
      <c r="T553"/>
      <c r="U553"/>
      <c r="V553"/>
      <c r="W553"/>
      <c r="X553"/>
      <c r="Y553"/>
      <c r="Z553"/>
      <c r="AA553"/>
      <c r="AB553"/>
      <c r="AC553"/>
      <c r="AD553"/>
      <c r="AE553"/>
      <c r="AF553"/>
      <c r="AG553"/>
      <c r="AH553"/>
      <c r="AI553"/>
    </row>
    <row r="554" spans="1:35" s="33" customFormat="1" ht="15.75">
      <c r="A554" s="178"/>
      <c r="B554" s="166"/>
      <c r="C554" s="125"/>
      <c r="D554" s="125"/>
      <c r="E554" s="32"/>
      <c r="F554"/>
      <c r="G554"/>
      <c r="H554"/>
      <c r="I554"/>
      <c r="J554"/>
      <c r="K554"/>
      <c r="L554"/>
      <c r="M554"/>
      <c r="N554"/>
      <c r="O554"/>
      <c r="P554"/>
      <c r="Q554"/>
      <c r="R554"/>
      <c r="S554"/>
      <c r="T554"/>
      <c r="U554"/>
      <c r="V554"/>
      <c r="W554"/>
      <c r="X554"/>
      <c r="Y554"/>
      <c r="Z554"/>
      <c r="AA554"/>
      <c r="AB554"/>
      <c r="AC554"/>
      <c r="AD554"/>
      <c r="AE554"/>
      <c r="AF554"/>
      <c r="AG554"/>
      <c r="AH554"/>
      <c r="AI554"/>
    </row>
    <row r="555" spans="1:35" s="33" customFormat="1" ht="15.75">
      <c r="A555" s="178"/>
      <c r="B555" s="166"/>
      <c r="C555" s="125"/>
      <c r="D555" s="125"/>
      <c r="E555" s="32"/>
      <c r="F555"/>
      <c r="G555"/>
      <c r="H555"/>
      <c r="I555"/>
      <c r="J555"/>
      <c r="K555"/>
      <c r="L555"/>
      <c r="M555"/>
      <c r="N555"/>
      <c r="O555"/>
      <c r="P555"/>
      <c r="Q555"/>
      <c r="R555"/>
      <c r="S555"/>
      <c r="T555"/>
      <c r="U555"/>
      <c r="V555"/>
      <c r="W555"/>
      <c r="X555"/>
      <c r="Y555"/>
      <c r="Z555"/>
      <c r="AA555"/>
      <c r="AB555"/>
      <c r="AC555"/>
      <c r="AD555"/>
      <c r="AE555"/>
      <c r="AF555"/>
      <c r="AG555"/>
      <c r="AH555"/>
      <c r="AI555"/>
    </row>
    <row r="556" spans="1:35" s="33" customFormat="1" ht="15.75">
      <c r="A556" s="178"/>
      <c r="B556" s="166"/>
      <c r="C556" s="125"/>
      <c r="D556" s="125"/>
      <c r="E556" s="32"/>
      <c r="F556"/>
      <c r="G556"/>
      <c r="H556"/>
      <c r="I556"/>
      <c r="J556"/>
      <c r="K556"/>
      <c r="L556"/>
      <c r="M556"/>
      <c r="N556"/>
      <c r="O556"/>
      <c r="P556"/>
      <c r="Q556"/>
      <c r="R556"/>
      <c r="S556"/>
      <c r="T556"/>
      <c r="U556"/>
      <c r="V556"/>
      <c r="W556"/>
      <c r="X556"/>
      <c r="Y556"/>
      <c r="Z556"/>
      <c r="AA556"/>
      <c r="AB556"/>
      <c r="AC556"/>
      <c r="AD556"/>
      <c r="AE556"/>
      <c r="AF556"/>
      <c r="AG556"/>
      <c r="AH556"/>
      <c r="AI556"/>
    </row>
    <row r="557" spans="1:35" s="33" customFormat="1" ht="15.75">
      <c r="A557" s="178"/>
      <c r="B557" s="166"/>
      <c r="C557" s="125"/>
      <c r="D557" s="125"/>
      <c r="E557" s="32"/>
      <c r="F557"/>
      <c r="G557"/>
      <c r="H557"/>
      <c r="I557"/>
      <c r="J557"/>
      <c r="K557"/>
      <c r="L557"/>
      <c r="M557"/>
      <c r="N557"/>
      <c r="O557"/>
      <c r="P557"/>
      <c r="Q557"/>
      <c r="R557"/>
      <c r="S557"/>
      <c r="T557"/>
      <c r="U557"/>
      <c r="V557"/>
      <c r="W557"/>
      <c r="X557"/>
      <c r="Y557"/>
      <c r="Z557"/>
      <c r="AA557"/>
      <c r="AB557"/>
      <c r="AC557"/>
      <c r="AD557"/>
      <c r="AE557"/>
      <c r="AF557"/>
      <c r="AG557"/>
      <c r="AH557"/>
      <c r="AI557"/>
    </row>
    <row r="558" spans="1:35" s="33" customFormat="1" ht="15.75">
      <c r="A558" s="178"/>
      <c r="B558" s="166"/>
      <c r="C558" s="125"/>
      <c r="D558" s="125"/>
      <c r="E558" s="32"/>
      <c r="F558"/>
      <c r="G558"/>
      <c r="H558"/>
      <c r="I558"/>
      <c r="J558"/>
      <c r="K558"/>
      <c r="L558"/>
      <c r="M558"/>
      <c r="N558"/>
      <c r="O558"/>
      <c r="P558"/>
      <c r="Q558"/>
      <c r="R558"/>
      <c r="S558"/>
      <c r="T558"/>
      <c r="U558"/>
      <c r="V558"/>
      <c r="W558"/>
      <c r="X558"/>
      <c r="Y558"/>
      <c r="Z558"/>
      <c r="AA558"/>
      <c r="AB558"/>
      <c r="AC558"/>
      <c r="AD558"/>
      <c r="AE558"/>
      <c r="AF558"/>
      <c r="AG558"/>
      <c r="AH558"/>
      <c r="AI558"/>
    </row>
    <row r="559" spans="1:35" s="33" customFormat="1" ht="15.75">
      <c r="A559" s="178"/>
      <c r="B559" s="166"/>
      <c r="C559" s="125"/>
      <c r="D559" s="125"/>
      <c r="E559" s="32"/>
      <c r="F559"/>
      <c r="G559"/>
      <c r="H559"/>
      <c r="I559"/>
      <c r="J559"/>
      <c r="K559"/>
      <c r="L559"/>
      <c r="M559"/>
      <c r="N559"/>
      <c r="O559"/>
      <c r="P559"/>
      <c r="Q559"/>
      <c r="R559"/>
      <c r="S559"/>
      <c r="T559"/>
      <c r="U559"/>
      <c r="V559"/>
      <c r="W559"/>
      <c r="X559"/>
      <c r="Y559"/>
      <c r="Z559"/>
      <c r="AA559"/>
      <c r="AB559"/>
      <c r="AC559"/>
      <c r="AD559"/>
      <c r="AE559"/>
      <c r="AF559"/>
      <c r="AG559"/>
      <c r="AH559"/>
      <c r="AI559"/>
    </row>
    <row r="560" spans="1:35" s="33" customFormat="1" ht="15.75">
      <c r="A560" s="178"/>
      <c r="B560" s="166"/>
      <c r="C560" s="125"/>
      <c r="D560" s="125"/>
      <c r="E560" s="32"/>
      <c r="F560"/>
      <c r="G560"/>
      <c r="H560"/>
      <c r="I560"/>
      <c r="J560"/>
      <c r="K560"/>
      <c r="L560"/>
      <c r="M560"/>
      <c r="N560"/>
      <c r="O560"/>
      <c r="P560"/>
      <c r="Q560"/>
      <c r="R560"/>
      <c r="S560"/>
      <c r="T560"/>
      <c r="U560"/>
      <c r="V560"/>
      <c r="W560"/>
      <c r="X560"/>
      <c r="Y560"/>
      <c r="Z560"/>
      <c r="AA560"/>
      <c r="AB560"/>
      <c r="AC560"/>
      <c r="AD560"/>
      <c r="AE560"/>
      <c r="AF560"/>
      <c r="AG560"/>
      <c r="AH560"/>
      <c r="AI560"/>
    </row>
    <row r="561" spans="1:35" s="33" customFormat="1" ht="15.75">
      <c r="A561" s="178"/>
      <c r="B561" s="166"/>
      <c r="C561" s="125"/>
      <c r="D561" s="125"/>
      <c r="E561" s="32"/>
      <c r="F561"/>
      <c r="G561"/>
      <c r="H561"/>
      <c r="I561"/>
      <c r="J561"/>
      <c r="K561"/>
      <c r="L561"/>
      <c r="M561"/>
      <c r="N561"/>
      <c r="O561"/>
      <c r="P561"/>
      <c r="Q561"/>
      <c r="R561"/>
      <c r="S561"/>
      <c r="T561"/>
      <c r="U561"/>
      <c r="V561"/>
      <c r="W561"/>
      <c r="X561"/>
      <c r="Y561"/>
      <c r="Z561"/>
      <c r="AA561"/>
      <c r="AB561"/>
      <c r="AC561"/>
      <c r="AD561"/>
      <c r="AE561"/>
      <c r="AF561"/>
      <c r="AG561"/>
      <c r="AH561"/>
      <c r="AI561"/>
    </row>
    <row r="562" spans="1:35" s="33" customFormat="1" ht="15.75">
      <c r="A562" s="178"/>
      <c r="B562" s="166"/>
      <c r="C562" s="125"/>
      <c r="D562" s="125"/>
      <c r="E562" s="32"/>
      <c r="F562"/>
      <c r="G562"/>
      <c r="H562"/>
      <c r="I562"/>
      <c r="J562"/>
      <c r="K562"/>
      <c r="L562"/>
      <c r="M562"/>
      <c r="N562"/>
      <c r="O562"/>
      <c r="P562"/>
      <c r="Q562"/>
      <c r="R562"/>
      <c r="S562"/>
      <c r="T562"/>
      <c r="U562"/>
      <c r="V562"/>
      <c r="W562"/>
      <c r="X562"/>
      <c r="Y562"/>
      <c r="Z562"/>
      <c r="AA562"/>
      <c r="AB562"/>
      <c r="AC562"/>
      <c r="AD562"/>
      <c r="AE562"/>
      <c r="AF562"/>
      <c r="AG562"/>
      <c r="AH562"/>
      <c r="AI562"/>
    </row>
    <row r="563" spans="1:35" s="33" customFormat="1" ht="15.75">
      <c r="A563" s="178"/>
      <c r="B563" s="166"/>
      <c r="C563" s="125"/>
      <c r="D563" s="125"/>
      <c r="E563" s="32"/>
      <c r="F563"/>
      <c r="G563"/>
      <c r="H563"/>
      <c r="I563"/>
      <c r="J563"/>
      <c r="K563"/>
      <c r="L563"/>
      <c r="M563"/>
      <c r="N563"/>
      <c r="O563"/>
      <c r="P563"/>
      <c r="Q563"/>
      <c r="R563"/>
      <c r="S563"/>
      <c r="T563"/>
      <c r="U563"/>
      <c r="V563"/>
      <c r="W563"/>
      <c r="X563"/>
      <c r="Y563"/>
      <c r="Z563"/>
      <c r="AA563"/>
      <c r="AB563"/>
      <c r="AC563"/>
      <c r="AD563"/>
      <c r="AE563"/>
      <c r="AF563"/>
      <c r="AG563"/>
      <c r="AH563"/>
      <c r="AI563"/>
    </row>
    <row r="564" spans="1:35" s="33" customFormat="1" ht="15.75">
      <c r="A564" s="178"/>
      <c r="B564" s="166"/>
      <c r="C564" s="125"/>
      <c r="D564" s="125"/>
      <c r="E564" s="32"/>
      <c r="F564"/>
      <c r="G564"/>
      <c r="H564"/>
      <c r="I564"/>
      <c r="J564"/>
      <c r="K564"/>
      <c r="L564"/>
      <c r="M564"/>
      <c r="N564"/>
      <c r="O564"/>
      <c r="P564"/>
      <c r="Q564"/>
      <c r="R564"/>
      <c r="S564"/>
      <c r="T564"/>
      <c r="U564"/>
      <c r="V564"/>
      <c r="W564"/>
      <c r="X564"/>
      <c r="Y564"/>
      <c r="Z564"/>
      <c r="AA564"/>
      <c r="AB564"/>
      <c r="AC564"/>
      <c r="AD564"/>
      <c r="AE564"/>
      <c r="AF564"/>
      <c r="AG564"/>
      <c r="AH564"/>
      <c r="AI564"/>
    </row>
    <row r="565" spans="1:35" s="33" customFormat="1" ht="15.75">
      <c r="A565" s="178"/>
      <c r="B565" s="166"/>
      <c r="C565" s="125"/>
      <c r="D565" s="125"/>
      <c r="E565" s="32"/>
      <c r="F565"/>
      <c r="G565"/>
      <c r="H565"/>
      <c r="I565"/>
      <c r="J565"/>
      <c r="K565"/>
      <c r="L565"/>
      <c r="M565"/>
      <c r="N565"/>
      <c r="O565"/>
      <c r="P565"/>
      <c r="Q565"/>
      <c r="R565"/>
      <c r="S565"/>
      <c r="T565"/>
      <c r="U565"/>
      <c r="V565"/>
      <c r="W565"/>
      <c r="X565"/>
      <c r="Y565"/>
      <c r="Z565"/>
      <c r="AA565"/>
      <c r="AB565"/>
      <c r="AC565"/>
      <c r="AD565"/>
      <c r="AE565"/>
      <c r="AF565"/>
      <c r="AG565"/>
      <c r="AH565"/>
      <c r="AI565"/>
    </row>
    <row r="566" spans="1:35" s="33" customFormat="1" ht="15.75">
      <c r="A566" s="178"/>
      <c r="B566" s="166"/>
      <c r="C566" s="125"/>
      <c r="D566" s="125"/>
      <c r="E566" s="32"/>
      <c r="F566"/>
      <c r="G566"/>
      <c r="H566"/>
      <c r="I566"/>
      <c r="J566"/>
      <c r="K566"/>
      <c r="L566"/>
      <c r="M566"/>
      <c r="N566"/>
      <c r="O566"/>
      <c r="P566"/>
      <c r="Q566"/>
      <c r="R566"/>
      <c r="S566"/>
      <c r="T566"/>
      <c r="U566"/>
      <c r="V566"/>
      <c r="W566"/>
      <c r="X566"/>
      <c r="Y566"/>
      <c r="Z566"/>
      <c r="AA566"/>
      <c r="AB566"/>
      <c r="AC566"/>
      <c r="AD566"/>
      <c r="AE566"/>
      <c r="AF566"/>
      <c r="AG566"/>
      <c r="AH566"/>
      <c r="AI566"/>
    </row>
    <row r="567" spans="1:35" s="33" customFormat="1" ht="15.75">
      <c r="A567" s="178"/>
      <c r="B567" s="166"/>
      <c r="C567" s="125"/>
      <c r="D567" s="125"/>
      <c r="E567" s="32"/>
      <c r="F567"/>
      <c r="G567"/>
      <c r="H567"/>
      <c r="I567"/>
      <c r="J567"/>
      <c r="K567"/>
      <c r="L567"/>
      <c r="M567"/>
      <c r="N567"/>
      <c r="O567"/>
      <c r="P567"/>
      <c r="Q567"/>
      <c r="R567"/>
      <c r="S567"/>
      <c r="T567"/>
      <c r="U567"/>
      <c r="V567"/>
      <c r="W567"/>
      <c r="X567"/>
      <c r="Y567"/>
      <c r="Z567"/>
      <c r="AA567"/>
      <c r="AB567"/>
      <c r="AC567"/>
      <c r="AD567"/>
      <c r="AE567"/>
      <c r="AF567"/>
      <c r="AG567"/>
      <c r="AH567"/>
      <c r="AI567"/>
    </row>
    <row r="568" spans="1:35" s="33" customFormat="1" ht="15.75">
      <c r="A568" s="178"/>
      <c r="B568" s="166"/>
      <c r="C568" s="125"/>
      <c r="D568" s="125"/>
      <c r="E568" s="32"/>
      <c r="F568"/>
      <c r="G568"/>
      <c r="H568"/>
      <c r="I568"/>
      <c r="J568"/>
      <c r="K568"/>
      <c r="L568"/>
      <c r="M568"/>
      <c r="N568"/>
      <c r="O568"/>
      <c r="P568"/>
      <c r="Q568"/>
      <c r="R568"/>
      <c r="S568"/>
      <c r="T568"/>
      <c r="U568"/>
      <c r="V568"/>
      <c r="W568"/>
      <c r="X568"/>
      <c r="Y568"/>
      <c r="Z568"/>
      <c r="AA568"/>
      <c r="AB568"/>
      <c r="AC568"/>
      <c r="AD568"/>
      <c r="AE568"/>
      <c r="AF568"/>
      <c r="AG568"/>
      <c r="AH568"/>
      <c r="AI568"/>
    </row>
    <row r="569" spans="1:35" s="33" customFormat="1" ht="15.75">
      <c r="A569" s="178"/>
      <c r="B569" s="166"/>
      <c r="C569" s="125"/>
      <c r="D569" s="125"/>
      <c r="E569" s="32"/>
      <c r="F569"/>
      <c r="G569"/>
      <c r="H569"/>
      <c r="I569"/>
      <c r="J569"/>
      <c r="K569"/>
      <c r="L569"/>
      <c r="M569"/>
      <c r="N569"/>
      <c r="O569"/>
      <c r="P569"/>
      <c r="Q569"/>
      <c r="R569"/>
      <c r="S569"/>
      <c r="T569"/>
      <c r="U569"/>
      <c r="V569"/>
      <c r="W569"/>
      <c r="X569"/>
      <c r="Y569"/>
      <c r="Z569"/>
      <c r="AA569"/>
      <c r="AB569"/>
      <c r="AC569"/>
      <c r="AD569"/>
      <c r="AE569"/>
      <c r="AF569"/>
      <c r="AG569"/>
      <c r="AH569"/>
      <c r="AI569"/>
    </row>
    <row r="570" spans="1:35" s="33" customFormat="1" ht="15.75">
      <c r="A570" s="178"/>
      <c r="B570" s="166"/>
      <c r="C570" s="125"/>
      <c r="D570" s="125"/>
      <c r="E570" s="32"/>
      <c r="F570"/>
      <c r="G570"/>
      <c r="H570"/>
      <c r="I570"/>
      <c r="J570"/>
      <c r="K570"/>
      <c r="L570"/>
      <c r="M570"/>
      <c r="N570"/>
      <c r="O570"/>
      <c r="P570"/>
      <c r="Q570"/>
      <c r="R570"/>
      <c r="S570"/>
      <c r="T570"/>
      <c r="U570"/>
      <c r="V570"/>
      <c r="W570"/>
      <c r="X570"/>
      <c r="Y570"/>
      <c r="Z570"/>
      <c r="AA570"/>
      <c r="AB570"/>
      <c r="AC570"/>
      <c r="AD570"/>
      <c r="AE570"/>
      <c r="AF570"/>
      <c r="AG570"/>
      <c r="AH570"/>
      <c r="AI570"/>
    </row>
    <row r="571" spans="1:35" s="33" customFormat="1" ht="15.75">
      <c r="A571" s="178"/>
      <c r="B571" s="166"/>
      <c r="C571" s="125"/>
      <c r="D571" s="125"/>
      <c r="E571" s="32"/>
      <c r="F571"/>
      <c r="G571"/>
      <c r="H571"/>
      <c r="I571"/>
      <c r="J571"/>
      <c r="K571"/>
      <c r="L571"/>
      <c r="M571"/>
      <c r="N571"/>
      <c r="O571"/>
      <c r="P571"/>
      <c r="Q571"/>
      <c r="R571"/>
      <c r="S571"/>
      <c r="T571"/>
      <c r="U571"/>
      <c r="V571"/>
      <c r="W571"/>
      <c r="X571"/>
      <c r="Y571"/>
      <c r="Z571"/>
      <c r="AA571"/>
      <c r="AB571"/>
      <c r="AC571"/>
      <c r="AD571"/>
      <c r="AE571"/>
      <c r="AF571"/>
      <c r="AG571"/>
      <c r="AH571"/>
      <c r="AI571"/>
    </row>
    <row r="572" spans="1:35" s="33" customFormat="1" ht="15.75">
      <c r="A572" s="178"/>
      <c r="B572" s="166"/>
      <c r="C572" s="125"/>
      <c r="D572" s="125"/>
      <c r="E572" s="32"/>
      <c r="F572"/>
      <c r="G572"/>
      <c r="H572"/>
      <c r="I572"/>
      <c r="J572"/>
      <c r="K572"/>
      <c r="L572"/>
      <c r="M572"/>
      <c r="N572"/>
      <c r="O572"/>
      <c r="P572"/>
      <c r="Q572"/>
      <c r="R572"/>
      <c r="S572"/>
      <c r="T572"/>
      <c r="U572"/>
      <c r="V572"/>
      <c r="W572"/>
      <c r="X572"/>
      <c r="Y572"/>
      <c r="Z572"/>
      <c r="AA572"/>
      <c r="AB572"/>
      <c r="AC572"/>
      <c r="AD572"/>
      <c r="AE572"/>
      <c r="AF572"/>
      <c r="AG572"/>
      <c r="AH572"/>
      <c r="AI572"/>
    </row>
    <row r="573" spans="1:35" s="33" customFormat="1" ht="15.75">
      <c r="A573" s="178"/>
      <c r="B573" s="166"/>
      <c r="C573" s="125"/>
      <c r="D573" s="125"/>
      <c r="E573" s="32"/>
      <c r="F573"/>
      <c r="G573"/>
      <c r="H573"/>
      <c r="I573"/>
      <c r="J573"/>
      <c r="K573"/>
      <c r="L573"/>
      <c r="M573"/>
      <c r="N573"/>
      <c r="O573"/>
      <c r="P573"/>
      <c r="Q573"/>
      <c r="R573"/>
      <c r="S573"/>
      <c r="T573"/>
      <c r="U573"/>
      <c r="V573"/>
      <c r="W573"/>
      <c r="X573"/>
      <c r="Y573"/>
      <c r="Z573"/>
      <c r="AA573"/>
      <c r="AB573"/>
      <c r="AC573"/>
      <c r="AD573"/>
      <c r="AE573"/>
      <c r="AF573"/>
      <c r="AG573"/>
      <c r="AH573"/>
      <c r="AI573"/>
    </row>
    <row r="574" spans="1:35" s="33" customFormat="1" ht="15.75">
      <c r="A574" s="178"/>
      <c r="B574" s="166"/>
      <c r="C574" s="125"/>
      <c r="D574" s="125"/>
      <c r="E574" s="32"/>
      <c r="F574"/>
      <c r="G574"/>
      <c r="H574"/>
      <c r="I574"/>
      <c r="J574"/>
      <c r="K574"/>
      <c r="L574"/>
      <c r="M574"/>
      <c r="N574"/>
      <c r="O574"/>
      <c r="P574"/>
      <c r="Q574"/>
      <c r="R574"/>
      <c r="S574"/>
      <c r="T574"/>
      <c r="U574"/>
      <c r="V574"/>
      <c r="W574"/>
      <c r="X574"/>
      <c r="Y574"/>
      <c r="Z574"/>
      <c r="AA574"/>
      <c r="AB574"/>
      <c r="AC574"/>
      <c r="AD574"/>
      <c r="AE574"/>
      <c r="AF574"/>
      <c r="AG574"/>
      <c r="AH574"/>
      <c r="AI574"/>
    </row>
    <row r="575" spans="1:35" s="33" customFormat="1" ht="15.75">
      <c r="A575" s="178"/>
      <c r="B575" s="166"/>
      <c r="C575" s="125"/>
      <c r="D575" s="125"/>
      <c r="E575" s="32"/>
      <c r="F575"/>
      <c r="G575"/>
      <c r="H575"/>
      <c r="I575"/>
      <c r="J575"/>
      <c r="K575"/>
      <c r="L575"/>
      <c r="M575"/>
      <c r="N575"/>
      <c r="O575"/>
      <c r="P575"/>
      <c r="Q575"/>
      <c r="R575"/>
      <c r="S575"/>
      <c r="T575"/>
      <c r="U575"/>
      <c r="V575"/>
      <c r="W575"/>
      <c r="X575"/>
      <c r="Y575"/>
      <c r="Z575"/>
      <c r="AA575"/>
      <c r="AB575"/>
      <c r="AC575"/>
      <c r="AD575"/>
      <c r="AE575"/>
      <c r="AF575"/>
      <c r="AG575"/>
      <c r="AH575"/>
      <c r="AI575"/>
    </row>
    <row r="576" spans="1:35" s="33" customFormat="1" ht="15.75">
      <c r="A576" s="178"/>
      <c r="B576" s="166"/>
      <c r="C576" s="125"/>
      <c r="D576" s="125"/>
      <c r="E576" s="32"/>
      <c r="F576"/>
      <c r="G576"/>
      <c r="H576"/>
      <c r="I576"/>
      <c r="J576"/>
      <c r="K576"/>
      <c r="L576"/>
      <c r="M576"/>
      <c r="N576"/>
      <c r="O576"/>
      <c r="P576"/>
      <c r="Q576"/>
      <c r="R576"/>
      <c r="S576"/>
      <c r="T576"/>
      <c r="U576"/>
      <c r="V576"/>
      <c r="W576"/>
      <c r="X576"/>
      <c r="Y576"/>
      <c r="Z576"/>
      <c r="AA576"/>
      <c r="AB576"/>
      <c r="AC576"/>
      <c r="AD576"/>
      <c r="AE576"/>
      <c r="AF576"/>
      <c r="AG576"/>
      <c r="AH576"/>
      <c r="AI576"/>
    </row>
    <row r="577" spans="1:35" s="33" customFormat="1" ht="15.75">
      <c r="A577" s="178"/>
      <c r="B577" s="166"/>
      <c r="C577" s="125"/>
      <c r="D577" s="125"/>
      <c r="E577" s="32"/>
      <c r="F577"/>
      <c r="G577"/>
      <c r="H577"/>
      <c r="I577"/>
      <c r="J577"/>
      <c r="K577"/>
      <c r="L577"/>
      <c r="M577"/>
      <c r="N577"/>
      <c r="O577"/>
      <c r="P577"/>
      <c r="Q577"/>
      <c r="R577"/>
      <c r="S577"/>
      <c r="T577"/>
      <c r="U577"/>
      <c r="V577"/>
      <c r="W577"/>
      <c r="X577"/>
      <c r="Y577"/>
      <c r="Z577"/>
      <c r="AA577"/>
      <c r="AB577"/>
      <c r="AC577"/>
      <c r="AD577"/>
      <c r="AE577"/>
      <c r="AF577"/>
      <c r="AG577"/>
      <c r="AH577"/>
      <c r="AI577"/>
    </row>
    <row r="578" spans="1:35" s="33" customFormat="1" ht="15.75">
      <c r="A578" s="178"/>
      <c r="B578" s="166"/>
      <c r="C578" s="125"/>
      <c r="D578" s="125"/>
      <c r="E578" s="32"/>
      <c r="F578"/>
      <c r="G578"/>
      <c r="H578"/>
      <c r="I578"/>
      <c r="J578"/>
      <c r="K578"/>
      <c r="L578"/>
      <c r="M578"/>
      <c r="N578"/>
      <c r="O578"/>
      <c r="P578"/>
      <c r="Q578"/>
      <c r="R578"/>
      <c r="S578"/>
      <c r="T578"/>
      <c r="U578"/>
      <c r="V578"/>
      <c r="W578"/>
      <c r="X578"/>
      <c r="Y578"/>
      <c r="Z578"/>
      <c r="AA578"/>
      <c r="AB578"/>
      <c r="AC578"/>
      <c r="AD578"/>
      <c r="AE578"/>
      <c r="AF578"/>
      <c r="AG578"/>
      <c r="AH578"/>
      <c r="AI578"/>
    </row>
    <row r="579" spans="1:35" s="33" customFormat="1" ht="15.75">
      <c r="A579" s="178"/>
      <c r="B579" s="166"/>
      <c r="C579" s="125"/>
      <c r="D579" s="125"/>
      <c r="E579" s="32"/>
      <c r="F579"/>
      <c r="G579"/>
      <c r="H579"/>
      <c r="I579"/>
      <c r="J579"/>
      <c r="K579"/>
      <c r="L579"/>
      <c r="M579"/>
      <c r="N579"/>
      <c r="O579"/>
      <c r="P579"/>
      <c r="Q579"/>
      <c r="R579"/>
      <c r="S579"/>
      <c r="T579"/>
      <c r="U579"/>
      <c r="V579"/>
      <c r="W579"/>
      <c r="X579"/>
      <c r="Y579"/>
      <c r="Z579"/>
      <c r="AA579"/>
      <c r="AB579"/>
      <c r="AC579"/>
      <c r="AD579"/>
      <c r="AE579"/>
      <c r="AF579"/>
      <c r="AG579"/>
      <c r="AH579"/>
      <c r="AI579"/>
    </row>
    <row r="580" spans="1:35" s="33" customFormat="1" ht="15.75">
      <c r="A580" s="178"/>
      <c r="B580" s="166"/>
      <c r="C580" s="125"/>
      <c r="D580" s="125"/>
      <c r="E580" s="32"/>
      <c r="F580"/>
      <c r="G580"/>
      <c r="H580"/>
      <c r="I580"/>
      <c r="J580"/>
      <c r="K580"/>
      <c r="L580"/>
      <c r="M580"/>
      <c r="N580"/>
      <c r="O580"/>
      <c r="P580"/>
      <c r="Q580"/>
      <c r="R580"/>
      <c r="S580"/>
      <c r="T580"/>
      <c r="U580"/>
      <c r="V580"/>
      <c r="W580"/>
      <c r="X580"/>
      <c r="Y580"/>
      <c r="Z580"/>
      <c r="AA580"/>
      <c r="AB580"/>
      <c r="AC580"/>
      <c r="AD580"/>
      <c r="AE580"/>
      <c r="AF580"/>
      <c r="AG580"/>
      <c r="AH580"/>
      <c r="AI580"/>
    </row>
    <row r="581" spans="1:35" s="33" customFormat="1" ht="15.75">
      <c r="A581" s="178"/>
      <c r="B581" s="166"/>
      <c r="C581" s="125"/>
      <c r="D581" s="125"/>
      <c r="E581" s="32"/>
      <c r="F581"/>
      <c r="G581"/>
      <c r="H581"/>
      <c r="I581"/>
      <c r="J581"/>
      <c r="K581"/>
      <c r="L581"/>
      <c r="M581"/>
      <c r="N581"/>
      <c r="O581"/>
      <c r="P581"/>
      <c r="Q581"/>
      <c r="R581"/>
      <c r="S581"/>
      <c r="T581"/>
      <c r="U581"/>
      <c r="V581"/>
      <c r="W581"/>
      <c r="X581"/>
      <c r="Y581"/>
      <c r="Z581"/>
      <c r="AA581"/>
      <c r="AB581"/>
      <c r="AC581"/>
      <c r="AD581"/>
      <c r="AE581"/>
      <c r="AF581"/>
      <c r="AG581"/>
      <c r="AH581"/>
      <c r="AI581"/>
    </row>
    <row r="582" spans="1:35" s="33" customFormat="1" ht="15.75">
      <c r="A582" s="178"/>
      <c r="B582" s="166"/>
      <c r="C582" s="125"/>
      <c r="D582" s="125"/>
      <c r="E582" s="32"/>
      <c r="F582"/>
      <c r="G582"/>
      <c r="H582"/>
      <c r="I582"/>
      <c r="J582"/>
      <c r="K582"/>
      <c r="L582"/>
      <c r="M582"/>
      <c r="N582"/>
      <c r="O582"/>
      <c r="P582"/>
      <c r="Q582"/>
      <c r="R582"/>
      <c r="S582"/>
      <c r="T582"/>
      <c r="U582"/>
      <c r="V582"/>
      <c r="W582"/>
      <c r="X582"/>
      <c r="Y582"/>
      <c r="Z582"/>
      <c r="AA582"/>
      <c r="AB582"/>
      <c r="AC582"/>
      <c r="AD582"/>
      <c r="AE582"/>
      <c r="AF582"/>
      <c r="AG582"/>
      <c r="AH582"/>
      <c r="AI582"/>
    </row>
    <row r="583" spans="1:35" s="33" customFormat="1" ht="15.75">
      <c r="A583" s="178"/>
      <c r="B583" s="166"/>
      <c r="C583" s="125"/>
      <c r="D583" s="125"/>
      <c r="E583" s="32"/>
      <c r="F583"/>
      <c r="G583"/>
      <c r="H583"/>
      <c r="I583"/>
      <c r="J583"/>
      <c r="K583"/>
      <c r="L583"/>
      <c r="M583"/>
      <c r="N583"/>
      <c r="O583"/>
      <c r="P583"/>
      <c r="Q583"/>
      <c r="R583"/>
      <c r="S583"/>
      <c r="T583"/>
      <c r="U583"/>
      <c r="V583"/>
      <c r="W583"/>
      <c r="X583"/>
      <c r="Y583"/>
      <c r="Z583"/>
      <c r="AA583"/>
      <c r="AB583"/>
      <c r="AC583"/>
      <c r="AD583"/>
      <c r="AE583"/>
      <c r="AF583"/>
      <c r="AG583"/>
      <c r="AH583"/>
      <c r="AI583"/>
    </row>
    <row r="584" spans="1:35" s="33" customFormat="1" ht="15.75">
      <c r="A584" s="178"/>
      <c r="B584" s="166"/>
      <c r="C584" s="125"/>
      <c r="D584" s="125"/>
      <c r="E584" s="32"/>
      <c r="F584"/>
      <c r="G584"/>
      <c r="H584"/>
      <c r="I584"/>
      <c r="J584"/>
      <c r="K584"/>
      <c r="L584"/>
      <c r="M584"/>
      <c r="N584"/>
      <c r="O584"/>
      <c r="P584"/>
      <c r="Q584"/>
      <c r="R584"/>
      <c r="S584"/>
      <c r="T584"/>
      <c r="U584"/>
      <c r="V584"/>
      <c r="W584"/>
      <c r="X584"/>
      <c r="Y584"/>
      <c r="Z584"/>
      <c r="AA584"/>
      <c r="AB584"/>
      <c r="AC584"/>
      <c r="AD584"/>
      <c r="AE584"/>
      <c r="AF584"/>
      <c r="AG584"/>
      <c r="AH584"/>
      <c r="AI584"/>
    </row>
    <row r="585" spans="1:35" s="33" customFormat="1" ht="15.75">
      <c r="A585" s="178"/>
      <c r="B585" s="166"/>
      <c r="C585" s="125"/>
      <c r="D585" s="125"/>
      <c r="E585" s="32"/>
      <c r="F585"/>
      <c r="G585"/>
      <c r="H585"/>
      <c r="I585"/>
      <c r="J585"/>
      <c r="K585"/>
      <c r="L585"/>
      <c r="M585"/>
      <c r="N585"/>
      <c r="O585"/>
      <c r="P585"/>
      <c r="Q585"/>
      <c r="R585"/>
      <c r="S585"/>
      <c r="T585"/>
      <c r="U585"/>
      <c r="V585"/>
      <c r="W585"/>
      <c r="X585"/>
      <c r="Y585"/>
      <c r="Z585"/>
      <c r="AA585"/>
      <c r="AB585"/>
      <c r="AC585"/>
      <c r="AD585"/>
      <c r="AE585"/>
      <c r="AF585"/>
      <c r="AG585"/>
      <c r="AH585"/>
      <c r="AI585"/>
    </row>
    <row r="586" spans="1:35" s="33" customFormat="1" ht="15.75">
      <c r="A586" s="178"/>
      <c r="B586" s="166"/>
      <c r="C586" s="125"/>
      <c r="D586" s="125"/>
      <c r="E586" s="32"/>
      <c r="F586"/>
      <c r="G586"/>
      <c r="H586"/>
      <c r="I586"/>
      <c r="J586"/>
      <c r="K586"/>
      <c r="L586"/>
      <c r="M586"/>
      <c r="N586"/>
      <c r="O586"/>
      <c r="P586"/>
      <c r="Q586"/>
      <c r="R586"/>
      <c r="S586"/>
      <c r="T586"/>
      <c r="U586"/>
      <c r="V586"/>
      <c r="W586"/>
      <c r="X586"/>
      <c r="Y586"/>
      <c r="Z586"/>
      <c r="AA586"/>
      <c r="AB586"/>
      <c r="AC586"/>
      <c r="AD586"/>
      <c r="AE586"/>
      <c r="AF586"/>
      <c r="AG586"/>
      <c r="AH586"/>
      <c r="AI586"/>
    </row>
    <row r="587" spans="1:35" s="33" customFormat="1" ht="15.75">
      <c r="A587" s="178"/>
      <c r="B587" s="166"/>
      <c r="C587" s="125"/>
      <c r="D587" s="125"/>
      <c r="E587" s="32"/>
      <c r="F587"/>
      <c r="G587"/>
      <c r="H587"/>
      <c r="I587"/>
      <c r="J587"/>
      <c r="K587"/>
      <c r="L587"/>
      <c r="M587"/>
      <c r="N587"/>
      <c r="O587"/>
      <c r="P587"/>
      <c r="Q587"/>
      <c r="R587"/>
      <c r="S587"/>
      <c r="T587"/>
      <c r="U587"/>
      <c r="V587"/>
      <c r="W587"/>
      <c r="X587"/>
      <c r="Y587"/>
      <c r="Z587"/>
      <c r="AA587"/>
      <c r="AB587"/>
      <c r="AC587"/>
      <c r="AD587"/>
      <c r="AE587"/>
      <c r="AF587"/>
      <c r="AG587"/>
      <c r="AH587"/>
      <c r="AI587"/>
    </row>
    <row r="588" spans="1:35" s="33" customFormat="1" ht="15.75">
      <c r="A588" s="178"/>
      <c r="B588" s="166"/>
      <c r="C588" s="125"/>
      <c r="D588" s="125"/>
      <c r="E588" s="32"/>
      <c r="F588"/>
      <c r="G588"/>
      <c r="H588"/>
      <c r="I588"/>
      <c r="J588"/>
      <c r="K588"/>
      <c r="L588"/>
      <c r="M588"/>
      <c r="N588"/>
      <c r="O588"/>
      <c r="P588"/>
      <c r="Q588"/>
      <c r="R588"/>
      <c r="S588"/>
      <c r="T588"/>
      <c r="U588"/>
      <c r="V588"/>
      <c r="W588"/>
      <c r="X588"/>
      <c r="Y588"/>
      <c r="Z588"/>
      <c r="AA588"/>
      <c r="AB588"/>
      <c r="AC588"/>
      <c r="AD588"/>
      <c r="AE588"/>
      <c r="AF588"/>
      <c r="AG588"/>
      <c r="AH588"/>
      <c r="AI588"/>
    </row>
    <row r="589" spans="1:35" s="33" customFormat="1" ht="15.75">
      <c r="A589" s="178"/>
      <c r="B589" s="166"/>
      <c r="C589" s="125"/>
      <c r="D589" s="125"/>
      <c r="E589" s="32"/>
      <c r="F589"/>
      <c r="G589"/>
      <c r="H589"/>
      <c r="I589"/>
      <c r="J589"/>
      <c r="K589"/>
      <c r="L589"/>
      <c r="M589"/>
      <c r="N589"/>
      <c r="O589"/>
      <c r="P589"/>
      <c r="Q589"/>
      <c r="R589"/>
      <c r="S589"/>
      <c r="T589"/>
      <c r="U589"/>
      <c r="V589"/>
      <c r="W589"/>
      <c r="X589"/>
      <c r="Y589"/>
      <c r="Z589"/>
      <c r="AA589"/>
      <c r="AB589"/>
      <c r="AC589"/>
      <c r="AD589"/>
      <c r="AE589"/>
      <c r="AF589"/>
      <c r="AG589"/>
      <c r="AH589"/>
      <c r="AI589"/>
    </row>
    <row r="590" spans="1:35" s="33" customFormat="1" ht="15.75">
      <c r="A590" s="178"/>
      <c r="B590" s="166"/>
      <c r="C590" s="125"/>
      <c r="D590" s="125"/>
      <c r="E590" s="32"/>
      <c r="F590"/>
      <c r="G590"/>
      <c r="H590"/>
      <c r="I590"/>
      <c r="J590"/>
      <c r="K590"/>
      <c r="L590"/>
      <c r="M590"/>
      <c r="N590"/>
      <c r="O590"/>
      <c r="P590"/>
      <c r="Q590"/>
      <c r="R590"/>
      <c r="S590"/>
      <c r="T590"/>
      <c r="U590"/>
      <c r="V590"/>
      <c r="W590"/>
      <c r="X590"/>
      <c r="Y590"/>
      <c r="Z590"/>
      <c r="AA590"/>
      <c r="AB590"/>
      <c r="AC590"/>
      <c r="AD590"/>
      <c r="AE590"/>
      <c r="AF590"/>
      <c r="AG590"/>
      <c r="AH590"/>
      <c r="AI590"/>
    </row>
    <row r="591" spans="1:35" s="33" customFormat="1" ht="15.75">
      <c r="A591" s="178"/>
      <c r="B591" s="166"/>
      <c r="C591" s="125"/>
      <c r="D591" s="125"/>
      <c r="E591" s="32"/>
      <c r="F591"/>
      <c r="G591"/>
      <c r="H591"/>
      <c r="I591"/>
      <c r="J591"/>
      <c r="K591"/>
      <c r="L591"/>
      <c r="M591"/>
      <c r="N591"/>
      <c r="O591"/>
      <c r="P591"/>
      <c r="Q591"/>
      <c r="R591"/>
      <c r="S591"/>
      <c r="T591"/>
      <c r="U591"/>
      <c r="V591"/>
      <c r="W591"/>
      <c r="X591"/>
      <c r="Y591"/>
      <c r="Z591"/>
      <c r="AA591"/>
      <c r="AB591"/>
      <c r="AC591"/>
      <c r="AD591"/>
      <c r="AE591"/>
      <c r="AF591"/>
      <c r="AG591"/>
      <c r="AH591"/>
      <c r="AI591"/>
    </row>
    <row r="592" spans="1:35" s="33" customFormat="1" ht="15.75">
      <c r="A592" s="178"/>
      <c r="B592" s="166"/>
      <c r="C592" s="125"/>
      <c r="D592" s="125"/>
      <c r="E592" s="32"/>
      <c r="F592"/>
      <c r="G592"/>
      <c r="H592"/>
      <c r="I592"/>
      <c r="J592"/>
      <c r="K592"/>
      <c r="L592"/>
      <c r="M592"/>
      <c r="N592"/>
      <c r="O592"/>
      <c r="P592"/>
      <c r="Q592"/>
      <c r="R592"/>
      <c r="S592"/>
      <c r="T592"/>
      <c r="U592"/>
      <c r="V592"/>
      <c r="W592"/>
      <c r="X592"/>
      <c r="Y592"/>
      <c r="Z592"/>
      <c r="AA592"/>
      <c r="AB592"/>
      <c r="AC592"/>
      <c r="AD592"/>
      <c r="AE592"/>
      <c r="AF592"/>
      <c r="AG592"/>
      <c r="AH592"/>
      <c r="AI592"/>
    </row>
    <row r="593" spans="1:35" s="33" customFormat="1" ht="15.75">
      <c r="A593" s="178"/>
      <c r="B593" s="166"/>
      <c r="C593" s="125"/>
      <c r="D593" s="125"/>
      <c r="E593" s="32"/>
      <c r="F593"/>
      <c r="G593"/>
      <c r="H593"/>
      <c r="I593"/>
      <c r="J593"/>
      <c r="K593"/>
      <c r="L593"/>
      <c r="M593"/>
      <c r="N593"/>
      <c r="O593"/>
      <c r="P593"/>
      <c r="Q593"/>
      <c r="R593"/>
      <c r="S593"/>
      <c r="T593"/>
      <c r="U593"/>
      <c r="V593"/>
      <c r="W593"/>
      <c r="X593"/>
      <c r="Y593"/>
      <c r="Z593"/>
      <c r="AA593"/>
      <c r="AB593"/>
      <c r="AC593"/>
      <c r="AD593"/>
      <c r="AE593"/>
      <c r="AF593"/>
      <c r="AG593"/>
      <c r="AH593"/>
      <c r="AI593"/>
    </row>
    <row r="594" spans="1:35" s="33" customFormat="1" ht="15.75">
      <c r="A594" s="178"/>
      <c r="B594" s="166"/>
      <c r="C594" s="125"/>
      <c r="D594" s="125"/>
      <c r="E594" s="32"/>
      <c r="F594"/>
      <c r="G594"/>
      <c r="H594"/>
      <c r="I594"/>
      <c r="J594"/>
      <c r="K594"/>
      <c r="L594"/>
      <c r="M594"/>
      <c r="N594"/>
      <c r="O594"/>
      <c r="P594"/>
      <c r="Q594"/>
      <c r="R594"/>
      <c r="S594"/>
      <c r="T594"/>
      <c r="U594"/>
      <c r="V594"/>
      <c r="W594"/>
      <c r="X594"/>
      <c r="Y594"/>
      <c r="Z594"/>
      <c r="AA594"/>
      <c r="AB594"/>
      <c r="AC594"/>
      <c r="AD594"/>
      <c r="AE594"/>
      <c r="AF594"/>
      <c r="AG594"/>
      <c r="AH594"/>
      <c r="AI594"/>
    </row>
    <row r="595" spans="1:35" s="33" customFormat="1" ht="15.75">
      <c r="A595" s="178"/>
      <c r="B595" s="166"/>
      <c r="C595" s="125"/>
      <c r="D595" s="125"/>
      <c r="E595" s="32"/>
      <c r="F595"/>
      <c r="G595"/>
      <c r="H595"/>
      <c r="I595"/>
      <c r="J595"/>
      <c r="K595"/>
      <c r="L595"/>
      <c r="M595"/>
      <c r="N595"/>
      <c r="O595"/>
      <c r="P595"/>
      <c r="Q595"/>
      <c r="R595"/>
      <c r="S595"/>
      <c r="T595"/>
      <c r="U595"/>
      <c r="V595"/>
      <c r="W595"/>
      <c r="X595"/>
      <c r="Y595"/>
      <c r="Z595"/>
      <c r="AA595"/>
      <c r="AB595"/>
      <c r="AC595"/>
      <c r="AD595"/>
      <c r="AE595"/>
      <c r="AF595"/>
      <c r="AG595"/>
      <c r="AH595"/>
      <c r="AI595"/>
    </row>
    <row r="596" spans="1:35" s="33" customFormat="1" ht="15.75">
      <c r="A596" s="178"/>
      <c r="B596" s="166"/>
      <c r="C596" s="125"/>
      <c r="D596" s="125"/>
      <c r="E596" s="32"/>
      <c r="F596"/>
      <c r="G596"/>
      <c r="H596"/>
      <c r="I596"/>
      <c r="J596"/>
      <c r="K596"/>
      <c r="L596"/>
      <c r="M596"/>
      <c r="N596"/>
      <c r="O596"/>
      <c r="P596"/>
      <c r="Q596"/>
      <c r="R596"/>
      <c r="S596"/>
      <c r="T596"/>
      <c r="U596"/>
      <c r="V596"/>
      <c r="W596"/>
      <c r="X596"/>
      <c r="Y596"/>
      <c r="Z596"/>
      <c r="AA596"/>
      <c r="AB596"/>
      <c r="AC596"/>
      <c r="AD596"/>
      <c r="AE596"/>
      <c r="AF596"/>
      <c r="AG596"/>
      <c r="AH596"/>
      <c r="AI596"/>
    </row>
    <row r="597" spans="1:35" s="33" customFormat="1" ht="15.75">
      <c r="A597" s="178"/>
      <c r="B597" s="166"/>
      <c r="C597" s="125"/>
      <c r="D597" s="125"/>
      <c r="E597" s="32"/>
      <c r="F597"/>
      <c r="G597"/>
      <c r="H597"/>
      <c r="I597"/>
      <c r="J597"/>
      <c r="K597"/>
      <c r="L597"/>
      <c r="M597"/>
      <c r="N597"/>
      <c r="O597"/>
      <c r="P597"/>
      <c r="Q597"/>
      <c r="R597"/>
      <c r="S597"/>
      <c r="T597"/>
      <c r="U597"/>
      <c r="V597"/>
      <c r="W597"/>
      <c r="X597"/>
      <c r="Y597"/>
      <c r="Z597"/>
      <c r="AA597"/>
      <c r="AB597"/>
      <c r="AC597"/>
      <c r="AD597"/>
      <c r="AE597"/>
      <c r="AF597"/>
      <c r="AG597"/>
      <c r="AH597"/>
      <c r="AI597"/>
    </row>
    <row r="598" spans="1:35" s="33" customFormat="1" ht="15.75">
      <c r="A598" s="178"/>
      <c r="B598" s="166"/>
      <c r="C598" s="125"/>
      <c r="D598" s="125"/>
      <c r="E598" s="32"/>
      <c r="F598"/>
      <c r="G598"/>
      <c r="H598"/>
      <c r="I598"/>
      <c r="J598"/>
      <c r="K598"/>
      <c r="L598"/>
      <c r="M598"/>
      <c r="N598"/>
      <c r="O598"/>
      <c r="P598"/>
      <c r="Q598"/>
      <c r="R598"/>
      <c r="S598"/>
      <c r="T598"/>
      <c r="U598"/>
      <c r="V598"/>
      <c r="W598"/>
      <c r="X598"/>
      <c r="Y598"/>
      <c r="Z598"/>
      <c r="AA598"/>
      <c r="AB598"/>
      <c r="AC598"/>
      <c r="AD598"/>
      <c r="AE598"/>
      <c r="AF598"/>
      <c r="AG598"/>
      <c r="AH598"/>
      <c r="AI598"/>
    </row>
    <row r="599" spans="1:35" s="33" customFormat="1" ht="15.75">
      <c r="A599" s="178"/>
      <c r="B599" s="166"/>
      <c r="C599" s="125"/>
      <c r="D599" s="125"/>
      <c r="E599" s="32"/>
      <c r="F599"/>
      <c r="G599"/>
      <c r="H599"/>
      <c r="I599"/>
      <c r="J599"/>
      <c r="K599"/>
      <c r="L599"/>
      <c r="M599"/>
      <c r="N599"/>
      <c r="O599"/>
      <c r="P599"/>
      <c r="Q599"/>
      <c r="R599"/>
      <c r="S599"/>
      <c r="T599"/>
      <c r="U599"/>
      <c r="V599"/>
      <c r="W599"/>
      <c r="X599"/>
      <c r="Y599"/>
      <c r="Z599"/>
      <c r="AA599"/>
      <c r="AB599"/>
      <c r="AC599"/>
      <c r="AD599"/>
      <c r="AE599"/>
      <c r="AF599"/>
      <c r="AG599"/>
      <c r="AH599"/>
      <c r="AI599"/>
    </row>
    <row r="600" spans="1:35" s="33" customFormat="1" ht="15.75">
      <c r="A600" s="178"/>
      <c r="B600" s="166"/>
      <c r="C600" s="125"/>
      <c r="D600" s="125"/>
      <c r="E600" s="32"/>
      <c r="F600"/>
      <c r="G600"/>
      <c r="H600"/>
      <c r="I600"/>
      <c r="J600"/>
      <c r="K600"/>
      <c r="L600"/>
      <c r="M600"/>
      <c r="N600"/>
      <c r="O600"/>
      <c r="P600"/>
      <c r="Q600"/>
      <c r="R600"/>
      <c r="S600"/>
      <c r="T600"/>
      <c r="U600"/>
      <c r="V600"/>
      <c r="W600"/>
      <c r="X600"/>
      <c r="Y600"/>
      <c r="Z600"/>
      <c r="AA600"/>
      <c r="AB600"/>
      <c r="AC600"/>
      <c r="AD600"/>
      <c r="AE600"/>
      <c r="AF600"/>
      <c r="AG600"/>
      <c r="AH600"/>
      <c r="AI600"/>
    </row>
    <row r="601" spans="1:35" s="33" customFormat="1" ht="15.75">
      <c r="A601" s="178"/>
      <c r="B601" s="166"/>
      <c r="C601" s="125"/>
      <c r="D601" s="125"/>
      <c r="E601" s="32"/>
      <c r="F601"/>
      <c r="G601"/>
      <c r="H601"/>
      <c r="I601"/>
      <c r="J601"/>
      <c r="K601"/>
      <c r="L601"/>
      <c r="M601"/>
      <c r="N601"/>
      <c r="O601"/>
      <c r="P601"/>
      <c r="Q601"/>
      <c r="R601"/>
      <c r="S601"/>
      <c r="T601"/>
      <c r="U601"/>
      <c r="V601"/>
      <c r="W601"/>
      <c r="X601"/>
      <c r="Y601"/>
      <c r="Z601"/>
      <c r="AA601"/>
      <c r="AB601"/>
      <c r="AC601"/>
      <c r="AD601"/>
      <c r="AE601"/>
      <c r="AF601"/>
      <c r="AG601"/>
      <c r="AH601"/>
      <c r="AI601"/>
    </row>
    <row r="602" spans="1:35" s="33" customFormat="1" ht="15.75">
      <c r="A602" s="178"/>
      <c r="B602" s="166"/>
      <c r="C602" s="125"/>
      <c r="D602" s="125"/>
      <c r="E602" s="32"/>
      <c r="F602"/>
      <c r="G602"/>
      <c r="H602"/>
      <c r="I602"/>
      <c r="J602"/>
      <c r="K602"/>
      <c r="L602"/>
      <c r="M602"/>
      <c r="N602"/>
      <c r="O602"/>
      <c r="P602"/>
      <c r="Q602"/>
      <c r="R602"/>
      <c r="S602"/>
      <c r="T602"/>
      <c r="U602"/>
      <c r="V602"/>
      <c r="W602"/>
      <c r="X602"/>
      <c r="Y602"/>
      <c r="Z602"/>
      <c r="AA602"/>
      <c r="AB602"/>
      <c r="AC602"/>
      <c r="AD602"/>
      <c r="AE602"/>
      <c r="AF602"/>
      <c r="AG602"/>
      <c r="AH602"/>
      <c r="AI602"/>
    </row>
    <row r="603" spans="1:35" s="33" customFormat="1" ht="15.75">
      <c r="A603" s="178"/>
      <c r="B603" s="166"/>
      <c r="C603" s="125"/>
      <c r="D603" s="125"/>
      <c r="E603" s="32"/>
      <c r="F603"/>
      <c r="G603"/>
      <c r="H603"/>
      <c r="I603"/>
      <c r="J603"/>
      <c r="K603"/>
      <c r="L603"/>
      <c r="M603"/>
      <c r="N603"/>
      <c r="O603"/>
      <c r="P603"/>
      <c r="Q603"/>
      <c r="R603"/>
      <c r="S603"/>
      <c r="T603"/>
      <c r="U603"/>
      <c r="V603"/>
      <c r="W603"/>
      <c r="X603"/>
      <c r="Y603"/>
      <c r="Z603"/>
      <c r="AA603"/>
      <c r="AB603"/>
      <c r="AC603"/>
      <c r="AD603"/>
      <c r="AE603"/>
      <c r="AF603"/>
      <c r="AG603"/>
      <c r="AH603"/>
      <c r="AI603"/>
    </row>
    <row r="604" spans="1:35" s="33" customFormat="1" ht="15.75">
      <c r="A604" s="178"/>
      <c r="B604" s="166"/>
      <c r="C604" s="125"/>
      <c r="D604" s="125"/>
      <c r="E604" s="32"/>
      <c r="F604"/>
      <c r="G604"/>
      <c r="H604"/>
      <c r="I604"/>
      <c r="J604"/>
      <c r="K604"/>
      <c r="L604"/>
      <c r="M604"/>
      <c r="N604"/>
      <c r="O604"/>
      <c r="P604"/>
      <c r="Q604"/>
      <c r="R604"/>
      <c r="S604"/>
      <c r="T604"/>
      <c r="U604"/>
      <c r="V604"/>
      <c r="W604"/>
      <c r="X604"/>
      <c r="Y604"/>
      <c r="Z604"/>
      <c r="AA604"/>
      <c r="AB604"/>
      <c r="AC604"/>
      <c r="AD604"/>
      <c r="AE604"/>
      <c r="AF604"/>
      <c r="AG604"/>
      <c r="AH604"/>
      <c r="AI604"/>
    </row>
    <row r="605" spans="1:35" s="33" customFormat="1" ht="15.75">
      <c r="A605" s="178"/>
      <c r="B605" s="166"/>
      <c r="C605" s="125"/>
      <c r="D605" s="125"/>
      <c r="E605" s="32"/>
      <c r="F605"/>
      <c r="G605"/>
      <c r="H605"/>
      <c r="I605"/>
      <c r="J605"/>
      <c r="K605"/>
      <c r="L605"/>
      <c r="M605"/>
      <c r="N605"/>
      <c r="O605"/>
      <c r="P605"/>
      <c r="Q605"/>
      <c r="R605"/>
      <c r="S605"/>
      <c r="T605"/>
      <c r="U605"/>
      <c r="V605"/>
      <c r="W605"/>
      <c r="X605"/>
      <c r="Y605"/>
      <c r="Z605"/>
      <c r="AA605"/>
      <c r="AB605"/>
      <c r="AC605"/>
      <c r="AD605"/>
      <c r="AE605"/>
      <c r="AF605"/>
      <c r="AG605"/>
      <c r="AH605"/>
      <c r="AI605"/>
    </row>
    <row r="606" spans="1:35" s="33" customFormat="1" ht="15.75">
      <c r="A606" s="178"/>
      <c r="B606" s="166"/>
      <c r="C606" s="125"/>
      <c r="D606" s="125"/>
      <c r="E606" s="32"/>
      <c r="F606"/>
      <c r="G606"/>
      <c r="H606"/>
      <c r="I606"/>
      <c r="J606"/>
      <c r="K606"/>
      <c r="L606"/>
      <c r="M606"/>
      <c r="N606"/>
      <c r="O606"/>
      <c r="P606"/>
      <c r="Q606"/>
      <c r="R606"/>
      <c r="S606"/>
      <c r="T606"/>
      <c r="U606"/>
      <c r="V606"/>
      <c r="W606"/>
      <c r="X606"/>
      <c r="Y606"/>
      <c r="Z606"/>
      <c r="AA606"/>
      <c r="AB606"/>
      <c r="AC606"/>
      <c r="AD606"/>
      <c r="AE606"/>
      <c r="AF606"/>
      <c r="AG606"/>
      <c r="AH606"/>
      <c r="AI606"/>
    </row>
    <row r="607" spans="1:35" s="33" customFormat="1" ht="15.75">
      <c r="A607" s="178"/>
      <c r="B607" s="166"/>
      <c r="C607" s="125"/>
      <c r="D607" s="125"/>
      <c r="E607" s="32"/>
      <c r="F607"/>
      <c r="G607"/>
      <c r="H607"/>
      <c r="I607"/>
      <c r="J607"/>
      <c r="K607"/>
      <c r="L607"/>
      <c r="M607"/>
      <c r="N607"/>
      <c r="O607"/>
      <c r="P607"/>
      <c r="Q607"/>
      <c r="R607"/>
      <c r="S607"/>
      <c r="T607"/>
      <c r="U607"/>
      <c r="V607"/>
      <c r="W607"/>
      <c r="X607"/>
      <c r="Y607"/>
      <c r="Z607"/>
      <c r="AA607"/>
      <c r="AB607"/>
      <c r="AC607"/>
      <c r="AD607"/>
      <c r="AE607"/>
      <c r="AF607"/>
      <c r="AG607"/>
      <c r="AH607"/>
      <c r="AI607"/>
    </row>
    <row r="608" spans="1:35" s="33" customFormat="1" ht="15.75">
      <c r="A608" s="178"/>
      <c r="B608" s="166"/>
      <c r="C608" s="125"/>
      <c r="D608" s="125"/>
      <c r="E608" s="32"/>
      <c r="F608"/>
      <c r="G608"/>
      <c r="H608"/>
      <c r="I608"/>
      <c r="J608"/>
      <c r="K608"/>
      <c r="L608"/>
      <c r="M608"/>
      <c r="N608"/>
      <c r="O608"/>
      <c r="P608"/>
      <c r="Q608"/>
      <c r="R608"/>
      <c r="S608"/>
      <c r="T608"/>
      <c r="U608"/>
      <c r="V608"/>
      <c r="W608"/>
      <c r="X608"/>
      <c r="Y608"/>
      <c r="Z608"/>
      <c r="AA608"/>
      <c r="AB608"/>
      <c r="AC608"/>
      <c r="AD608"/>
      <c r="AE608"/>
      <c r="AF608"/>
      <c r="AG608"/>
      <c r="AH608"/>
      <c r="AI608"/>
    </row>
    <row r="609" spans="1:35" s="33" customFormat="1" ht="15.75">
      <c r="A609" s="178"/>
      <c r="B609" s="166"/>
      <c r="C609" s="125"/>
      <c r="D609" s="125"/>
      <c r="E609" s="32"/>
      <c r="F609"/>
      <c r="G609"/>
      <c r="H609"/>
      <c r="I609"/>
      <c r="J609"/>
      <c r="K609"/>
      <c r="L609"/>
      <c r="M609"/>
      <c r="N609"/>
      <c r="O609"/>
      <c r="P609"/>
      <c r="Q609"/>
      <c r="R609"/>
      <c r="S609"/>
      <c r="T609"/>
      <c r="U609"/>
      <c r="V609"/>
      <c r="W609"/>
      <c r="X609"/>
      <c r="Y609"/>
      <c r="Z609"/>
      <c r="AA609"/>
      <c r="AB609"/>
      <c r="AC609"/>
      <c r="AD609"/>
      <c r="AE609"/>
      <c r="AF609"/>
      <c r="AG609"/>
      <c r="AH609"/>
      <c r="AI609"/>
    </row>
    <row r="610" spans="1:35" s="33" customFormat="1" ht="15.75">
      <c r="A610" s="178"/>
      <c r="B610" s="166"/>
      <c r="C610" s="125"/>
      <c r="D610" s="125"/>
      <c r="E610" s="32"/>
      <c r="F610"/>
      <c r="G610"/>
      <c r="H610"/>
      <c r="I610"/>
      <c r="J610"/>
      <c r="K610"/>
      <c r="L610"/>
      <c r="M610"/>
      <c r="N610"/>
      <c r="O610"/>
      <c r="P610"/>
      <c r="Q610"/>
      <c r="R610"/>
      <c r="S610"/>
      <c r="T610"/>
      <c r="U610"/>
      <c r="V610"/>
      <c r="W610"/>
      <c r="X610"/>
      <c r="Y610"/>
      <c r="Z610"/>
      <c r="AA610"/>
      <c r="AB610"/>
      <c r="AC610"/>
      <c r="AD610"/>
      <c r="AE610"/>
      <c r="AF610"/>
      <c r="AG610"/>
      <c r="AH610"/>
      <c r="AI610"/>
    </row>
    <row r="611" spans="1:35" s="33" customFormat="1" ht="15.75">
      <c r="A611" s="178"/>
      <c r="B611" s="166"/>
      <c r="C611" s="125"/>
      <c r="D611" s="125"/>
      <c r="E611" s="32"/>
      <c r="F611"/>
      <c r="G611"/>
      <c r="H611"/>
      <c r="I611"/>
      <c r="J611"/>
      <c r="K611"/>
      <c r="L611"/>
      <c r="M611"/>
      <c r="N611"/>
      <c r="O611"/>
      <c r="P611"/>
      <c r="Q611"/>
      <c r="R611"/>
      <c r="S611"/>
      <c r="T611"/>
      <c r="U611"/>
      <c r="V611"/>
      <c r="W611"/>
      <c r="X611"/>
      <c r="Y611"/>
      <c r="Z611"/>
      <c r="AA611"/>
      <c r="AB611"/>
      <c r="AC611"/>
      <c r="AD611"/>
      <c r="AE611"/>
      <c r="AF611"/>
      <c r="AG611"/>
      <c r="AH611"/>
      <c r="AI611"/>
    </row>
    <row r="612" spans="1:35" s="33" customFormat="1" ht="15.75">
      <c r="A612" s="178"/>
      <c r="B612" s="166"/>
      <c r="C612" s="125"/>
      <c r="D612" s="125"/>
      <c r="E612" s="32"/>
      <c r="F612"/>
      <c r="G612"/>
      <c r="H612"/>
      <c r="I612"/>
      <c r="J612"/>
      <c r="K612"/>
      <c r="L612"/>
      <c r="M612"/>
      <c r="N612"/>
      <c r="O612"/>
      <c r="P612"/>
      <c r="Q612"/>
      <c r="R612"/>
      <c r="S612"/>
      <c r="T612"/>
      <c r="U612"/>
      <c r="V612"/>
      <c r="W612"/>
      <c r="X612"/>
      <c r="Y612"/>
      <c r="Z612"/>
      <c r="AA612"/>
      <c r="AB612"/>
      <c r="AC612"/>
      <c r="AD612"/>
      <c r="AE612"/>
      <c r="AF612"/>
      <c r="AG612"/>
      <c r="AH612"/>
      <c r="AI612"/>
    </row>
    <row r="613" spans="1:35" s="33" customFormat="1" ht="15.75">
      <c r="A613" s="178"/>
      <c r="B613" s="166"/>
      <c r="C613" s="125"/>
      <c r="D613" s="125"/>
      <c r="E613" s="32"/>
      <c r="F613"/>
      <c r="G613"/>
      <c r="H613"/>
      <c r="I613"/>
      <c r="J613"/>
      <c r="K613"/>
      <c r="L613"/>
      <c r="M613"/>
      <c r="N613"/>
      <c r="O613"/>
      <c r="P613"/>
      <c r="Q613"/>
      <c r="R613"/>
      <c r="S613"/>
      <c r="T613"/>
      <c r="U613"/>
      <c r="V613"/>
      <c r="W613"/>
      <c r="X613"/>
      <c r="Y613"/>
      <c r="Z613"/>
      <c r="AA613"/>
      <c r="AB613"/>
      <c r="AC613"/>
      <c r="AD613"/>
      <c r="AE613"/>
      <c r="AF613"/>
      <c r="AG613"/>
      <c r="AH613"/>
      <c r="AI613"/>
    </row>
    <row r="614" spans="1:35" s="33" customFormat="1" ht="15.75">
      <c r="A614" s="178"/>
      <c r="B614" s="166"/>
      <c r="C614" s="125"/>
      <c r="D614" s="125"/>
      <c r="E614" s="32"/>
      <c r="F614"/>
      <c r="G614"/>
      <c r="H614"/>
      <c r="I614"/>
      <c r="J614"/>
      <c r="K614"/>
      <c r="L614"/>
      <c r="M614"/>
      <c r="N614"/>
      <c r="O614"/>
      <c r="P614"/>
      <c r="Q614"/>
      <c r="R614"/>
      <c r="S614"/>
      <c r="T614"/>
      <c r="U614"/>
      <c r="V614"/>
      <c r="W614"/>
      <c r="X614"/>
      <c r="Y614"/>
      <c r="Z614"/>
      <c r="AA614"/>
      <c r="AB614"/>
      <c r="AC614"/>
      <c r="AD614"/>
      <c r="AE614"/>
      <c r="AF614"/>
      <c r="AG614"/>
      <c r="AH614"/>
      <c r="AI614"/>
    </row>
    <row r="615" spans="1:35" s="33" customFormat="1" ht="15.75">
      <c r="A615" s="178"/>
      <c r="B615" s="166"/>
      <c r="C615" s="125"/>
      <c r="D615" s="125"/>
      <c r="E615" s="32"/>
      <c r="F615"/>
      <c r="G615"/>
      <c r="H615"/>
      <c r="I615"/>
      <c r="J615"/>
      <c r="K615"/>
      <c r="L615"/>
      <c r="M615"/>
      <c r="N615"/>
      <c r="O615"/>
      <c r="P615"/>
      <c r="Q615"/>
      <c r="R615"/>
      <c r="S615"/>
      <c r="T615"/>
      <c r="U615"/>
      <c r="V615"/>
      <c r="W615"/>
      <c r="X615"/>
      <c r="Y615"/>
      <c r="Z615"/>
      <c r="AA615"/>
      <c r="AB615"/>
      <c r="AC615"/>
      <c r="AD615"/>
      <c r="AE615"/>
      <c r="AF615"/>
      <c r="AG615"/>
      <c r="AH615"/>
      <c r="AI615"/>
    </row>
    <row r="616" spans="1:35" s="33" customFormat="1" ht="15.75">
      <c r="A616" s="178"/>
      <c r="B616" s="166"/>
      <c r="C616" s="125"/>
      <c r="D616" s="125"/>
      <c r="E616" s="32"/>
      <c r="F616"/>
      <c r="G616"/>
      <c r="H616"/>
      <c r="I616"/>
      <c r="J616"/>
      <c r="K616"/>
      <c r="L616"/>
      <c r="M616"/>
      <c r="N616"/>
      <c r="O616"/>
      <c r="P616"/>
      <c r="Q616"/>
      <c r="R616"/>
      <c r="S616"/>
      <c r="T616"/>
      <c r="U616"/>
      <c r="V616"/>
      <c r="W616"/>
      <c r="X616"/>
      <c r="Y616"/>
      <c r="Z616"/>
      <c r="AA616"/>
      <c r="AB616"/>
      <c r="AC616"/>
      <c r="AD616"/>
      <c r="AE616"/>
      <c r="AF616"/>
      <c r="AG616"/>
      <c r="AH616"/>
      <c r="AI616"/>
    </row>
    <row r="617" spans="1:35" s="33" customFormat="1" ht="15.75">
      <c r="A617" s="178"/>
      <c r="B617" s="166"/>
      <c r="C617" s="125"/>
      <c r="D617" s="125"/>
      <c r="E617" s="32"/>
      <c r="F617"/>
      <c r="G617"/>
      <c r="H617"/>
      <c r="I617"/>
      <c r="J617"/>
      <c r="K617"/>
      <c r="L617"/>
      <c r="M617"/>
      <c r="N617"/>
      <c r="O617"/>
      <c r="P617"/>
      <c r="Q617"/>
      <c r="R617"/>
      <c r="S617"/>
      <c r="T617"/>
      <c r="U617"/>
      <c r="V617"/>
      <c r="W617"/>
      <c r="X617"/>
      <c r="Y617"/>
      <c r="Z617"/>
      <c r="AA617"/>
      <c r="AB617"/>
      <c r="AC617"/>
      <c r="AD617"/>
      <c r="AE617"/>
      <c r="AF617"/>
      <c r="AG617"/>
      <c r="AH617"/>
      <c r="AI617"/>
    </row>
    <row r="618" spans="1:35" s="33" customFormat="1" ht="15.75">
      <c r="A618" s="178"/>
      <c r="B618" s="166"/>
      <c r="C618" s="125"/>
      <c r="D618" s="125"/>
      <c r="E618" s="32"/>
      <c r="F618"/>
      <c r="G618"/>
      <c r="H618"/>
      <c r="I618"/>
      <c r="J618"/>
      <c r="K618"/>
      <c r="L618"/>
      <c r="M618"/>
      <c r="N618"/>
      <c r="O618"/>
      <c r="P618"/>
      <c r="Q618"/>
      <c r="R618"/>
      <c r="S618"/>
      <c r="T618"/>
      <c r="U618"/>
      <c r="V618"/>
      <c r="W618"/>
      <c r="X618"/>
      <c r="Y618"/>
      <c r="Z618"/>
      <c r="AA618"/>
      <c r="AB618"/>
      <c r="AC618"/>
      <c r="AD618"/>
      <c r="AE618"/>
      <c r="AF618"/>
      <c r="AG618"/>
      <c r="AH618"/>
      <c r="AI618"/>
    </row>
    <row r="619" spans="1:35" s="33" customFormat="1" ht="15.75">
      <c r="A619" s="178"/>
      <c r="B619" s="166"/>
      <c r="C619" s="125"/>
      <c r="D619" s="125"/>
      <c r="E619" s="32"/>
      <c r="F619"/>
      <c r="G619"/>
      <c r="H619"/>
      <c r="I619"/>
      <c r="J619"/>
      <c r="K619"/>
      <c r="L619"/>
      <c r="M619"/>
      <c r="N619"/>
      <c r="O619"/>
      <c r="P619"/>
      <c r="Q619"/>
      <c r="R619"/>
      <c r="S619"/>
      <c r="T619"/>
      <c r="U619"/>
      <c r="V619"/>
      <c r="W619"/>
      <c r="X619"/>
      <c r="Y619"/>
      <c r="Z619"/>
      <c r="AA619"/>
      <c r="AB619"/>
      <c r="AC619"/>
      <c r="AD619"/>
      <c r="AE619"/>
      <c r="AF619"/>
      <c r="AG619"/>
      <c r="AH619"/>
      <c r="AI619"/>
    </row>
    <row r="620" spans="1:35" s="33" customFormat="1" ht="15.75">
      <c r="A620" s="178"/>
      <c r="B620" s="166"/>
      <c r="C620" s="125"/>
      <c r="D620" s="125"/>
      <c r="E620" s="32"/>
      <c r="F620"/>
      <c r="G620"/>
      <c r="H620"/>
      <c r="I620"/>
      <c r="J620"/>
      <c r="K620"/>
      <c r="L620"/>
      <c r="M620"/>
      <c r="N620"/>
      <c r="O620"/>
      <c r="P620"/>
      <c r="Q620"/>
      <c r="R620"/>
      <c r="S620"/>
      <c r="T620"/>
      <c r="U620"/>
      <c r="V620"/>
      <c r="W620"/>
      <c r="X620"/>
      <c r="Y620"/>
      <c r="Z620"/>
      <c r="AA620"/>
      <c r="AB620"/>
      <c r="AC620"/>
      <c r="AD620"/>
      <c r="AE620"/>
      <c r="AF620"/>
      <c r="AG620"/>
      <c r="AH620"/>
      <c r="AI620"/>
    </row>
    <row r="621" spans="1:35" s="33" customFormat="1" ht="15.75">
      <c r="A621" s="178"/>
      <c r="B621" s="166"/>
      <c r="C621" s="125"/>
      <c r="D621" s="125"/>
      <c r="E621" s="32"/>
      <c r="F621"/>
      <c r="G621"/>
      <c r="H621"/>
      <c r="I621"/>
      <c r="J621"/>
      <c r="K621"/>
      <c r="L621"/>
      <c r="M621"/>
      <c r="N621"/>
      <c r="O621"/>
      <c r="P621"/>
      <c r="Q621"/>
      <c r="R621"/>
      <c r="S621"/>
      <c r="T621"/>
      <c r="U621"/>
      <c r="V621"/>
      <c r="W621"/>
      <c r="X621"/>
      <c r="Y621"/>
      <c r="Z621"/>
      <c r="AA621"/>
      <c r="AB621"/>
      <c r="AC621"/>
      <c r="AD621"/>
      <c r="AE621"/>
      <c r="AF621"/>
      <c r="AG621"/>
      <c r="AH621"/>
      <c r="AI621"/>
    </row>
    <row r="622" spans="1:35" s="33" customFormat="1" ht="15.75">
      <c r="A622" s="178"/>
      <c r="B622" s="166"/>
      <c r="C622" s="125"/>
      <c r="D622" s="125"/>
      <c r="E622" s="32"/>
      <c r="F622"/>
      <c r="G622"/>
      <c r="H622"/>
      <c r="I622"/>
      <c r="J622"/>
      <c r="K622"/>
      <c r="L622"/>
      <c r="M622"/>
      <c r="N622"/>
      <c r="O622"/>
      <c r="P622"/>
      <c r="Q622"/>
      <c r="R622"/>
      <c r="S622"/>
      <c r="T622"/>
      <c r="U622"/>
      <c r="V622"/>
      <c r="W622"/>
      <c r="X622"/>
      <c r="Y622"/>
      <c r="Z622"/>
      <c r="AA622"/>
      <c r="AB622"/>
      <c r="AC622"/>
      <c r="AD622"/>
      <c r="AE622"/>
      <c r="AF622"/>
      <c r="AG622"/>
      <c r="AH622"/>
      <c r="AI622"/>
    </row>
    <row r="623" spans="1:35" s="33" customFormat="1" ht="15.75">
      <c r="A623" s="178"/>
      <c r="B623" s="166"/>
      <c r="C623" s="125"/>
      <c r="D623" s="125"/>
      <c r="E623" s="32"/>
      <c r="F623"/>
      <c r="G623"/>
      <c r="H623"/>
      <c r="I623"/>
      <c r="J623"/>
      <c r="K623"/>
      <c r="L623"/>
      <c r="M623"/>
      <c r="N623"/>
      <c r="O623"/>
      <c r="P623"/>
      <c r="Q623"/>
      <c r="R623"/>
      <c r="S623"/>
      <c r="T623"/>
      <c r="U623"/>
      <c r="V623"/>
      <c r="W623"/>
      <c r="X623"/>
      <c r="Y623"/>
      <c r="Z623"/>
      <c r="AA623"/>
      <c r="AB623"/>
      <c r="AC623"/>
      <c r="AD623"/>
      <c r="AE623"/>
      <c r="AF623"/>
      <c r="AG623"/>
      <c r="AH623"/>
      <c r="AI623"/>
    </row>
    <row r="624" spans="1:35" s="33" customFormat="1" ht="15.75">
      <c r="A624" s="178"/>
      <c r="B624" s="166"/>
      <c r="C624" s="125"/>
      <c r="D624" s="125"/>
      <c r="E624" s="32"/>
      <c r="F624"/>
      <c r="G624"/>
      <c r="H624"/>
      <c r="I624"/>
      <c r="J624"/>
      <c r="K624"/>
      <c r="L624"/>
      <c r="M624"/>
      <c r="N624"/>
      <c r="O624"/>
      <c r="P624"/>
      <c r="Q624"/>
      <c r="R624"/>
      <c r="S624"/>
      <c r="T624"/>
      <c r="U624"/>
      <c r="V624"/>
      <c r="W624"/>
      <c r="X624"/>
      <c r="Y624"/>
      <c r="Z624"/>
      <c r="AA624"/>
      <c r="AB624"/>
      <c r="AC624"/>
      <c r="AD624"/>
      <c r="AE624"/>
      <c r="AF624"/>
      <c r="AG624"/>
      <c r="AH624"/>
      <c r="AI624"/>
    </row>
    <row r="625" spans="1:35" s="33" customFormat="1" ht="15.75">
      <c r="A625" s="178"/>
      <c r="B625" s="166"/>
      <c r="C625" s="125"/>
      <c r="D625" s="125"/>
      <c r="E625" s="32"/>
      <c r="F625"/>
      <c r="G625"/>
      <c r="H625"/>
      <c r="I625"/>
      <c r="J625"/>
      <c r="K625"/>
      <c r="L625"/>
      <c r="M625"/>
      <c r="N625"/>
      <c r="O625"/>
      <c r="P625"/>
      <c r="Q625"/>
      <c r="R625"/>
      <c r="S625"/>
      <c r="T625"/>
      <c r="U625"/>
      <c r="V625"/>
      <c r="W625"/>
      <c r="X625"/>
      <c r="Y625"/>
      <c r="Z625"/>
      <c r="AA625"/>
      <c r="AB625"/>
      <c r="AC625"/>
      <c r="AD625"/>
      <c r="AE625"/>
      <c r="AF625"/>
      <c r="AG625"/>
      <c r="AH625"/>
      <c r="AI625"/>
    </row>
    <row r="626" spans="1:35" s="33" customFormat="1" ht="15.75">
      <c r="A626" s="178"/>
      <c r="B626" s="166"/>
      <c r="C626" s="125"/>
      <c r="D626" s="125"/>
      <c r="E626" s="32"/>
      <c r="F626"/>
      <c r="G626"/>
      <c r="H626"/>
      <c r="I626"/>
      <c r="J626"/>
      <c r="K626"/>
      <c r="L626"/>
      <c r="M626"/>
      <c r="N626"/>
      <c r="O626"/>
      <c r="P626"/>
      <c r="Q626"/>
      <c r="R626"/>
      <c r="S626"/>
      <c r="T626"/>
      <c r="U626"/>
      <c r="V626"/>
      <c r="W626"/>
      <c r="X626"/>
      <c r="Y626"/>
      <c r="Z626"/>
      <c r="AA626"/>
      <c r="AB626"/>
      <c r="AC626"/>
      <c r="AD626"/>
      <c r="AE626"/>
      <c r="AF626"/>
      <c r="AG626"/>
      <c r="AH626"/>
      <c r="AI626"/>
    </row>
    <row r="627" spans="1:35" s="33" customFormat="1" ht="15.75">
      <c r="A627" s="178"/>
      <c r="B627" s="166"/>
      <c r="C627" s="125"/>
      <c r="D627" s="125"/>
      <c r="E627" s="32"/>
      <c r="F627"/>
      <c r="G627"/>
      <c r="H627"/>
      <c r="I627"/>
      <c r="J627"/>
      <c r="K627"/>
      <c r="L627"/>
      <c r="M627"/>
      <c r="N627"/>
      <c r="O627"/>
      <c r="P627"/>
      <c r="Q627"/>
      <c r="R627"/>
      <c r="S627"/>
      <c r="T627"/>
      <c r="U627"/>
      <c r="V627"/>
      <c r="W627"/>
      <c r="X627"/>
      <c r="Y627"/>
      <c r="Z627"/>
      <c r="AA627"/>
      <c r="AB627"/>
      <c r="AC627"/>
      <c r="AD627"/>
      <c r="AE627"/>
      <c r="AF627"/>
      <c r="AG627"/>
      <c r="AH627"/>
      <c r="AI627"/>
    </row>
    <row r="628" spans="1:35" s="33" customFormat="1" ht="15.75">
      <c r="A628" s="178"/>
      <c r="B628" s="166"/>
      <c r="C628" s="125"/>
      <c r="D628" s="125"/>
      <c r="E628" s="32"/>
      <c r="F628"/>
      <c r="G628"/>
      <c r="H628"/>
      <c r="I628"/>
      <c r="J628"/>
      <c r="K628"/>
      <c r="L628"/>
      <c r="M628"/>
      <c r="N628"/>
      <c r="O628"/>
      <c r="P628"/>
      <c r="Q628"/>
      <c r="R628"/>
      <c r="S628"/>
      <c r="T628"/>
      <c r="U628"/>
      <c r="V628"/>
      <c r="W628"/>
      <c r="X628"/>
      <c r="Y628"/>
      <c r="Z628"/>
      <c r="AA628"/>
      <c r="AB628"/>
      <c r="AC628"/>
      <c r="AD628"/>
      <c r="AE628"/>
      <c r="AF628"/>
      <c r="AG628"/>
      <c r="AH628"/>
      <c r="AI628"/>
    </row>
    <row r="629" spans="1:35" s="33" customFormat="1" ht="15.75">
      <c r="A629" s="178"/>
      <c r="B629" s="166"/>
      <c r="C629" s="125"/>
      <c r="D629" s="125"/>
      <c r="E629" s="32"/>
      <c r="F629"/>
      <c r="G629"/>
      <c r="H629"/>
      <c r="I629"/>
      <c r="J629"/>
      <c r="K629"/>
      <c r="L629"/>
      <c r="M629"/>
      <c r="N629"/>
      <c r="O629"/>
      <c r="P629"/>
      <c r="Q629"/>
      <c r="R629"/>
      <c r="S629"/>
      <c r="T629"/>
      <c r="U629"/>
      <c r="V629"/>
      <c r="W629"/>
      <c r="X629"/>
      <c r="Y629"/>
      <c r="Z629"/>
      <c r="AA629"/>
      <c r="AB629"/>
      <c r="AC629"/>
      <c r="AD629"/>
      <c r="AE629"/>
      <c r="AF629"/>
      <c r="AG629"/>
      <c r="AH629"/>
      <c r="AI629"/>
    </row>
    <row r="630" spans="1:35" s="33" customFormat="1" ht="15.75">
      <c r="A630" s="178"/>
      <c r="B630" s="166"/>
      <c r="C630" s="125"/>
      <c r="D630" s="125"/>
      <c r="E630" s="32"/>
      <c r="F630"/>
      <c r="G630"/>
      <c r="H630"/>
      <c r="I630"/>
      <c r="J630"/>
      <c r="K630"/>
      <c r="L630"/>
      <c r="M630"/>
      <c r="N630"/>
      <c r="O630"/>
      <c r="P630"/>
      <c r="Q630"/>
      <c r="R630"/>
      <c r="S630"/>
      <c r="T630"/>
      <c r="U630"/>
      <c r="V630"/>
      <c r="W630"/>
      <c r="X630"/>
      <c r="Y630"/>
      <c r="Z630"/>
      <c r="AA630"/>
      <c r="AB630"/>
      <c r="AC630"/>
      <c r="AD630"/>
      <c r="AE630"/>
      <c r="AF630"/>
      <c r="AG630"/>
      <c r="AH630"/>
      <c r="AI630"/>
    </row>
    <row r="631" spans="1:35" s="33" customFormat="1" ht="15.75">
      <c r="A631" s="178"/>
      <c r="B631" s="166"/>
      <c r="C631" s="125"/>
      <c r="D631" s="125"/>
      <c r="E631" s="32"/>
      <c r="F631"/>
      <c r="G631"/>
      <c r="H631"/>
      <c r="I631"/>
      <c r="J631"/>
      <c r="K631"/>
      <c r="L631"/>
      <c r="M631"/>
      <c r="N631"/>
      <c r="O631"/>
      <c r="P631"/>
      <c r="Q631"/>
      <c r="R631"/>
      <c r="S631"/>
      <c r="T631"/>
      <c r="U631"/>
      <c r="V631"/>
      <c r="W631"/>
      <c r="X631"/>
      <c r="Y631"/>
      <c r="Z631"/>
      <c r="AA631"/>
      <c r="AB631"/>
      <c r="AC631"/>
      <c r="AD631"/>
      <c r="AE631"/>
      <c r="AF631"/>
      <c r="AG631"/>
      <c r="AH631"/>
      <c r="AI631"/>
    </row>
    <row r="632" spans="1:35" s="33" customFormat="1" ht="15.75">
      <c r="A632" s="178"/>
      <c r="B632" s="166"/>
      <c r="C632" s="125"/>
      <c r="D632" s="125"/>
      <c r="E632" s="32"/>
      <c r="F632"/>
      <c r="G632"/>
      <c r="H632"/>
      <c r="I632"/>
      <c r="J632"/>
      <c r="K632"/>
      <c r="L632"/>
      <c r="M632"/>
      <c r="N632"/>
      <c r="O632"/>
      <c r="P632"/>
      <c r="Q632"/>
      <c r="R632"/>
      <c r="S632"/>
      <c r="T632"/>
      <c r="U632"/>
      <c r="V632"/>
      <c r="W632"/>
      <c r="X632"/>
      <c r="Y632"/>
      <c r="Z632"/>
      <c r="AA632"/>
      <c r="AB632"/>
      <c r="AC632"/>
      <c r="AD632"/>
      <c r="AE632"/>
      <c r="AF632"/>
      <c r="AG632"/>
      <c r="AH632"/>
      <c r="AI632"/>
    </row>
    <row r="633" spans="1:35" s="33" customFormat="1" ht="15.75">
      <c r="A633" s="178"/>
      <c r="B633" s="166"/>
      <c r="C633" s="125"/>
      <c r="D633" s="125"/>
      <c r="E633" s="32"/>
      <c r="F633"/>
      <c r="G633"/>
      <c r="H633"/>
      <c r="I633"/>
      <c r="J633"/>
      <c r="K633"/>
      <c r="L633"/>
      <c r="M633"/>
      <c r="N633"/>
      <c r="O633"/>
      <c r="P633"/>
      <c r="Q633"/>
      <c r="R633"/>
      <c r="S633"/>
      <c r="T633"/>
      <c r="U633"/>
      <c r="V633"/>
      <c r="W633"/>
      <c r="X633"/>
      <c r="Y633"/>
      <c r="Z633"/>
      <c r="AA633"/>
      <c r="AB633"/>
      <c r="AC633"/>
      <c r="AD633"/>
      <c r="AE633"/>
      <c r="AF633"/>
      <c r="AG633"/>
      <c r="AH633"/>
      <c r="AI633"/>
    </row>
    <row r="634" spans="1:35" s="33" customFormat="1" ht="15.75">
      <c r="A634" s="178"/>
      <c r="B634" s="166"/>
      <c r="C634" s="125"/>
      <c r="D634" s="125"/>
      <c r="E634" s="32"/>
      <c r="F634"/>
      <c r="G634"/>
      <c r="H634"/>
      <c r="I634"/>
      <c r="J634"/>
      <c r="K634"/>
      <c r="L634"/>
      <c r="M634"/>
      <c r="N634"/>
      <c r="O634"/>
      <c r="P634"/>
      <c r="Q634"/>
      <c r="R634"/>
      <c r="S634"/>
      <c r="T634"/>
      <c r="U634"/>
      <c r="V634"/>
      <c r="W634"/>
      <c r="X634"/>
      <c r="Y634"/>
      <c r="Z634"/>
      <c r="AA634"/>
      <c r="AB634"/>
      <c r="AC634"/>
      <c r="AD634"/>
      <c r="AE634"/>
      <c r="AF634"/>
      <c r="AG634"/>
      <c r="AH634"/>
      <c r="AI634"/>
    </row>
    <row r="635" spans="1:35" s="33" customFormat="1" ht="15.75">
      <c r="A635" s="178"/>
      <c r="B635" s="166"/>
      <c r="C635" s="125"/>
      <c r="D635" s="125"/>
      <c r="E635" s="32"/>
      <c r="F635"/>
      <c r="G635"/>
      <c r="H635"/>
      <c r="I635"/>
      <c r="J635"/>
      <c r="K635"/>
      <c r="L635"/>
      <c r="M635"/>
      <c r="N635"/>
      <c r="O635"/>
      <c r="P635"/>
      <c r="Q635"/>
      <c r="R635"/>
      <c r="S635"/>
      <c r="T635"/>
      <c r="U635"/>
      <c r="V635"/>
      <c r="W635"/>
      <c r="X635"/>
      <c r="Y635"/>
      <c r="Z635"/>
      <c r="AA635"/>
      <c r="AB635"/>
      <c r="AC635"/>
      <c r="AD635"/>
      <c r="AE635"/>
      <c r="AF635"/>
      <c r="AG635"/>
      <c r="AH635"/>
      <c r="AI635"/>
    </row>
    <row r="636" spans="1:35" s="33" customFormat="1" ht="15.75">
      <c r="A636" s="178"/>
      <c r="B636" s="166"/>
      <c r="C636" s="125"/>
      <c r="D636" s="125"/>
      <c r="E636" s="32"/>
      <c r="F636"/>
      <c r="G636"/>
      <c r="H636"/>
      <c r="I636"/>
      <c r="J636"/>
      <c r="K636"/>
      <c r="L636"/>
      <c r="M636"/>
      <c r="N636"/>
      <c r="O636"/>
      <c r="P636"/>
      <c r="Q636"/>
      <c r="R636"/>
      <c r="S636"/>
      <c r="T636"/>
      <c r="U636"/>
      <c r="V636"/>
      <c r="W636"/>
      <c r="X636"/>
      <c r="Y636"/>
      <c r="Z636"/>
      <c r="AA636"/>
      <c r="AB636"/>
      <c r="AC636"/>
      <c r="AD636"/>
      <c r="AE636"/>
      <c r="AF636"/>
      <c r="AG636"/>
      <c r="AH636"/>
      <c r="AI636"/>
    </row>
    <row r="637" spans="1:35" s="33" customFormat="1" ht="15.75">
      <c r="A637" s="178"/>
      <c r="B637" s="166"/>
      <c r="C637" s="125"/>
      <c r="D637" s="125"/>
      <c r="E637" s="32"/>
      <c r="F637"/>
      <c r="G637"/>
      <c r="H637"/>
      <c r="I637"/>
      <c r="J637"/>
      <c r="K637"/>
      <c r="L637"/>
      <c r="M637"/>
      <c r="N637"/>
      <c r="O637"/>
      <c r="P637"/>
      <c r="Q637"/>
      <c r="R637"/>
      <c r="S637"/>
      <c r="T637"/>
      <c r="U637"/>
      <c r="V637"/>
      <c r="W637"/>
      <c r="X637"/>
      <c r="Y637"/>
      <c r="Z637"/>
      <c r="AA637"/>
      <c r="AB637"/>
      <c r="AC637"/>
      <c r="AD637"/>
      <c r="AE637"/>
      <c r="AF637"/>
      <c r="AG637"/>
      <c r="AH637"/>
      <c r="AI637"/>
    </row>
    <row r="638" spans="1:35" s="33" customFormat="1" ht="15.75">
      <c r="A638" s="178"/>
      <c r="B638" s="166"/>
      <c r="C638" s="125"/>
      <c r="D638" s="125"/>
      <c r="E638" s="32"/>
      <c r="F638"/>
      <c r="G638"/>
      <c r="H638"/>
      <c r="I638"/>
      <c r="J638"/>
      <c r="K638"/>
      <c r="L638"/>
      <c r="M638"/>
      <c r="N638"/>
      <c r="O638"/>
      <c r="P638"/>
      <c r="Q638"/>
      <c r="R638"/>
      <c r="S638"/>
      <c r="T638"/>
      <c r="U638"/>
      <c r="V638"/>
      <c r="W638"/>
      <c r="X638"/>
      <c r="Y638"/>
      <c r="Z638"/>
      <c r="AA638"/>
      <c r="AB638"/>
      <c r="AC638"/>
      <c r="AD638"/>
      <c r="AE638"/>
      <c r="AF638"/>
      <c r="AG638"/>
      <c r="AH638"/>
      <c r="AI638"/>
    </row>
    <row r="639" spans="1:35" s="33" customFormat="1" ht="15.75">
      <c r="A639" s="178"/>
      <c r="B639" s="166"/>
      <c r="C639" s="125"/>
      <c r="D639" s="125"/>
      <c r="E639" s="32"/>
      <c r="F639"/>
      <c r="G639"/>
      <c r="H639"/>
      <c r="I639"/>
      <c r="J639"/>
      <c r="K639"/>
      <c r="L639"/>
      <c r="M639"/>
      <c r="N639"/>
      <c r="O639"/>
      <c r="P639"/>
      <c r="Q639"/>
      <c r="R639"/>
      <c r="S639"/>
      <c r="T639"/>
      <c r="U639"/>
      <c r="V639"/>
      <c r="W639"/>
      <c r="X639"/>
      <c r="Y639"/>
      <c r="Z639"/>
      <c r="AA639"/>
      <c r="AB639"/>
      <c r="AC639"/>
      <c r="AD639"/>
      <c r="AE639"/>
      <c r="AF639"/>
      <c r="AG639"/>
      <c r="AH639"/>
      <c r="AI639"/>
    </row>
    <row r="640" spans="1:35" s="33" customFormat="1" ht="15.75">
      <c r="A640" s="178"/>
      <c r="B640" s="166"/>
      <c r="C640" s="125"/>
      <c r="D640" s="125"/>
      <c r="E640" s="32"/>
      <c r="F640"/>
      <c r="G640"/>
      <c r="H640"/>
      <c r="I640"/>
      <c r="J640"/>
      <c r="K640"/>
      <c r="L640"/>
      <c r="M640"/>
      <c r="N640"/>
      <c r="O640"/>
      <c r="P640"/>
      <c r="Q640"/>
      <c r="R640"/>
      <c r="S640"/>
      <c r="T640"/>
      <c r="U640"/>
      <c r="V640"/>
      <c r="W640"/>
      <c r="X640"/>
      <c r="Y640"/>
      <c r="Z640"/>
      <c r="AA640"/>
      <c r="AB640"/>
      <c r="AC640"/>
      <c r="AD640"/>
      <c r="AE640"/>
      <c r="AF640"/>
      <c r="AG640"/>
      <c r="AH640"/>
      <c r="AI640"/>
    </row>
    <row r="641" spans="1:35" s="33" customFormat="1" ht="15.75">
      <c r="A641" s="178"/>
      <c r="B641" s="166"/>
      <c r="C641" s="125"/>
      <c r="D641" s="125"/>
      <c r="E641" s="32"/>
      <c r="F641"/>
      <c r="G641"/>
      <c r="H641"/>
      <c r="I641"/>
      <c r="J641"/>
      <c r="K641"/>
      <c r="L641"/>
      <c r="M641"/>
      <c r="N641"/>
      <c r="O641"/>
      <c r="P641"/>
      <c r="Q641"/>
      <c r="R641"/>
      <c r="S641"/>
      <c r="T641"/>
      <c r="U641"/>
      <c r="V641"/>
      <c r="W641"/>
      <c r="X641"/>
      <c r="Y641"/>
      <c r="Z641"/>
      <c r="AA641"/>
      <c r="AB641"/>
      <c r="AC641"/>
      <c r="AD641"/>
      <c r="AE641"/>
      <c r="AF641"/>
      <c r="AG641"/>
      <c r="AH641"/>
      <c r="AI641"/>
    </row>
    <row r="642" spans="1:35" s="33" customFormat="1" ht="15.75">
      <c r="A642" s="178"/>
      <c r="B642" s="166"/>
      <c r="C642" s="125"/>
      <c r="D642" s="125"/>
      <c r="E642" s="32"/>
      <c r="F642"/>
      <c r="G642"/>
      <c r="H642"/>
      <c r="I642"/>
      <c r="J642"/>
      <c r="K642"/>
      <c r="L642"/>
      <c r="M642"/>
      <c r="N642"/>
      <c r="O642"/>
      <c r="P642"/>
      <c r="Q642"/>
      <c r="R642"/>
      <c r="S642"/>
      <c r="T642"/>
      <c r="U642"/>
      <c r="V642"/>
      <c r="W642"/>
      <c r="X642"/>
      <c r="Y642"/>
      <c r="Z642"/>
      <c r="AA642"/>
      <c r="AB642"/>
      <c r="AC642"/>
      <c r="AD642"/>
      <c r="AE642"/>
      <c r="AF642"/>
      <c r="AG642"/>
      <c r="AH642"/>
      <c r="AI642"/>
    </row>
    <row r="643" spans="1:35" s="33" customFormat="1" ht="15.75">
      <c r="A643" s="178"/>
      <c r="B643" s="166"/>
      <c r="C643" s="125"/>
      <c r="D643" s="125"/>
      <c r="E643" s="32"/>
      <c r="F643"/>
      <c r="G643"/>
      <c r="H643"/>
      <c r="I643"/>
      <c r="J643"/>
      <c r="K643"/>
      <c r="L643"/>
      <c r="M643"/>
      <c r="N643"/>
      <c r="O643"/>
      <c r="P643"/>
      <c r="Q643"/>
      <c r="R643"/>
      <c r="S643"/>
      <c r="T643"/>
      <c r="U643"/>
      <c r="V643"/>
      <c r="W643"/>
      <c r="X643"/>
      <c r="Y643"/>
      <c r="Z643"/>
      <c r="AA643"/>
      <c r="AB643"/>
      <c r="AC643"/>
      <c r="AD643"/>
      <c r="AE643"/>
      <c r="AF643"/>
      <c r="AG643"/>
      <c r="AH643"/>
      <c r="AI643"/>
    </row>
    <row r="644" spans="1:35" s="33" customFormat="1" ht="15.75">
      <c r="A644" s="178"/>
      <c r="B644" s="166"/>
      <c r="C644" s="125"/>
      <c r="D644" s="125"/>
      <c r="E644" s="32"/>
      <c r="F644"/>
      <c r="G644"/>
      <c r="H644"/>
      <c r="I644"/>
      <c r="J644"/>
      <c r="K644"/>
      <c r="L644"/>
      <c r="M644"/>
      <c r="N644"/>
      <c r="O644"/>
      <c r="P644"/>
      <c r="Q644"/>
      <c r="R644"/>
      <c r="S644"/>
      <c r="T644"/>
      <c r="U644"/>
      <c r="V644"/>
      <c r="W644"/>
      <c r="X644"/>
      <c r="Y644"/>
      <c r="Z644"/>
      <c r="AA644"/>
      <c r="AB644"/>
      <c r="AC644"/>
      <c r="AD644"/>
      <c r="AE644"/>
      <c r="AF644"/>
      <c r="AG644"/>
      <c r="AH644"/>
      <c r="AI644"/>
    </row>
    <row r="645" spans="1:35" s="33" customFormat="1" ht="15.75">
      <c r="A645" s="178"/>
      <c r="B645" s="166"/>
      <c r="C645" s="125"/>
      <c r="D645" s="125"/>
      <c r="E645" s="32"/>
      <c r="F645"/>
      <c r="G645"/>
      <c r="H645"/>
      <c r="I645"/>
      <c r="J645"/>
      <c r="K645"/>
      <c r="L645"/>
      <c r="M645"/>
      <c r="N645"/>
      <c r="O645"/>
      <c r="P645"/>
      <c r="Q645"/>
      <c r="R645"/>
      <c r="S645"/>
      <c r="T645"/>
      <c r="U645"/>
      <c r="V645"/>
      <c r="W645"/>
      <c r="X645"/>
      <c r="Y645"/>
      <c r="Z645"/>
      <c r="AA645"/>
      <c r="AB645"/>
      <c r="AC645"/>
      <c r="AD645"/>
      <c r="AE645"/>
      <c r="AF645"/>
      <c r="AG645"/>
      <c r="AH645"/>
      <c r="AI645"/>
    </row>
    <row r="646" spans="1:35" s="33" customFormat="1" ht="15.75">
      <c r="A646" s="178"/>
      <c r="B646" s="166"/>
      <c r="C646" s="125"/>
      <c r="D646" s="125"/>
      <c r="E646" s="32"/>
      <c r="F646"/>
      <c r="G646"/>
      <c r="H646"/>
      <c r="I646"/>
      <c r="J646"/>
      <c r="K646"/>
      <c r="L646"/>
      <c r="M646"/>
      <c r="N646"/>
      <c r="O646"/>
      <c r="P646"/>
      <c r="Q646"/>
      <c r="R646"/>
      <c r="S646"/>
      <c r="T646"/>
      <c r="U646"/>
      <c r="V646"/>
      <c r="W646"/>
      <c r="X646"/>
      <c r="Y646"/>
      <c r="Z646"/>
      <c r="AA646"/>
      <c r="AB646"/>
      <c r="AC646"/>
      <c r="AD646"/>
      <c r="AE646"/>
      <c r="AF646"/>
      <c r="AG646"/>
      <c r="AH646"/>
      <c r="AI646"/>
    </row>
    <row r="647" spans="1:35" s="33" customFormat="1" ht="15.75">
      <c r="A647" s="178"/>
      <c r="B647" s="166"/>
      <c r="C647" s="125"/>
      <c r="D647" s="125"/>
      <c r="E647" s="32"/>
      <c r="F647"/>
      <c r="G647"/>
      <c r="H647"/>
      <c r="I647"/>
      <c r="J647"/>
      <c r="K647"/>
      <c r="L647"/>
      <c r="M647"/>
      <c r="N647"/>
      <c r="O647"/>
      <c r="P647"/>
      <c r="Q647"/>
      <c r="R647"/>
      <c r="S647"/>
      <c r="T647"/>
      <c r="U647"/>
      <c r="V647"/>
      <c r="W647"/>
      <c r="X647"/>
      <c r="Y647"/>
      <c r="Z647"/>
      <c r="AA647"/>
      <c r="AB647"/>
      <c r="AC647"/>
      <c r="AD647"/>
      <c r="AE647"/>
      <c r="AF647"/>
      <c r="AG647"/>
      <c r="AH647"/>
      <c r="AI647"/>
    </row>
    <row r="648" spans="1:35" s="33" customFormat="1" ht="15.75">
      <c r="A648" s="178"/>
      <c r="B648" s="166"/>
      <c r="C648" s="125"/>
      <c r="D648" s="125"/>
      <c r="E648" s="32"/>
      <c r="F648"/>
      <c r="G648"/>
      <c r="H648"/>
      <c r="I648"/>
      <c r="J648"/>
      <c r="K648"/>
      <c r="L648"/>
      <c r="M648"/>
      <c r="N648"/>
      <c r="O648"/>
      <c r="P648"/>
      <c r="Q648"/>
      <c r="R648"/>
      <c r="S648"/>
      <c r="T648"/>
      <c r="U648"/>
      <c r="V648"/>
      <c r="W648"/>
      <c r="X648"/>
      <c r="Y648"/>
      <c r="Z648"/>
      <c r="AA648"/>
      <c r="AB648"/>
      <c r="AC648"/>
      <c r="AD648"/>
      <c r="AE648"/>
      <c r="AF648"/>
      <c r="AG648"/>
      <c r="AH648"/>
      <c r="AI648"/>
    </row>
    <row r="649" spans="1:35" s="33" customFormat="1" ht="15.75">
      <c r="A649" s="178"/>
      <c r="B649" s="166"/>
      <c r="C649" s="125"/>
      <c r="D649" s="125"/>
      <c r="E649" s="32"/>
      <c r="F649"/>
      <c r="G649"/>
      <c r="H649"/>
      <c r="I649"/>
      <c r="J649"/>
      <c r="K649"/>
      <c r="L649"/>
      <c r="M649"/>
      <c r="N649"/>
      <c r="O649"/>
      <c r="P649"/>
      <c r="Q649"/>
      <c r="R649"/>
      <c r="S649"/>
      <c r="T649"/>
      <c r="U649"/>
      <c r="V649"/>
      <c r="W649"/>
      <c r="X649"/>
      <c r="Y649"/>
      <c r="Z649"/>
      <c r="AA649"/>
      <c r="AB649"/>
      <c r="AC649"/>
      <c r="AD649"/>
      <c r="AE649"/>
      <c r="AF649"/>
      <c r="AG649"/>
      <c r="AH649"/>
      <c r="AI649"/>
    </row>
    <row r="650" spans="1:35" s="33" customFormat="1" ht="15.75">
      <c r="A650" s="178"/>
      <c r="B650" s="166"/>
      <c r="C650" s="125"/>
      <c r="D650" s="125"/>
      <c r="E650" s="32"/>
      <c r="F650"/>
      <c r="G650"/>
      <c r="H650"/>
      <c r="I650"/>
      <c r="J650"/>
      <c r="K650"/>
      <c r="L650"/>
      <c r="M650"/>
      <c r="N650"/>
      <c r="O650"/>
      <c r="P650"/>
      <c r="Q650"/>
      <c r="R650"/>
      <c r="S650"/>
      <c r="T650"/>
      <c r="U650"/>
      <c r="V650"/>
      <c r="W650"/>
      <c r="X650"/>
      <c r="Y650"/>
      <c r="Z650"/>
      <c r="AA650"/>
      <c r="AB650"/>
      <c r="AC650"/>
      <c r="AD650"/>
      <c r="AE650"/>
      <c r="AF650"/>
      <c r="AG650"/>
      <c r="AH650"/>
      <c r="AI650"/>
    </row>
    <row r="651" spans="1:35" s="33" customFormat="1" ht="15.75">
      <c r="A651" s="178"/>
      <c r="B651" s="166"/>
      <c r="C651" s="125"/>
      <c r="D651" s="125"/>
      <c r="E651" s="32"/>
      <c r="F651"/>
      <c r="G651"/>
      <c r="H651"/>
      <c r="I651"/>
      <c r="J651"/>
      <c r="K651"/>
      <c r="L651"/>
      <c r="M651"/>
      <c r="N651"/>
      <c r="O651"/>
      <c r="P651"/>
      <c r="Q651"/>
      <c r="R651"/>
      <c r="S651"/>
      <c r="T651"/>
      <c r="U651"/>
      <c r="V651"/>
      <c r="W651"/>
      <c r="X651"/>
      <c r="Y651"/>
      <c r="Z651"/>
      <c r="AA651"/>
      <c r="AB651"/>
      <c r="AC651"/>
      <c r="AD651"/>
      <c r="AE651"/>
      <c r="AF651"/>
      <c r="AG651"/>
      <c r="AH651"/>
      <c r="AI651"/>
    </row>
    <row r="652" spans="1:35" s="33" customFormat="1" ht="15.75">
      <c r="A652" s="178"/>
      <c r="B652" s="166"/>
      <c r="C652" s="125"/>
      <c r="D652" s="125"/>
      <c r="E652" s="32"/>
      <c r="F652"/>
      <c r="G652"/>
      <c r="H652"/>
      <c r="I652"/>
      <c r="J652"/>
      <c r="K652"/>
      <c r="L652"/>
      <c r="M652"/>
      <c r="N652"/>
      <c r="O652"/>
      <c r="P652"/>
      <c r="Q652"/>
      <c r="R652"/>
      <c r="S652"/>
      <c r="T652"/>
      <c r="U652"/>
      <c r="V652"/>
      <c r="W652"/>
      <c r="X652"/>
      <c r="Y652"/>
      <c r="Z652"/>
      <c r="AA652"/>
      <c r="AB652"/>
      <c r="AC652"/>
      <c r="AD652"/>
      <c r="AE652"/>
      <c r="AF652"/>
      <c r="AG652"/>
      <c r="AH652"/>
      <c r="AI652"/>
    </row>
    <row r="653" spans="1:35" s="33" customFormat="1" ht="15.75">
      <c r="A653" s="178"/>
      <c r="B653" s="166"/>
      <c r="C653" s="125"/>
      <c r="D653" s="125"/>
      <c r="E653" s="32"/>
      <c r="F653"/>
      <c r="G653"/>
      <c r="H653"/>
      <c r="I653"/>
      <c r="J653"/>
      <c r="K653"/>
      <c r="L653"/>
      <c r="M653"/>
      <c r="N653"/>
      <c r="O653"/>
      <c r="P653"/>
      <c r="Q653"/>
      <c r="R653"/>
      <c r="S653"/>
      <c r="T653"/>
      <c r="U653"/>
      <c r="V653"/>
      <c r="W653"/>
      <c r="X653"/>
      <c r="Y653"/>
      <c r="Z653"/>
      <c r="AA653"/>
      <c r="AB653"/>
      <c r="AC653"/>
      <c r="AD653"/>
      <c r="AE653"/>
      <c r="AF653"/>
      <c r="AG653"/>
      <c r="AH653"/>
      <c r="AI653"/>
    </row>
    <row r="654" spans="1:35" s="33" customFormat="1" ht="15.75">
      <c r="A654" s="178"/>
      <c r="B654" s="166"/>
      <c r="C654" s="125"/>
      <c r="D654" s="125"/>
      <c r="E654" s="32"/>
      <c r="F654"/>
      <c r="G654"/>
      <c r="H654"/>
      <c r="I654"/>
      <c r="J654"/>
      <c r="K654"/>
      <c r="L654"/>
      <c r="M654"/>
      <c r="N654"/>
      <c r="O654"/>
      <c r="P654"/>
      <c r="Q654"/>
      <c r="R654"/>
      <c r="S654"/>
      <c r="T654"/>
      <c r="U654"/>
      <c r="V654"/>
      <c r="W654"/>
      <c r="X654"/>
      <c r="Y654"/>
      <c r="Z654"/>
      <c r="AA654"/>
      <c r="AB654"/>
      <c r="AC654"/>
      <c r="AD654"/>
      <c r="AE654"/>
      <c r="AF654"/>
      <c r="AG654"/>
      <c r="AH654"/>
      <c r="AI654"/>
    </row>
    <row r="655" spans="1:35" s="33" customFormat="1" ht="15.75">
      <c r="A655" s="178"/>
      <c r="B655" s="166"/>
      <c r="C655" s="125"/>
      <c r="D655" s="125"/>
      <c r="E655" s="32"/>
      <c r="F655"/>
      <c r="G655"/>
      <c r="H655"/>
      <c r="I655"/>
      <c r="J655"/>
      <c r="K655"/>
      <c r="L655"/>
      <c r="M655"/>
      <c r="N655"/>
      <c r="O655"/>
      <c r="P655"/>
      <c r="Q655"/>
      <c r="R655"/>
      <c r="S655"/>
      <c r="T655"/>
      <c r="U655"/>
      <c r="V655"/>
      <c r="W655"/>
      <c r="X655"/>
      <c r="Y655"/>
      <c r="Z655"/>
      <c r="AA655"/>
      <c r="AB655"/>
      <c r="AC655"/>
      <c r="AD655"/>
      <c r="AE655"/>
      <c r="AF655"/>
      <c r="AG655"/>
      <c r="AH655"/>
      <c r="AI655"/>
    </row>
    <row r="656" spans="1:35" s="33" customFormat="1" ht="15.75">
      <c r="A656" s="178"/>
      <c r="B656" s="166"/>
      <c r="C656" s="125"/>
      <c r="D656" s="125"/>
      <c r="E656" s="32"/>
      <c r="F656"/>
      <c r="G656"/>
      <c r="H656"/>
      <c r="I656"/>
      <c r="J656"/>
      <c r="K656"/>
      <c r="L656"/>
      <c r="M656"/>
      <c r="N656"/>
      <c r="O656"/>
      <c r="P656"/>
      <c r="Q656"/>
      <c r="R656"/>
      <c r="S656"/>
      <c r="T656"/>
      <c r="U656"/>
      <c r="V656"/>
      <c r="W656"/>
      <c r="X656"/>
      <c r="Y656"/>
      <c r="Z656"/>
      <c r="AA656"/>
      <c r="AB656"/>
      <c r="AC656"/>
      <c r="AD656"/>
      <c r="AE656"/>
      <c r="AF656"/>
      <c r="AG656"/>
      <c r="AH656"/>
      <c r="AI656"/>
    </row>
    <row r="657" spans="1:35" s="33" customFormat="1" ht="15.75">
      <c r="A657" s="178"/>
      <c r="B657" s="166"/>
      <c r="C657" s="125"/>
      <c r="D657" s="125"/>
      <c r="E657" s="32"/>
      <c r="F657"/>
      <c r="G657"/>
      <c r="H657"/>
      <c r="I657"/>
      <c r="J657"/>
      <c r="K657"/>
      <c r="L657"/>
      <c r="M657"/>
      <c r="N657"/>
      <c r="O657"/>
      <c r="P657"/>
      <c r="Q657"/>
      <c r="R657"/>
      <c r="S657"/>
      <c r="T657"/>
      <c r="U657"/>
      <c r="V657"/>
      <c r="W657"/>
      <c r="X657"/>
      <c r="Y657"/>
      <c r="Z657"/>
      <c r="AA657"/>
      <c r="AB657"/>
      <c r="AC657"/>
      <c r="AD657"/>
      <c r="AE657"/>
      <c r="AF657"/>
      <c r="AG657"/>
      <c r="AH657"/>
      <c r="AI657"/>
    </row>
    <row r="658" spans="1:35" s="33" customFormat="1" ht="15.75">
      <c r="A658" s="178"/>
      <c r="B658" s="166"/>
      <c r="C658" s="125"/>
      <c r="D658" s="125"/>
      <c r="E658" s="32"/>
      <c r="F658"/>
      <c r="G658"/>
      <c r="H658"/>
      <c r="I658"/>
      <c r="J658"/>
      <c r="K658"/>
      <c r="L658"/>
      <c r="M658"/>
      <c r="N658"/>
      <c r="O658"/>
      <c r="P658"/>
      <c r="Q658"/>
      <c r="R658"/>
      <c r="S658"/>
      <c r="T658"/>
      <c r="U658"/>
      <c r="V658"/>
      <c r="W658"/>
      <c r="X658"/>
      <c r="Y658"/>
      <c r="Z658"/>
      <c r="AA658"/>
      <c r="AB658"/>
      <c r="AC658"/>
      <c r="AD658"/>
      <c r="AE658"/>
      <c r="AF658"/>
      <c r="AG658"/>
      <c r="AH658"/>
      <c r="AI658"/>
    </row>
    <row r="659" spans="1:35" s="33" customFormat="1" ht="15.75">
      <c r="A659" s="178"/>
      <c r="B659" s="166"/>
      <c r="C659" s="125"/>
      <c r="D659" s="125"/>
      <c r="E659" s="32"/>
      <c r="F659"/>
      <c r="G659"/>
      <c r="H659"/>
      <c r="I659"/>
      <c r="J659"/>
      <c r="K659"/>
      <c r="L659"/>
      <c r="M659"/>
      <c r="N659"/>
      <c r="O659"/>
      <c r="P659"/>
      <c r="Q659"/>
      <c r="R659"/>
      <c r="S659"/>
      <c r="T659"/>
      <c r="U659"/>
      <c r="V659"/>
      <c r="W659"/>
      <c r="X659"/>
      <c r="Y659"/>
      <c r="Z659"/>
      <c r="AA659"/>
      <c r="AB659"/>
      <c r="AC659"/>
      <c r="AD659"/>
      <c r="AE659"/>
      <c r="AF659"/>
      <c r="AG659"/>
      <c r="AH659"/>
      <c r="AI659"/>
    </row>
    <row r="660" spans="1:35" s="33" customFormat="1" ht="15.75">
      <c r="A660" s="178"/>
      <c r="B660" s="166"/>
      <c r="C660" s="125"/>
      <c r="D660" s="125"/>
      <c r="E660" s="32"/>
      <c r="F660"/>
      <c r="G660"/>
      <c r="H660"/>
      <c r="I660"/>
      <c r="J660"/>
      <c r="K660"/>
      <c r="L660"/>
      <c r="M660"/>
      <c r="N660"/>
      <c r="O660"/>
      <c r="P660"/>
      <c r="Q660"/>
      <c r="R660"/>
      <c r="S660"/>
      <c r="T660"/>
      <c r="U660"/>
      <c r="V660"/>
      <c r="W660"/>
      <c r="X660"/>
      <c r="Y660"/>
      <c r="Z660"/>
      <c r="AA660"/>
      <c r="AB660"/>
      <c r="AC660"/>
      <c r="AD660"/>
      <c r="AE660"/>
      <c r="AF660"/>
      <c r="AG660"/>
      <c r="AH660"/>
      <c r="AI660"/>
    </row>
    <row r="661" spans="1:35" s="33" customFormat="1" ht="15.75">
      <c r="A661" s="178"/>
      <c r="B661" s="166"/>
      <c r="C661" s="125"/>
      <c r="D661" s="125"/>
      <c r="E661" s="32"/>
      <c r="F661"/>
      <c r="G661"/>
      <c r="H661"/>
      <c r="I661"/>
      <c r="J661"/>
      <c r="K661"/>
      <c r="L661"/>
      <c r="M661"/>
      <c r="N661"/>
      <c r="O661"/>
      <c r="P661"/>
      <c r="Q661"/>
      <c r="R661"/>
      <c r="S661"/>
      <c r="T661"/>
      <c r="U661"/>
      <c r="V661"/>
      <c r="W661"/>
      <c r="X661"/>
      <c r="Y661"/>
      <c r="Z661"/>
      <c r="AA661"/>
      <c r="AB661"/>
      <c r="AC661"/>
      <c r="AD661"/>
      <c r="AE661"/>
      <c r="AF661"/>
      <c r="AG661"/>
      <c r="AH661"/>
      <c r="AI661"/>
    </row>
    <row r="662" spans="1:35" s="33" customFormat="1" ht="15.75">
      <c r="A662" s="178"/>
      <c r="B662" s="166"/>
      <c r="C662" s="125"/>
      <c r="D662" s="125"/>
      <c r="E662" s="32"/>
      <c r="F662"/>
      <c r="G662"/>
      <c r="H662"/>
      <c r="I662"/>
      <c r="J662"/>
      <c r="K662"/>
      <c r="L662"/>
      <c r="M662"/>
      <c r="N662"/>
      <c r="O662"/>
      <c r="P662"/>
      <c r="Q662"/>
      <c r="R662"/>
      <c r="S662"/>
      <c r="T662"/>
      <c r="U662"/>
      <c r="V662"/>
      <c r="W662"/>
      <c r="X662"/>
      <c r="Y662"/>
      <c r="Z662"/>
      <c r="AA662"/>
      <c r="AB662"/>
      <c r="AC662"/>
      <c r="AD662"/>
      <c r="AE662"/>
      <c r="AF662"/>
      <c r="AG662"/>
      <c r="AH662"/>
      <c r="AI662"/>
    </row>
    <row r="663" spans="1:35" s="33" customFormat="1" ht="15.75">
      <c r="A663" s="178"/>
      <c r="B663" s="166"/>
      <c r="C663" s="125"/>
      <c r="D663" s="125"/>
      <c r="E663" s="32"/>
      <c r="F663"/>
      <c r="G663"/>
      <c r="H663"/>
      <c r="I663"/>
      <c r="J663"/>
      <c r="K663"/>
      <c r="L663"/>
      <c r="M663"/>
      <c r="N663"/>
      <c r="O663"/>
      <c r="P663"/>
      <c r="Q663"/>
      <c r="R663"/>
      <c r="S663"/>
      <c r="T663"/>
      <c r="U663"/>
      <c r="V663"/>
      <c r="W663"/>
      <c r="X663"/>
      <c r="Y663"/>
      <c r="Z663"/>
      <c r="AA663"/>
      <c r="AB663"/>
      <c r="AC663"/>
      <c r="AD663"/>
      <c r="AE663"/>
      <c r="AF663"/>
      <c r="AG663"/>
      <c r="AH663"/>
      <c r="AI663"/>
    </row>
    <row r="664" spans="1:35" s="33" customFormat="1" ht="15.75">
      <c r="A664" s="178"/>
      <c r="B664" s="166"/>
      <c r="C664" s="125"/>
      <c r="D664" s="125"/>
      <c r="E664" s="32"/>
      <c r="F664"/>
      <c r="G664"/>
      <c r="H664"/>
      <c r="I664"/>
      <c r="J664"/>
      <c r="K664"/>
      <c r="L664"/>
      <c r="M664"/>
      <c r="N664"/>
      <c r="O664"/>
      <c r="P664"/>
      <c r="Q664"/>
      <c r="R664"/>
      <c r="S664"/>
      <c r="T664"/>
      <c r="U664"/>
      <c r="V664"/>
      <c r="W664"/>
      <c r="X664"/>
      <c r="Y664"/>
      <c r="Z664"/>
      <c r="AA664"/>
      <c r="AB664"/>
      <c r="AC664"/>
      <c r="AD664"/>
      <c r="AE664"/>
      <c r="AF664"/>
      <c r="AG664"/>
      <c r="AH664"/>
      <c r="AI664"/>
    </row>
    <row r="665" spans="1:35" s="33" customFormat="1" ht="15.75">
      <c r="A665" s="178"/>
      <c r="B665" s="166"/>
      <c r="C665" s="125"/>
      <c r="D665" s="125"/>
      <c r="E665" s="32"/>
      <c r="F665"/>
      <c r="G665"/>
      <c r="H665"/>
      <c r="I665"/>
      <c r="J665"/>
      <c r="K665"/>
      <c r="L665"/>
      <c r="M665"/>
      <c r="N665"/>
      <c r="O665"/>
      <c r="P665"/>
      <c r="Q665"/>
      <c r="R665"/>
      <c r="S665"/>
      <c r="T665"/>
      <c r="U665"/>
      <c r="V665"/>
      <c r="W665"/>
      <c r="X665"/>
      <c r="Y665"/>
      <c r="Z665"/>
      <c r="AA665"/>
      <c r="AB665"/>
      <c r="AC665"/>
      <c r="AD665"/>
      <c r="AE665"/>
      <c r="AF665"/>
      <c r="AG665"/>
      <c r="AH665"/>
      <c r="AI665"/>
    </row>
    <row r="666" spans="1:35" s="33" customFormat="1" ht="15.75">
      <c r="A666" s="178"/>
      <c r="B666" s="166"/>
      <c r="C666" s="125"/>
      <c r="D666" s="125"/>
      <c r="E666" s="32"/>
      <c r="F666"/>
      <c r="G666"/>
      <c r="H666"/>
      <c r="I666"/>
      <c r="J666"/>
      <c r="K666"/>
      <c r="L666"/>
      <c r="M666"/>
      <c r="N666"/>
      <c r="O666"/>
      <c r="P666"/>
      <c r="Q666"/>
      <c r="R666"/>
      <c r="S666"/>
      <c r="T666"/>
      <c r="U666"/>
      <c r="V666"/>
      <c r="W666"/>
      <c r="X666"/>
      <c r="Y666"/>
      <c r="Z666"/>
      <c r="AA666"/>
      <c r="AB666"/>
      <c r="AC666"/>
      <c r="AD666"/>
      <c r="AE666"/>
      <c r="AF666"/>
      <c r="AG666"/>
      <c r="AH666"/>
      <c r="AI666"/>
    </row>
    <row r="667" spans="1:35" s="33" customFormat="1" ht="15.75">
      <c r="A667" s="178"/>
      <c r="B667" s="166"/>
      <c r="C667" s="125"/>
      <c r="D667" s="125"/>
      <c r="E667" s="32"/>
      <c r="F667"/>
      <c r="G667"/>
      <c r="H667"/>
      <c r="I667"/>
      <c r="J667"/>
      <c r="K667"/>
      <c r="L667"/>
      <c r="M667"/>
      <c r="N667"/>
      <c r="O667"/>
      <c r="P667"/>
      <c r="Q667"/>
      <c r="R667"/>
      <c r="S667"/>
      <c r="T667"/>
      <c r="U667"/>
      <c r="V667"/>
      <c r="W667"/>
      <c r="X667"/>
      <c r="Y667"/>
      <c r="Z667"/>
      <c r="AA667"/>
      <c r="AB667"/>
      <c r="AC667"/>
      <c r="AD667"/>
      <c r="AE667"/>
      <c r="AF667"/>
      <c r="AG667"/>
      <c r="AH667"/>
      <c r="AI667"/>
    </row>
    <row r="668" spans="1:35" s="33" customFormat="1" ht="15.75">
      <c r="A668" s="178"/>
      <c r="B668" s="166"/>
      <c r="C668" s="125"/>
      <c r="D668" s="125"/>
      <c r="E668" s="32"/>
      <c r="F668"/>
      <c r="G668"/>
      <c r="H668"/>
      <c r="I668"/>
      <c r="J668"/>
      <c r="K668"/>
      <c r="L668"/>
      <c r="M668"/>
      <c r="N668"/>
      <c r="O668"/>
      <c r="P668"/>
      <c r="Q668"/>
      <c r="R668"/>
      <c r="S668"/>
      <c r="T668"/>
      <c r="U668"/>
      <c r="V668"/>
      <c r="W668"/>
      <c r="X668"/>
      <c r="Y668"/>
      <c r="Z668"/>
      <c r="AA668"/>
      <c r="AB668"/>
      <c r="AC668"/>
      <c r="AD668"/>
      <c r="AE668"/>
      <c r="AF668"/>
      <c r="AG668"/>
      <c r="AH668"/>
      <c r="AI668"/>
    </row>
    <row r="669" spans="1:35" s="33" customFormat="1" ht="15.75">
      <c r="A669" s="178"/>
      <c r="B669" s="166"/>
      <c r="C669" s="125"/>
      <c r="D669" s="125"/>
      <c r="E669" s="32"/>
      <c r="F669"/>
      <c r="G669"/>
      <c r="H669"/>
      <c r="I669"/>
      <c r="J669"/>
      <c r="K669"/>
      <c r="L669"/>
      <c r="M669"/>
      <c r="N669"/>
      <c r="O669"/>
      <c r="P669"/>
      <c r="Q669"/>
      <c r="R669"/>
      <c r="S669"/>
      <c r="T669"/>
      <c r="U669"/>
      <c r="V669"/>
      <c r="W669"/>
      <c r="X669"/>
      <c r="Y669"/>
      <c r="Z669"/>
      <c r="AA669"/>
      <c r="AB669"/>
      <c r="AC669"/>
      <c r="AD669"/>
      <c r="AE669"/>
      <c r="AF669"/>
      <c r="AG669"/>
      <c r="AH669"/>
      <c r="AI669"/>
    </row>
    <row r="670" spans="1:35" s="33" customFormat="1" ht="15.75">
      <c r="A670" s="178"/>
      <c r="B670" s="166"/>
      <c r="C670" s="125"/>
      <c r="D670" s="125"/>
      <c r="E670" s="32"/>
      <c r="F670"/>
      <c r="G670"/>
      <c r="H670"/>
      <c r="I670"/>
      <c r="J670"/>
      <c r="K670"/>
      <c r="L670"/>
      <c r="M670"/>
      <c r="N670"/>
      <c r="O670"/>
      <c r="P670"/>
      <c r="Q670"/>
      <c r="R670"/>
      <c r="S670"/>
      <c r="T670"/>
      <c r="U670"/>
      <c r="V670"/>
      <c r="W670"/>
      <c r="X670"/>
      <c r="Y670"/>
      <c r="Z670"/>
      <c r="AA670"/>
      <c r="AB670"/>
      <c r="AC670"/>
      <c r="AD670"/>
      <c r="AE670"/>
      <c r="AF670"/>
      <c r="AG670"/>
      <c r="AH670"/>
      <c r="AI670"/>
    </row>
    <row r="671" spans="1:35" s="33" customFormat="1" ht="15.75">
      <c r="A671" s="178"/>
      <c r="B671" s="166"/>
      <c r="C671" s="125"/>
      <c r="D671" s="125"/>
      <c r="E671" s="32"/>
      <c r="F671"/>
      <c r="G671"/>
      <c r="H671"/>
      <c r="I671"/>
      <c r="J671"/>
      <c r="K671"/>
      <c r="L671"/>
      <c r="M671"/>
      <c r="N671"/>
      <c r="O671"/>
      <c r="P671"/>
      <c r="Q671"/>
      <c r="R671"/>
      <c r="S671"/>
      <c r="T671"/>
      <c r="U671"/>
      <c r="V671"/>
      <c r="W671"/>
      <c r="X671"/>
      <c r="Y671"/>
      <c r="Z671"/>
      <c r="AA671"/>
      <c r="AB671"/>
      <c r="AC671"/>
      <c r="AD671"/>
      <c r="AE671"/>
      <c r="AF671"/>
      <c r="AG671"/>
      <c r="AH671"/>
      <c r="AI671"/>
    </row>
    <row r="672" spans="1:35" s="33" customFormat="1" ht="15.75">
      <c r="A672" s="178"/>
      <c r="B672" s="166"/>
      <c r="C672" s="125"/>
      <c r="D672" s="125"/>
      <c r="E672" s="32"/>
      <c r="F672"/>
      <c r="G672"/>
      <c r="H672"/>
      <c r="I672"/>
      <c r="J672"/>
      <c r="K672"/>
      <c r="L672"/>
      <c r="M672"/>
      <c r="N672"/>
      <c r="O672"/>
      <c r="P672"/>
      <c r="Q672"/>
      <c r="R672"/>
      <c r="S672"/>
      <c r="T672"/>
      <c r="U672"/>
      <c r="V672"/>
      <c r="W672"/>
      <c r="X672"/>
      <c r="Y672"/>
      <c r="Z672"/>
      <c r="AA672"/>
      <c r="AB672"/>
      <c r="AC672"/>
      <c r="AD672"/>
      <c r="AE672"/>
      <c r="AF672"/>
      <c r="AG672"/>
      <c r="AH672"/>
      <c r="AI672"/>
    </row>
    <row r="673" spans="1:35" s="33" customFormat="1" ht="15.75">
      <c r="A673" s="178"/>
      <c r="B673" s="166"/>
      <c r="C673" s="125"/>
      <c r="D673" s="125"/>
      <c r="E673" s="32"/>
      <c r="F673"/>
      <c r="G673"/>
      <c r="H673"/>
      <c r="I673"/>
      <c r="J673"/>
      <c r="K673"/>
      <c r="L673"/>
      <c r="M673"/>
      <c r="N673"/>
      <c r="O673"/>
      <c r="P673"/>
      <c r="Q673"/>
      <c r="R673"/>
      <c r="S673"/>
      <c r="T673"/>
      <c r="U673"/>
      <c r="V673"/>
      <c r="W673"/>
      <c r="X673"/>
      <c r="Y673"/>
      <c r="Z673"/>
      <c r="AA673"/>
      <c r="AB673"/>
      <c r="AC673"/>
      <c r="AD673"/>
      <c r="AE673"/>
      <c r="AF673"/>
      <c r="AG673"/>
      <c r="AH673"/>
      <c r="AI673"/>
    </row>
    <row r="674" spans="1:35" s="33" customFormat="1" ht="15.75">
      <c r="A674" s="178"/>
      <c r="B674" s="166"/>
      <c r="C674" s="125"/>
      <c r="D674" s="125"/>
      <c r="E674" s="32"/>
      <c r="F674"/>
      <c r="G674"/>
      <c r="H674"/>
      <c r="I674"/>
      <c r="J674"/>
      <c r="K674"/>
      <c r="L674"/>
      <c r="M674"/>
      <c r="N674"/>
      <c r="O674"/>
      <c r="P674"/>
      <c r="Q674"/>
      <c r="R674"/>
      <c r="S674"/>
      <c r="T674"/>
      <c r="U674"/>
      <c r="V674"/>
      <c r="W674"/>
      <c r="X674"/>
      <c r="Y674"/>
      <c r="Z674"/>
      <c r="AA674"/>
      <c r="AB674"/>
      <c r="AC674"/>
      <c r="AD674"/>
      <c r="AE674"/>
      <c r="AF674"/>
      <c r="AG674"/>
      <c r="AH674"/>
      <c r="AI674"/>
    </row>
    <row r="675" spans="1:35" s="33" customFormat="1" ht="15.75">
      <c r="A675" s="178"/>
      <c r="B675" s="166"/>
      <c r="C675" s="125"/>
      <c r="D675" s="125"/>
      <c r="E675" s="32"/>
      <c r="F675"/>
      <c r="G675"/>
      <c r="H675"/>
      <c r="I675"/>
      <c r="J675"/>
      <c r="K675"/>
      <c r="L675"/>
      <c r="M675"/>
      <c r="N675"/>
      <c r="O675"/>
      <c r="P675"/>
      <c r="Q675"/>
      <c r="R675"/>
      <c r="S675"/>
      <c r="T675"/>
      <c r="U675"/>
      <c r="V675"/>
      <c r="W675"/>
      <c r="X675"/>
      <c r="Y675"/>
      <c r="Z675"/>
      <c r="AA675"/>
      <c r="AB675"/>
      <c r="AC675"/>
      <c r="AD675"/>
      <c r="AE675"/>
      <c r="AF675"/>
      <c r="AG675"/>
      <c r="AH675"/>
      <c r="AI675"/>
    </row>
    <row r="676" spans="1:35" s="33" customFormat="1" ht="15.75">
      <c r="A676" s="178"/>
      <c r="B676" s="166"/>
      <c r="C676" s="125"/>
      <c r="D676" s="125"/>
      <c r="E676" s="32"/>
      <c r="F676"/>
      <c r="G676"/>
      <c r="H676"/>
      <c r="I676"/>
      <c r="J676"/>
      <c r="K676"/>
      <c r="L676"/>
      <c r="M676"/>
      <c r="N676"/>
      <c r="O676"/>
      <c r="P676"/>
      <c r="Q676"/>
      <c r="R676"/>
      <c r="S676"/>
      <c r="T676"/>
      <c r="U676"/>
      <c r="V676"/>
      <c r="W676"/>
      <c r="X676"/>
      <c r="Y676"/>
      <c r="Z676"/>
      <c r="AA676"/>
      <c r="AB676"/>
      <c r="AC676"/>
      <c r="AD676"/>
      <c r="AE676"/>
      <c r="AF676"/>
      <c r="AG676"/>
      <c r="AH676"/>
      <c r="AI676"/>
    </row>
    <row r="677" spans="1:35" s="33" customFormat="1" ht="15.75">
      <c r="A677" s="178"/>
      <c r="B677" s="166"/>
      <c r="C677" s="125"/>
      <c r="D677" s="125"/>
      <c r="E677" s="32"/>
      <c r="F677"/>
      <c r="G677"/>
      <c r="H677"/>
      <c r="I677"/>
      <c r="J677"/>
      <c r="K677"/>
      <c r="L677"/>
      <c r="M677"/>
      <c r="N677"/>
      <c r="O677"/>
      <c r="P677"/>
      <c r="Q677"/>
      <c r="R677"/>
      <c r="S677"/>
      <c r="T677"/>
      <c r="U677"/>
      <c r="V677"/>
      <c r="W677"/>
      <c r="X677"/>
      <c r="Y677"/>
      <c r="Z677"/>
      <c r="AA677"/>
      <c r="AB677"/>
      <c r="AC677"/>
      <c r="AD677"/>
      <c r="AE677"/>
      <c r="AF677"/>
      <c r="AG677"/>
      <c r="AH677"/>
      <c r="AI677"/>
    </row>
    <row r="678" spans="1:35" s="33" customFormat="1" ht="15.75">
      <c r="A678" s="178"/>
      <c r="B678" s="166"/>
      <c r="C678" s="125"/>
      <c r="D678" s="125"/>
      <c r="E678" s="32"/>
      <c r="F678"/>
      <c r="G678"/>
      <c r="H678"/>
      <c r="I678"/>
      <c r="J678"/>
      <c r="K678"/>
      <c r="L678"/>
      <c r="M678"/>
      <c r="N678"/>
      <c r="O678"/>
      <c r="P678"/>
      <c r="Q678"/>
      <c r="R678"/>
      <c r="S678"/>
      <c r="T678"/>
      <c r="U678"/>
      <c r="V678"/>
      <c r="W678"/>
      <c r="X678"/>
      <c r="Y678"/>
      <c r="Z678"/>
      <c r="AA678"/>
      <c r="AB678"/>
      <c r="AC678"/>
      <c r="AD678"/>
      <c r="AE678"/>
      <c r="AF678"/>
      <c r="AG678"/>
      <c r="AH678"/>
      <c r="AI678"/>
    </row>
    <row r="679" spans="1:35" s="33" customFormat="1" ht="15.75">
      <c r="A679" s="178"/>
      <c r="B679" s="166"/>
      <c r="C679" s="125"/>
      <c r="D679" s="125"/>
      <c r="E679" s="32"/>
      <c r="F679"/>
      <c r="G679"/>
      <c r="H679"/>
      <c r="I679"/>
      <c r="J679"/>
      <c r="K679"/>
      <c r="L679"/>
      <c r="M679"/>
      <c r="N679"/>
      <c r="O679"/>
      <c r="P679"/>
      <c r="Q679"/>
      <c r="R679"/>
      <c r="S679"/>
      <c r="T679"/>
      <c r="U679"/>
      <c r="V679"/>
      <c r="W679"/>
      <c r="X679"/>
      <c r="Y679"/>
      <c r="Z679"/>
      <c r="AA679"/>
      <c r="AB679"/>
      <c r="AC679"/>
      <c r="AD679"/>
      <c r="AE679"/>
      <c r="AF679"/>
      <c r="AG679"/>
      <c r="AH679"/>
      <c r="AI679"/>
    </row>
    <row r="680" spans="1:35" s="33" customFormat="1" ht="15.75">
      <c r="A680" s="178"/>
      <c r="B680" s="166"/>
      <c r="C680" s="125"/>
      <c r="D680" s="125"/>
      <c r="E680" s="32"/>
      <c r="F680"/>
      <c r="G680"/>
      <c r="H680"/>
      <c r="I680"/>
      <c r="J680"/>
      <c r="K680"/>
      <c r="L680"/>
      <c r="M680"/>
      <c r="N680"/>
      <c r="O680"/>
      <c r="P680"/>
      <c r="Q680"/>
      <c r="R680"/>
      <c r="S680"/>
      <c r="T680"/>
      <c r="U680"/>
      <c r="V680"/>
      <c r="W680"/>
      <c r="X680"/>
      <c r="Y680"/>
      <c r="Z680"/>
      <c r="AA680"/>
      <c r="AB680"/>
      <c r="AC680"/>
      <c r="AD680"/>
      <c r="AE680"/>
      <c r="AF680"/>
      <c r="AG680"/>
      <c r="AH680"/>
      <c r="AI680"/>
    </row>
    <row r="681" spans="1:35" s="33" customFormat="1" ht="15.75">
      <c r="A681" s="178"/>
      <c r="B681" s="166"/>
      <c r="C681" s="125"/>
      <c r="D681" s="125"/>
      <c r="E681" s="32"/>
      <c r="F681"/>
      <c r="G681"/>
      <c r="H681"/>
      <c r="I681"/>
      <c r="J681"/>
      <c r="K681"/>
      <c r="L681"/>
      <c r="M681"/>
      <c r="N681"/>
      <c r="O681"/>
      <c r="P681"/>
      <c r="Q681"/>
      <c r="R681"/>
      <c r="S681"/>
      <c r="T681"/>
      <c r="U681"/>
      <c r="V681"/>
      <c r="W681"/>
      <c r="X681"/>
      <c r="Y681"/>
      <c r="Z681"/>
      <c r="AA681"/>
      <c r="AB681"/>
      <c r="AC681"/>
      <c r="AD681"/>
      <c r="AE681"/>
      <c r="AF681"/>
      <c r="AG681"/>
      <c r="AH681"/>
      <c r="AI681"/>
    </row>
    <row r="682" spans="1:35" s="33" customFormat="1" ht="15.75">
      <c r="A682" s="178"/>
      <c r="B682" s="166"/>
      <c r="C682" s="125"/>
      <c r="D682" s="125"/>
      <c r="E682" s="32"/>
      <c r="F682"/>
      <c r="G682"/>
      <c r="H682"/>
      <c r="I682"/>
      <c r="J682"/>
      <c r="K682"/>
      <c r="L682"/>
      <c r="M682"/>
      <c r="N682"/>
      <c r="O682"/>
      <c r="P682"/>
      <c r="Q682"/>
      <c r="R682"/>
      <c r="S682"/>
      <c r="T682"/>
      <c r="U682"/>
      <c r="V682"/>
      <c r="W682"/>
      <c r="X682"/>
      <c r="Y682"/>
      <c r="Z682"/>
      <c r="AA682"/>
      <c r="AB682"/>
      <c r="AC682"/>
      <c r="AD682"/>
      <c r="AE682"/>
      <c r="AF682"/>
      <c r="AG682"/>
      <c r="AH682"/>
      <c r="AI682"/>
    </row>
    <row r="683" spans="1:35" s="33" customFormat="1" ht="15.75">
      <c r="A683" s="178"/>
      <c r="B683" s="166"/>
      <c r="C683" s="125"/>
      <c r="D683" s="125"/>
      <c r="E683" s="32"/>
      <c r="F683"/>
      <c r="G683"/>
      <c r="H683"/>
      <c r="I683"/>
      <c r="J683"/>
      <c r="K683"/>
      <c r="L683"/>
      <c r="M683"/>
      <c r="N683"/>
      <c r="O683"/>
      <c r="P683"/>
      <c r="Q683"/>
      <c r="R683"/>
      <c r="S683"/>
      <c r="T683"/>
      <c r="U683"/>
      <c r="V683"/>
      <c r="W683"/>
      <c r="X683"/>
      <c r="Y683"/>
      <c r="Z683"/>
      <c r="AA683"/>
      <c r="AB683"/>
      <c r="AC683"/>
      <c r="AD683"/>
      <c r="AE683"/>
      <c r="AF683"/>
      <c r="AG683"/>
      <c r="AH683"/>
      <c r="AI683"/>
    </row>
    <row r="684" spans="1:35" s="33" customFormat="1" ht="15.75">
      <c r="A684" s="178"/>
      <c r="B684" s="166"/>
      <c r="C684" s="125"/>
      <c r="D684" s="125"/>
      <c r="E684" s="32"/>
      <c r="F684"/>
      <c r="G684"/>
      <c r="H684"/>
      <c r="I684"/>
      <c r="J684"/>
      <c r="K684"/>
      <c r="L684"/>
      <c r="M684"/>
      <c r="N684"/>
      <c r="O684"/>
      <c r="P684"/>
      <c r="Q684"/>
      <c r="R684"/>
      <c r="S684"/>
      <c r="T684"/>
      <c r="U684"/>
      <c r="V684"/>
      <c r="W684"/>
      <c r="X684"/>
      <c r="Y684"/>
      <c r="Z684"/>
      <c r="AA684"/>
      <c r="AB684"/>
      <c r="AC684"/>
      <c r="AD684"/>
      <c r="AE684"/>
      <c r="AF684"/>
      <c r="AG684"/>
      <c r="AH684"/>
      <c r="AI684"/>
    </row>
    <row r="685" spans="1:35" s="33" customFormat="1" ht="15.75">
      <c r="A685" s="178"/>
      <c r="B685" s="166"/>
      <c r="C685" s="125"/>
      <c r="D685" s="125"/>
      <c r="E685" s="32"/>
      <c r="F685"/>
      <c r="G685"/>
      <c r="H685"/>
      <c r="I685"/>
      <c r="J685"/>
      <c r="K685"/>
      <c r="L685"/>
      <c r="M685"/>
      <c r="N685"/>
      <c r="O685"/>
      <c r="P685"/>
      <c r="Q685"/>
      <c r="R685"/>
      <c r="S685"/>
      <c r="T685"/>
      <c r="U685"/>
      <c r="V685"/>
      <c r="W685"/>
      <c r="X685"/>
      <c r="Y685"/>
      <c r="Z685"/>
      <c r="AA685"/>
      <c r="AB685"/>
      <c r="AC685"/>
      <c r="AD685"/>
      <c r="AE685"/>
      <c r="AF685"/>
      <c r="AG685"/>
      <c r="AH685"/>
      <c r="AI685"/>
    </row>
    <row r="686" spans="1:35" s="33" customFormat="1" ht="15.75">
      <c r="A686" s="178"/>
      <c r="B686" s="166"/>
      <c r="C686" s="125"/>
      <c r="D686" s="125"/>
      <c r="E686" s="32"/>
      <c r="F686"/>
      <c r="G686"/>
      <c r="H686"/>
      <c r="I686"/>
      <c r="J686"/>
      <c r="K686"/>
      <c r="L686"/>
      <c r="M686"/>
      <c r="N686"/>
      <c r="O686"/>
      <c r="P686"/>
      <c r="Q686"/>
      <c r="R686"/>
      <c r="S686"/>
      <c r="T686"/>
      <c r="U686"/>
      <c r="V686"/>
      <c r="W686"/>
      <c r="X686"/>
      <c r="Y686"/>
      <c r="Z686"/>
      <c r="AA686"/>
      <c r="AB686"/>
      <c r="AC686"/>
      <c r="AD686"/>
      <c r="AE686"/>
      <c r="AF686"/>
      <c r="AG686"/>
      <c r="AH686"/>
      <c r="AI686"/>
    </row>
    <row r="687" spans="1:35" s="33" customFormat="1" ht="15.75">
      <c r="A687" s="178"/>
      <c r="B687" s="166"/>
      <c r="C687" s="125"/>
      <c r="D687" s="125"/>
      <c r="E687" s="32"/>
      <c r="F687"/>
      <c r="G687"/>
      <c r="H687"/>
      <c r="I687"/>
      <c r="J687"/>
      <c r="K687"/>
      <c r="L687"/>
      <c r="M687"/>
      <c r="N687"/>
      <c r="O687"/>
      <c r="P687"/>
      <c r="Q687"/>
      <c r="R687"/>
      <c r="S687"/>
      <c r="T687"/>
      <c r="U687"/>
      <c r="V687"/>
      <c r="W687"/>
      <c r="X687"/>
      <c r="Y687"/>
      <c r="Z687"/>
      <c r="AA687"/>
      <c r="AB687"/>
      <c r="AC687"/>
      <c r="AD687"/>
      <c r="AE687"/>
      <c r="AF687"/>
      <c r="AG687"/>
      <c r="AH687"/>
      <c r="AI687"/>
    </row>
    <row r="688" spans="1:35" s="33" customFormat="1" ht="15.75">
      <c r="A688" s="178"/>
      <c r="B688" s="166"/>
      <c r="C688" s="125"/>
      <c r="D688" s="125"/>
      <c r="E688" s="32"/>
      <c r="F688"/>
      <c r="G688"/>
      <c r="H688"/>
      <c r="I688"/>
      <c r="J688"/>
      <c r="K688"/>
      <c r="L688"/>
      <c r="M688"/>
      <c r="N688"/>
      <c r="O688"/>
      <c r="P688"/>
      <c r="Q688"/>
      <c r="R688"/>
      <c r="S688"/>
      <c r="T688"/>
      <c r="U688"/>
      <c r="V688"/>
      <c r="W688"/>
      <c r="X688"/>
      <c r="Y688"/>
      <c r="Z688"/>
      <c r="AA688"/>
      <c r="AB688"/>
      <c r="AC688"/>
      <c r="AD688"/>
      <c r="AE688"/>
      <c r="AF688"/>
      <c r="AG688"/>
      <c r="AH688"/>
      <c r="AI688"/>
    </row>
    <row r="689" spans="1:35" s="33" customFormat="1" ht="15.75">
      <c r="A689" s="178"/>
      <c r="B689" s="166"/>
      <c r="C689" s="125"/>
      <c r="D689" s="125"/>
      <c r="E689" s="32"/>
      <c r="F689"/>
      <c r="G689"/>
      <c r="H689"/>
      <c r="I689"/>
      <c r="J689"/>
      <c r="K689"/>
      <c r="L689"/>
      <c r="M689"/>
      <c r="N689"/>
      <c r="O689"/>
      <c r="P689"/>
      <c r="Q689"/>
      <c r="R689"/>
      <c r="S689"/>
      <c r="T689"/>
      <c r="U689"/>
      <c r="V689"/>
      <c r="W689"/>
      <c r="X689"/>
      <c r="Y689"/>
      <c r="Z689"/>
      <c r="AA689"/>
      <c r="AB689"/>
      <c r="AC689"/>
      <c r="AD689"/>
      <c r="AE689"/>
      <c r="AF689"/>
      <c r="AG689"/>
      <c r="AH689"/>
      <c r="AI689"/>
    </row>
    <row r="690" spans="1:35" s="33" customFormat="1" ht="15.75">
      <c r="A690" s="178"/>
      <c r="B690" s="166"/>
      <c r="C690" s="125"/>
      <c r="D690" s="125"/>
      <c r="E690" s="32"/>
      <c r="F690"/>
      <c r="G690"/>
      <c r="H690"/>
      <c r="I690"/>
      <c r="J690"/>
      <c r="K690"/>
      <c r="L690"/>
      <c r="M690"/>
      <c r="N690"/>
      <c r="O690"/>
      <c r="P690"/>
      <c r="Q690"/>
      <c r="R690"/>
      <c r="S690"/>
      <c r="T690"/>
      <c r="U690"/>
      <c r="V690"/>
      <c r="W690"/>
      <c r="X690"/>
      <c r="Y690"/>
      <c r="Z690"/>
      <c r="AA690"/>
      <c r="AB690"/>
      <c r="AC690"/>
      <c r="AD690"/>
      <c r="AE690"/>
      <c r="AF690"/>
      <c r="AG690"/>
      <c r="AH690"/>
      <c r="AI690"/>
    </row>
    <row r="691" spans="1:35" s="33" customFormat="1" ht="15.75">
      <c r="A691" s="178"/>
      <c r="B691" s="166"/>
      <c r="C691" s="125"/>
      <c r="D691" s="125"/>
      <c r="E691" s="32"/>
      <c r="F691"/>
      <c r="G691"/>
      <c r="H691"/>
      <c r="I691"/>
      <c r="J691"/>
      <c r="K691"/>
      <c r="L691"/>
      <c r="M691"/>
      <c r="N691"/>
      <c r="O691"/>
      <c r="P691"/>
      <c r="Q691"/>
      <c r="R691"/>
      <c r="S691"/>
      <c r="T691"/>
      <c r="U691"/>
      <c r="V691"/>
      <c r="W691"/>
      <c r="X691"/>
      <c r="Y691"/>
      <c r="Z691"/>
      <c r="AA691"/>
      <c r="AB691"/>
      <c r="AC691"/>
      <c r="AD691"/>
      <c r="AE691"/>
      <c r="AF691"/>
      <c r="AG691"/>
      <c r="AH691"/>
      <c r="AI691"/>
    </row>
    <row r="692" spans="1:35" s="33" customFormat="1" ht="15.75">
      <c r="A692" s="178"/>
      <c r="B692" s="166"/>
      <c r="C692" s="125"/>
      <c r="D692" s="125"/>
      <c r="E692" s="32"/>
      <c r="F692"/>
      <c r="G692"/>
      <c r="H692"/>
      <c r="I692"/>
      <c r="J692"/>
      <c r="K692"/>
      <c r="L692"/>
      <c r="M692"/>
      <c r="N692"/>
      <c r="O692"/>
      <c r="P692"/>
      <c r="Q692"/>
      <c r="R692"/>
      <c r="S692"/>
      <c r="T692"/>
      <c r="U692"/>
      <c r="V692"/>
      <c r="W692"/>
      <c r="X692"/>
      <c r="Y692"/>
      <c r="Z692"/>
      <c r="AA692"/>
      <c r="AB692"/>
      <c r="AC692"/>
      <c r="AD692"/>
      <c r="AE692"/>
      <c r="AF692"/>
      <c r="AG692"/>
      <c r="AH692"/>
      <c r="AI692"/>
    </row>
    <row r="693" spans="1:35" s="33" customFormat="1" ht="15.75">
      <c r="A693" s="178"/>
      <c r="B693" s="166"/>
      <c r="C693" s="125"/>
      <c r="D693" s="125"/>
      <c r="E693" s="32"/>
      <c r="F693"/>
      <c r="G693"/>
      <c r="H693"/>
      <c r="I693"/>
      <c r="J693"/>
      <c r="K693"/>
      <c r="L693"/>
      <c r="M693"/>
      <c r="N693"/>
      <c r="O693"/>
      <c r="P693"/>
      <c r="Q693"/>
      <c r="R693"/>
      <c r="S693"/>
      <c r="T693"/>
      <c r="U693"/>
      <c r="V693"/>
      <c r="W693"/>
      <c r="X693"/>
      <c r="Y693"/>
      <c r="Z693"/>
      <c r="AA693"/>
      <c r="AB693"/>
      <c r="AC693"/>
      <c r="AD693"/>
      <c r="AE693"/>
      <c r="AF693"/>
      <c r="AG693"/>
      <c r="AH693"/>
      <c r="AI693"/>
    </row>
    <row r="694" spans="1:35" s="33" customFormat="1" ht="15.75">
      <c r="A694" s="178"/>
      <c r="B694" s="166"/>
      <c r="C694" s="125"/>
      <c r="D694" s="125"/>
      <c r="E694" s="32"/>
      <c r="F694"/>
      <c r="G694"/>
      <c r="H694"/>
      <c r="I694"/>
      <c r="J694"/>
      <c r="K694"/>
      <c r="L694"/>
      <c r="M694"/>
      <c r="N694"/>
      <c r="O694"/>
      <c r="P694"/>
      <c r="Q694"/>
      <c r="R694"/>
      <c r="S694"/>
      <c r="T694"/>
      <c r="U694"/>
      <c r="V694"/>
      <c r="W694"/>
      <c r="X694"/>
      <c r="Y694"/>
      <c r="Z694"/>
      <c r="AA694"/>
      <c r="AB694"/>
      <c r="AC694"/>
      <c r="AD694"/>
      <c r="AE694"/>
      <c r="AF694"/>
      <c r="AG694"/>
      <c r="AH694"/>
      <c r="AI694"/>
    </row>
    <row r="695" spans="1:35" s="33" customFormat="1" ht="15.75">
      <c r="A695" s="178"/>
      <c r="B695" s="166"/>
      <c r="C695" s="125"/>
      <c r="D695" s="125"/>
      <c r="E695" s="32"/>
      <c r="F695"/>
      <c r="G695"/>
      <c r="H695"/>
      <c r="I695"/>
      <c r="J695"/>
      <c r="K695"/>
      <c r="L695"/>
      <c r="M695"/>
      <c r="N695"/>
      <c r="O695"/>
      <c r="P695"/>
      <c r="Q695"/>
      <c r="R695"/>
      <c r="S695"/>
      <c r="T695"/>
      <c r="U695"/>
      <c r="V695"/>
      <c r="W695"/>
      <c r="X695"/>
      <c r="Y695"/>
      <c r="Z695"/>
      <c r="AA695"/>
      <c r="AB695"/>
      <c r="AC695"/>
      <c r="AD695"/>
      <c r="AE695"/>
      <c r="AF695"/>
      <c r="AG695"/>
      <c r="AH695"/>
      <c r="AI695"/>
    </row>
    <row r="696" spans="1:35" s="33" customFormat="1" ht="15.75">
      <c r="A696" s="178"/>
      <c r="B696" s="166"/>
      <c r="C696" s="125"/>
      <c r="D696" s="125"/>
      <c r="E696" s="32"/>
      <c r="F696"/>
      <c r="G696"/>
      <c r="H696"/>
      <c r="I696"/>
      <c r="J696"/>
      <c r="K696"/>
      <c r="L696"/>
      <c r="M696"/>
      <c r="N696"/>
      <c r="O696"/>
      <c r="P696"/>
      <c r="Q696"/>
      <c r="R696"/>
      <c r="S696"/>
      <c r="T696"/>
      <c r="U696"/>
      <c r="V696"/>
      <c r="W696"/>
      <c r="X696"/>
      <c r="Y696"/>
      <c r="Z696"/>
      <c r="AA696"/>
      <c r="AB696"/>
      <c r="AC696"/>
      <c r="AD696"/>
      <c r="AE696"/>
      <c r="AF696"/>
      <c r="AG696"/>
      <c r="AH696"/>
      <c r="AI696"/>
    </row>
    <row r="697" spans="1:35" s="33" customFormat="1" ht="15.75">
      <c r="A697" s="178"/>
      <c r="B697" s="166"/>
      <c r="C697" s="125"/>
      <c r="D697" s="125"/>
      <c r="E697" s="32"/>
      <c r="F697"/>
      <c r="G697"/>
      <c r="H697"/>
      <c r="I697"/>
      <c r="J697"/>
      <c r="K697"/>
      <c r="L697"/>
      <c r="M697"/>
      <c r="N697"/>
      <c r="O697"/>
      <c r="P697"/>
      <c r="Q697"/>
      <c r="R697"/>
      <c r="S697"/>
      <c r="T697"/>
      <c r="U697"/>
      <c r="V697"/>
      <c r="W697"/>
      <c r="X697"/>
      <c r="Y697"/>
      <c r="Z697"/>
      <c r="AA697"/>
      <c r="AB697"/>
      <c r="AC697"/>
      <c r="AD697"/>
      <c r="AE697"/>
      <c r="AF697"/>
      <c r="AG697"/>
      <c r="AH697"/>
      <c r="AI697"/>
    </row>
    <row r="698" spans="1:35" s="33" customFormat="1" ht="15.75">
      <c r="A698" s="178"/>
      <c r="B698" s="166"/>
      <c r="C698" s="125"/>
      <c r="D698" s="125"/>
      <c r="E698" s="32"/>
      <c r="F698"/>
      <c r="G698"/>
      <c r="H698"/>
      <c r="I698"/>
      <c r="J698"/>
      <c r="K698"/>
      <c r="L698"/>
      <c r="M698"/>
      <c r="N698"/>
      <c r="O698"/>
      <c r="P698"/>
      <c r="Q698"/>
      <c r="R698"/>
      <c r="S698"/>
      <c r="T698"/>
      <c r="U698"/>
      <c r="V698"/>
      <c r="W698"/>
      <c r="X698"/>
      <c r="Y698"/>
      <c r="Z698"/>
      <c r="AA698"/>
      <c r="AB698"/>
      <c r="AC698"/>
      <c r="AD698"/>
      <c r="AE698"/>
      <c r="AF698"/>
      <c r="AG698"/>
      <c r="AH698"/>
      <c r="AI698"/>
    </row>
    <row r="699" spans="1:35" s="33" customFormat="1" ht="15.75">
      <c r="A699" s="178"/>
      <c r="B699" s="166"/>
      <c r="C699" s="125"/>
      <c r="D699" s="125"/>
      <c r="E699" s="32"/>
      <c r="F699"/>
      <c r="G699"/>
      <c r="H699"/>
      <c r="I699"/>
      <c r="J699"/>
      <c r="K699"/>
      <c r="L699"/>
      <c r="M699"/>
      <c r="N699"/>
      <c r="O699"/>
      <c r="P699"/>
      <c r="Q699"/>
      <c r="R699"/>
      <c r="S699"/>
      <c r="T699"/>
      <c r="U699"/>
      <c r="V699"/>
      <c r="W699"/>
      <c r="X699"/>
      <c r="Y699"/>
      <c r="Z699"/>
      <c r="AA699"/>
      <c r="AB699"/>
      <c r="AC699"/>
      <c r="AD699"/>
      <c r="AE699"/>
      <c r="AF699"/>
      <c r="AG699"/>
      <c r="AH699"/>
      <c r="AI699"/>
    </row>
    <row r="700" spans="1:35" s="33" customFormat="1" ht="15.75">
      <c r="A700" s="178"/>
      <c r="B700" s="166"/>
      <c r="C700" s="125"/>
      <c r="D700" s="125"/>
      <c r="E700" s="32"/>
      <c r="F700"/>
      <c r="G700"/>
      <c r="H700"/>
      <c r="I700"/>
      <c r="J700"/>
      <c r="K700"/>
      <c r="L700"/>
      <c r="M700"/>
      <c r="N700"/>
      <c r="O700"/>
      <c r="P700"/>
      <c r="Q700"/>
      <c r="R700"/>
      <c r="S700"/>
      <c r="T700"/>
      <c r="U700"/>
      <c r="V700"/>
      <c r="W700"/>
      <c r="X700"/>
      <c r="Y700"/>
      <c r="Z700"/>
      <c r="AA700"/>
      <c r="AB700"/>
      <c r="AC700"/>
      <c r="AD700"/>
      <c r="AE700"/>
      <c r="AF700"/>
      <c r="AG700"/>
      <c r="AH700"/>
      <c r="AI700"/>
    </row>
    <row r="701" spans="1:35" s="33" customFormat="1" ht="15.75">
      <c r="A701" s="178"/>
      <c r="B701" s="166"/>
      <c r="C701" s="125"/>
      <c r="D701" s="125"/>
      <c r="E701" s="32"/>
      <c r="F701"/>
      <c r="G701"/>
      <c r="H701"/>
      <c r="I701"/>
      <c r="J701"/>
      <c r="K701"/>
      <c r="L701"/>
      <c r="M701"/>
      <c r="N701"/>
      <c r="O701"/>
      <c r="P701"/>
      <c r="Q701"/>
      <c r="R701"/>
      <c r="S701"/>
      <c r="T701"/>
      <c r="U701"/>
      <c r="V701"/>
      <c r="W701"/>
      <c r="X701"/>
      <c r="Y701"/>
      <c r="Z701"/>
      <c r="AA701"/>
      <c r="AB701"/>
      <c r="AC701"/>
      <c r="AD701"/>
      <c r="AE701"/>
      <c r="AF701"/>
      <c r="AG701"/>
      <c r="AH701"/>
      <c r="AI701"/>
    </row>
    <row r="702" spans="1:35" s="33" customFormat="1" ht="15.75">
      <c r="A702" s="178"/>
      <c r="B702" s="166"/>
      <c r="C702" s="125"/>
      <c r="D702" s="125"/>
      <c r="E702" s="32"/>
      <c r="F702"/>
      <c r="G702"/>
      <c r="H702"/>
      <c r="I702"/>
      <c r="J702"/>
      <c r="K702"/>
      <c r="L702"/>
      <c r="M702"/>
      <c r="N702"/>
      <c r="O702"/>
      <c r="P702"/>
      <c r="Q702"/>
      <c r="R702"/>
      <c r="S702"/>
      <c r="T702"/>
      <c r="U702"/>
      <c r="V702"/>
      <c r="W702"/>
      <c r="X702"/>
      <c r="Y702"/>
      <c r="Z702"/>
      <c r="AA702"/>
      <c r="AB702"/>
      <c r="AC702"/>
      <c r="AD702"/>
      <c r="AE702"/>
      <c r="AF702"/>
      <c r="AG702"/>
      <c r="AH702"/>
      <c r="AI702"/>
    </row>
    <row r="703" spans="1:35" s="33" customFormat="1" ht="15.75">
      <c r="A703" s="178"/>
      <c r="B703" s="166"/>
      <c r="C703" s="125"/>
      <c r="D703" s="125"/>
      <c r="E703" s="32"/>
      <c r="F703"/>
      <c r="G703"/>
      <c r="H703"/>
      <c r="I703"/>
      <c r="J703"/>
      <c r="K703"/>
      <c r="L703"/>
      <c r="M703"/>
      <c r="N703"/>
      <c r="O703"/>
      <c r="P703"/>
      <c r="Q703"/>
      <c r="R703"/>
      <c r="S703"/>
      <c r="T703"/>
      <c r="U703"/>
      <c r="V703"/>
      <c r="W703"/>
      <c r="X703"/>
      <c r="Y703"/>
      <c r="Z703"/>
      <c r="AA703"/>
      <c r="AB703"/>
      <c r="AC703"/>
      <c r="AD703"/>
      <c r="AE703"/>
      <c r="AF703"/>
      <c r="AG703"/>
      <c r="AH703"/>
      <c r="AI703"/>
    </row>
    <row r="704" spans="1:35" s="33" customFormat="1" ht="15.75">
      <c r="A704" s="178"/>
      <c r="B704" s="166"/>
      <c r="C704" s="125"/>
      <c r="D704" s="125"/>
      <c r="E704" s="32"/>
      <c r="F704"/>
      <c r="G704"/>
      <c r="H704"/>
      <c r="I704"/>
      <c r="J704"/>
      <c r="K704"/>
      <c r="L704"/>
      <c r="M704"/>
      <c r="N704"/>
      <c r="O704"/>
      <c r="P704"/>
      <c r="Q704"/>
      <c r="R704"/>
      <c r="S704"/>
      <c r="T704"/>
      <c r="U704"/>
      <c r="V704"/>
      <c r="W704"/>
      <c r="X704"/>
      <c r="Y704"/>
      <c r="Z704"/>
      <c r="AA704"/>
      <c r="AB704"/>
      <c r="AC704"/>
      <c r="AD704"/>
      <c r="AE704"/>
      <c r="AF704"/>
      <c r="AG704"/>
      <c r="AH704"/>
      <c r="AI704"/>
    </row>
    <row r="705" spans="1:35" s="33" customFormat="1" ht="15.75">
      <c r="A705" s="178"/>
      <c r="B705" s="166"/>
      <c r="C705" s="125"/>
      <c r="D705" s="125"/>
      <c r="E705" s="32"/>
      <c r="F705"/>
      <c r="G705"/>
      <c r="H705"/>
      <c r="I705"/>
      <c r="J705"/>
      <c r="K705"/>
      <c r="L705"/>
      <c r="M705"/>
      <c r="N705"/>
      <c r="O705"/>
      <c r="P705"/>
      <c r="Q705"/>
      <c r="R705"/>
      <c r="S705"/>
      <c r="T705"/>
      <c r="U705"/>
      <c r="V705"/>
      <c r="W705"/>
      <c r="X705"/>
      <c r="Y705"/>
      <c r="Z705"/>
      <c r="AA705"/>
      <c r="AB705"/>
      <c r="AC705"/>
      <c r="AD705"/>
      <c r="AE705"/>
      <c r="AF705"/>
      <c r="AG705"/>
      <c r="AH705"/>
      <c r="AI705"/>
    </row>
    <row r="706" spans="1:35" s="33" customFormat="1" ht="15.75">
      <c r="A706" s="178"/>
      <c r="B706" s="166"/>
      <c r="C706" s="125"/>
      <c r="D706" s="125"/>
      <c r="E706" s="32"/>
      <c r="F706"/>
      <c r="G706"/>
      <c r="H706"/>
      <c r="I706"/>
      <c r="J706"/>
      <c r="K706"/>
      <c r="L706"/>
      <c r="M706"/>
      <c r="N706"/>
      <c r="O706"/>
      <c r="P706"/>
      <c r="Q706"/>
      <c r="R706"/>
      <c r="S706"/>
      <c r="T706"/>
      <c r="U706"/>
      <c r="V706"/>
      <c r="W706"/>
      <c r="X706"/>
      <c r="Y706"/>
      <c r="Z706"/>
      <c r="AA706"/>
      <c r="AB706"/>
      <c r="AC706"/>
      <c r="AD706"/>
      <c r="AE706"/>
      <c r="AF706"/>
      <c r="AG706"/>
      <c r="AH706"/>
      <c r="AI706"/>
    </row>
    <row r="707" spans="1:35" s="33" customFormat="1" ht="15.75">
      <c r="A707" s="178"/>
      <c r="B707" s="166"/>
      <c r="C707" s="125"/>
      <c r="D707" s="125"/>
      <c r="E707" s="32"/>
      <c r="F707"/>
      <c r="G707"/>
      <c r="H707"/>
      <c r="I707"/>
      <c r="J707"/>
      <c r="K707"/>
      <c r="L707"/>
      <c r="M707"/>
      <c r="N707"/>
      <c r="O707"/>
      <c r="P707"/>
      <c r="Q707"/>
      <c r="R707"/>
      <c r="S707"/>
      <c r="T707"/>
      <c r="U707"/>
      <c r="V707"/>
      <c r="W707"/>
      <c r="X707"/>
      <c r="Y707"/>
      <c r="Z707"/>
      <c r="AA707"/>
      <c r="AB707"/>
      <c r="AC707"/>
      <c r="AD707"/>
      <c r="AE707"/>
      <c r="AF707"/>
      <c r="AG707"/>
      <c r="AH707"/>
      <c r="AI707"/>
    </row>
    <row r="708" spans="1:35" s="33" customFormat="1" ht="15.75">
      <c r="A708" s="178"/>
      <c r="B708" s="166"/>
      <c r="C708" s="125"/>
      <c r="D708" s="125"/>
      <c r="E708" s="32"/>
      <c r="F708"/>
      <c r="G708"/>
      <c r="H708"/>
      <c r="I708"/>
      <c r="J708"/>
      <c r="K708"/>
      <c r="L708"/>
      <c r="M708"/>
      <c r="N708"/>
      <c r="O708"/>
      <c r="P708"/>
      <c r="Q708"/>
      <c r="R708"/>
      <c r="S708"/>
      <c r="T708"/>
      <c r="U708"/>
      <c r="V708"/>
      <c r="W708"/>
      <c r="X708"/>
      <c r="Y708"/>
      <c r="Z708"/>
      <c r="AA708"/>
      <c r="AB708"/>
      <c r="AC708"/>
      <c r="AD708"/>
      <c r="AE708"/>
      <c r="AF708"/>
      <c r="AG708"/>
      <c r="AH708"/>
      <c r="AI708"/>
    </row>
    <row r="709" spans="1:35" s="33" customFormat="1" ht="15.75">
      <c r="A709" s="178"/>
      <c r="B709" s="166"/>
      <c r="C709" s="125"/>
      <c r="D709" s="125"/>
      <c r="E709" s="32"/>
      <c r="F709"/>
      <c r="G709"/>
      <c r="H709"/>
      <c r="I709"/>
      <c r="J709"/>
      <c r="K709"/>
      <c r="L709"/>
      <c r="M709"/>
      <c r="N709"/>
      <c r="O709"/>
      <c r="P709"/>
      <c r="Q709"/>
      <c r="R709"/>
      <c r="S709"/>
      <c r="T709"/>
      <c r="U709"/>
      <c r="V709"/>
      <c r="W709"/>
      <c r="X709"/>
      <c r="Y709"/>
      <c r="Z709"/>
      <c r="AA709"/>
      <c r="AB709"/>
      <c r="AC709"/>
      <c r="AD709"/>
      <c r="AE709"/>
      <c r="AF709"/>
      <c r="AG709"/>
      <c r="AH709"/>
      <c r="AI709"/>
    </row>
    <row r="710" spans="1:35" s="33" customFormat="1" ht="15.75">
      <c r="A710" s="178"/>
      <c r="B710" s="166"/>
      <c r="C710" s="125"/>
      <c r="D710" s="125"/>
      <c r="E710" s="32"/>
      <c r="F710"/>
      <c r="G710"/>
      <c r="H710"/>
      <c r="I710"/>
      <c r="J710"/>
      <c r="K710"/>
      <c r="L710"/>
      <c r="M710"/>
      <c r="N710"/>
      <c r="O710"/>
      <c r="P710"/>
      <c r="Q710"/>
      <c r="R710"/>
      <c r="S710"/>
      <c r="T710"/>
      <c r="U710"/>
      <c r="V710"/>
      <c r="W710"/>
      <c r="X710"/>
      <c r="Y710"/>
      <c r="Z710"/>
      <c r="AA710"/>
      <c r="AB710"/>
      <c r="AC710"/>
      <c r="AD710"/>
      <c r="AE710"/>
      <c r="AF710"/>
      <c r="AG710"/>
      <c r="AH710"/>
      <c r="AI710"/>
    </row>
    <row r="711" spans="1:35" s="33" customFormat="1" ht="15.75">
      <c r="A711" s="178"/>
      <c r="B711" s="166"/>
      <c r="C711" s="125"/>
      <c r="D711" s="125"/>
      <c r="E711" s="32"/>
      <c r="F711"/>
      <c r="G711"/>
      <c r="H711"/>
      <c r="I711"/>
      <c r="J711"/>
      <c r="K711"/>
      <c r="L711"/>
      <c r="M711"/>
      <c r="N711"/>
      <c r="O711"/>
      <c r="P711"/>
      <c r="Q711"/>
      <c r="R711"/>
      <c r="S711"/>
      <c r="T711"/>
      <c r="U711"/>
      <c r="V711"/>
      <c r="W711"/>
      <c r="X711"/>
      <c r="Y711"/>
      <c r="Z711"/>
      <c r="AA711"/>
      <c r="AB711"/>
      <c r="AC711"/>
      <c r="AD711"/>
      <c r="AE711"/>
      <c r="AF711"/>
      <c r="AG711"/>
      <c r="AH711"/>
      <c r="AI711"/>
    </row>
    <row r="712" spans="1:35" s="33" customFormat="1" ht="15.75">
      <c r="A712" s="178"/>
      <c r="B712" s="166"/>
      <c r="C712" s="125"/>
      <c r="D712" s="125"/>
      <c r="E712" s="32"/>
      <c r="F712"/>
      <c r="G712"/>
      <c r="H712"/>
      <c r="I712"/>
      <c r="J712"/>
      <c r="K712"/>
      <c r="L712"/>
      <c r="M712"/>
      <c r="N712"/>
      <c r="O712"/>
      <c r="P712"/>
      <c r="Q712"/>
      <c r="R712"/>
      <c r="S712"/>
      <c r="T712"/>
      <c r="U712"/>
      <c r="V712"/>
      <c r="W712"/>
      <c r="X712"/>
      <c r="Y712"/>
      <c r="Z712"/>
      <c r="AA712"/>
      <c r="AB712"/>
      <c r="AC712"/>
      <c r="AD712"/>
      <c r="AE712"/>
      <c r="AF712"/>
      <c r="AG712"/>
      <c r="AH712"/>
      <c r="AI712"/>
    </row>
    <row r="713" spans="1:35" s="33" customFormat="1" ht="15.75">
      <c r="A713" s="178"/>
      <c r="B713" s="166"/>
      <c r="C713" s="125"/>
      <c r="D713" s="125"/>
      <c r="E713" s="32"/>
      <c r="F713"/>
      <c r="G713"/>
      <c r="H713"/>
      <c r="I713"/>
      <c r="J713"/>
      <c r="K713"/>
      <c r="L713"/>
      <c r="M713"/>
      <c r="N713"/>
      <c r="O713"/>
      <c r="P713"/>
      <c r="Q713"/>
      <c r="R713"/>
      <c r="S713"/>
      <c r="T713"/>
      <c r="U713"/>
      <c r="V713"/>
      <c r="W713"/>
      <c r="X713"/>
      <c r="Y713"/>
      <c r="Z713"/>
      <c r="AA713"/>
      <c r="AB713"/>
      <c r="AC713"/>
      <c r="AD713"/>
      <c r="AE713"/>
      <c r="AF713"/>
      <c r="AG713"/>
      <c r="AH713"/>
      <c r="AI713"/>
    </row>
    <row r="714" spans="1:35" s="33" customFormat="1" ht="15.75">
      <c r="A714" s="178"/>
      <c r="B714" s="166"/>
      <c r="C714" s="125"/>
      <c r="D714" s="125"/>
      <c r="E714" s="32"/>
      <c r="F714"/>
      <c r="G714"/>
      <c r="H714"/>
      <c r="I714"/>
      <c r="J714"/>
      <c r="K714"/>
      <c r="L714"/>
      <c r="M714"/>
      <c r="N714"/>
      <c r="O714"/>
      <c r="P714"/>
      <c r="Q714"/>
      <c r="R714"/>
      <c r="S714"/>
      <c r="T714"/>
      <c r="U714"/>
      <c r="V714"/>
      <c r="W714"/>
      <c r="X714"/>
      <c r="Y714"/>
      <c r="Z714"/>
      <c r="AA714"/>
      <c r="AB714"/>
      <c r="AC714"/>
      <c r="AD714"/>
      <c r="AE714"/>
      <c r="AF714"/>
      <c r="AG714"/>
      <c r="AH714"/>
      <c r="AI714"/>
    </row>
    <row r="715" spans="1:35" s="33" customFormat="1" ht="15.75">
      <c r="A715" s="178"/>
      <c r="B715" s="166"/>
      <c r="C715" s="125"/>
      <c r="D715" s="125"/>
      <c r="E715" s="32"/>
      <c r="F715"/>
      <c r="G715"/>
      <c r="H715"/>
      <c r="I715"/>
      <c r="J715"/>
      <c r="K715"/>
      <c r="L715"/>
      <c r="M715"/>
      <c r="N715"/>
      <c r="O715"/>
      <c r="P715"/>
      <c r="Q715"/>
      <c r="R715"/>
      <c r="S715"/>
      <c r="T715"/>
      <c r="U715"/>
      <c r="V715"/>
      <c r="W715"/>
      <c r="X715"/>
      <c r="Y715"/>
      <c r="Z715"/>
      <c r="AA715"/>
      <c r="AB715"/>
      <c r="AC715"/>
      <c r="AD715"/>
      <c r="AE715"/>
      <c r="AF715"/>
      <c r="AG715"/>
      <c r="AH715"/>
      <c r="AI715"/>
    </row>
    <row r="716" spans="1:35" s="33" customFormat="1" ht="15.75">
      <c r="A716" s="178"/>
      <c r="B716" s="166"/>
      <c r="C716" s="125"/>
      <c r="D716" s="125"/>
      <c r="E716" s="32"/>
      <c r="F716"/>
      <c r="G716"/>
      <c r="H716"/>
      <c r="I716"/>
      <c r="J716"/>
      <c r="K716"/>
      <c r="L716"/>
      <c r="M716"/>
      <c r="N716"/>
      <c r="O716"/>
      <c r="P716"/>
      <c r="Q716"/>
      <c r="R716"/>
      <c r="S716"/>
      <c r="T716"/>
      <c r="U716"/>
      <c r="V716"/>
      <c r="W716"/>
      <c r="X716"/>
      <c r="Y716"/>
      <c r="Z716"/>
      <c r="AA716"/>
      <c r="AB716"/>
      <c r="AC716"/>
      <c r="AD716"/>
      <c r="AE716"/>
      <c r="AF716"/>
      <c r="AG716"/>
      <c r="AH716"/>
      <c r="AI716"/>
    </row>
    <row r="717" spans="1:35" s="33" customFormat="1" ht="15.75">
      <c r="A717" s="178"/>
      <c r="B717" s="166"/>
      <c r="C717" s="125"/>
      <c r="D717" s="125"/>
      <c r="E717" s="32"/>
      <c r="F717"/>
      <c r="G717"/>
      <c r="H717"/>
      <c r="I717"/>
      <c r="J717"/>
      <c r="K717"/>
      <c r="L717"/>
      <c r="M717"/>
      <c r="N717"/>
      <c r="O717"/>
      <c r="P717"/>
      <c r="Q717"/>
      <c r="R717"/>
      <c r="S717"/>
      <c r="T717"/>
      <c r="U717"/>
      <c r="V717"/>
      <c r="W717"/>
      <c r="X717"/>
      <c r="Y717"/>
      <c r="Z717"/>
      <c r="AA717"/>
      <c r="AB717"/>
      <c r="AC717"/>
      <c r="AD717"/>
      <c r="AE717"/>
      <c r="AF717"/>
      <c r="AG717"/>
      <c r="AH717"/>
      <c r="AI717"/>
    </row>
    <row r="718" spans="1:35" s="33" customFormat="1" ht="15.75">
      <c r="A718" s="178"/>
      <c r="B718" s="166"/>
      <c r="C718" s="125"/>
      <c r="D718" s="125"/>
      <c r="E718" s="32"/>
      <c r="F718"/>
      <c r="G718"/>
      <c r="H718"/>
      <c r="I718"/>
      <c r="J718"/>
      <c r="K718"/>
      <c r="L718"/>
      <c r="M718"/>
      <c r="N718"/>
      <c r="O718"/>
      <c r="P718"/>
      <c r="Q718"/>
      <c r="R718"/>
      <c r="S718"/>
      <c r="T718"/>
      <c r="U718"/>
      <c r="V718"/>
      <c r="W718"/>
      <c r="X718"/>
      <c r="Y718"/>
      <c r="Z718"/>
      <c r="AA718"/>
      <c r="AB718"/>
      <c r="AC718"/>
      <c r="AD718"/>
      <c r="AE718"/>
      <c r="AF718"/>
      <c r="AG718"/>
      <c r="AH718"/>
      <c r="AI718"/>
    </row>
    <row r="719" spans="1:35" s="33" customFormat="1" ht="15.75">
      <c r="A719" s="178"/>
      <c r="B719" s="166"/>
      <c r="C719" s="125"/>
      <c r="D719" s="125"/>
      <c r="E719" s="32"/>
      <c r="F719"/>
      <c r="G719"/>
      <c r="H719"/>
      <c r="I719"/>
      <c r="J719"/>
      <c r="K719"/>
      <c r="L719"/>
      <c r="M719"/>
      <c r="N719"/>
      <c r="O719"/>
      <c r="P719"/>
      <c r="Q719"/>
      <c r="R719"/>
      <c r="S719"/>
      <c r="T719"/>
      <c r="U719"/>
      <c r="V719"/>
      <c r="W719"/>
      <c r="X719"/>
      <c r="Y719"/>
      <c r="Z719"/>
      <c r="AA719"/>
      <c r="AB719"/>
      <c r="AC719"/>
      <c r="AD719"/>
      <c r="AE719"/>
      <c r="AF719"/>
      <c r="AG719"/>
      <c r="AH719"/>
      <c r="AI719"/>
    </row>
    <row r="720" spans="1:35" s="33" customFormat="1" ht="15.75">
      <c r="A720" s="178"/>
      <c r="B720" s="166"/>
      <c r="C720" s="125"/>
      <c r="D720" s="125"/>
      <c r="E720" s="32"/>
      <c r="F720"/>
      <c r="G720"/>
      <c r="H720"/>
      <c r="I720"/>
      <c r="J720"/>
      <c r="K720"/>
      <c r="L720"/>
      <c r="M720"/>
      <c r="N720"/>
      <c r="O720"/>
      <c r="P720"/>
      <c r="Q720"/>
      <c r="R720"/>
      <c r="S720"/>
      <c r="T720"/>
      <c r="U720"/>
      <c r="V720"/>
      <c r="W720"/>
      <c r="X720"/>
      <c r="Y720"/>
      <c r="Z720"/>
      <c r="AA720"/>
      <c r="AB720"/>
      <c r="AC720"/>
      <c r="AD720"/>
      <c r="AE720"/>
      <c r="AF720"/>
      <c r="AG720"/>
      <c r="AH720"/>
      <c r="AI720"/>
    </row>
    <row r="721" spans="1:35" s="33" customFormat="1" ht="15.75">
      <c r="A721" s="178"/>
      <c r="B721" s="166"/>
      <c r="C721" s="125"/>
      <c r="D721" s="125"/>
      <c r="E721" s="32"/>
      <c r="F721"/>
      <c r="G721"/>
      <c r="H721"/>
      <c r="I721"/>
      <c r="J721"/>
      <c r="K721"/>
      <c r="L721"/>
      <c r="M721"/>
      <c r="N721"/>
      <c r="O721"/>
      <c r="P721"/>
      <c r="Q721"/>
      <c r="R721"/>
      <c r="S721"/>
      <c r="T721"/>
      <c r="U721"/>
      <c r="V721"/>
      <c r="W721"/>
      <c r="X721"/>
      <c r="Y721"/>
      <c r="Z721"/>
      <c r="AA721"/>
      <c r="AB721"/>
      <c r="AC721"/>
      <c r="AD721"/>
      <c r="AE721"/>
      <c r="AF721"/>
      <c r="AG721"/>
      <c r="AH721"/>
      <c r="AI721"/>
    </row>
    <row r="722" spans="1:35" s="33" customFormat="1" ht="15.75">
      <c r="A722" s="178"/>
      <c r="B722" s="166"/>
      <c r="C722" s="125"/>
      <c r="D722" s="125"/>
      <c r="E722" s="32"/>
      <c r="F722"/>
      <c r="G722"/>
      <c r="H722"/>
      <c r="I722"/>
      <c r="J722"/>
      <c r="K722"/>
      <c r="L722"/>
      <c r="M722"/>
      <c r="N722"/>
      <c r="O722"/>
      <c r="P722"/>
      <c r="Q722"/>
      <c r="R722"/>
      <c r="S722"/>
      <c r="T722"/>
      <c r="U722"/>
      <c r="V722"/>
      <c r="W722"/>
      <c r="X722"/>
      <c r="Y722"/>
      <c r="Z722"/>
      <c r="AA722"/>
      <c r="AB722"/>
      <c r="AC722"/>
      <c r="AD722"/>
      <c r="AE722"/>
      <c r="AF722"/>
      <c r="AG722"/>
      <c r="AH722"/>
      <c r="AI722"/>
    </row>
    <row r="723" spans="1:35" s="33" customFormat="1" ht="15.75">
      <c r="A723" s="178"/>
      <c r="B723" s="166"/>
      <c r="C723" s="125"/>
      <c r="D723" s="125"/>
      <c r="E723" s="32"/>
      <c r="F723"/>
      <c r="G723"/>
      <c r="H723"/>
      <c r="I723"/>
      <c r="J723"/>
      <c r="K723"/>
      <c r="L723"/>
      <c r="M723"/>
      <c r="N723"/>
      <c r="O723"/>
      <c r="P723"/>
      <c r="Q723"/>
      <c r="R723"/>
      <c r="S723"/>
      <c r="T723"/>
      <c r="U723"/>
      <c r="V723"/>
      <c r="W723"/>
      <c r="X723"/>
      <c r="Y723"/>
      <c r="Z723"/>
      <c r="AA723"/>
      <c r="AB723"/>
      <c r="AC723"/>
      <c r="AD723"/>
      <c r="AE723"/>
      <c r="AF723"/>
      <c r="AG723"/>
      <c r="AH723"/>
      <c r="AI723"/>
    </row>
    <row r="724" spans="1:35" s="33" customFormat="1" ht="15.75">
      <c r="A724" s="178"/>
      <c r="B724" s="166"/>
      <c r="C724" s="125"/>
      <c r="D724" s="125"/>
      <c r="E724" s="32"/>
      <c r="F724"/>
      <c r="G724"/>
      <c r="H724"/>
      <c r="I724"/>
      <c r="J724"/>
      <c r="K724"/>
      <c r="L724"/>
      <c r="M724"/>
      <c r="N724"/>
      <c r="O724"/>
      <c r="P724"/>
      <c r="Q724"/>
      <c r="R724"/>
      <c r="S724"/>
      <c r="T724"/>
      <c r="U724"/>
      <c r="V724"/>
      <c r="W724"/>
      <c r="X724"/>
      <c r="Y724"/>
      <c r="Z724"/>
      <c r="AA724"/>
      <c r="AB724"/>
      <c r="AC724"/>
      <c r="AD724"/>
      <c r="AE724"/>
      <c r="AF724"/>
      <c r="AG724"/>
      <c r="AH724"/>
      <c r="AI724"/>
    </row>
    <row r="725" spans="1:35" s="33" customFormat="1" ht="15.75">
      <c r="A725" s="178"/>
      <c r="B725" s="166"/>
      <c r="C725" s="125"/>
      <c r="D725" s="125"/>
      <c r="E725" s="32"/>
      <c r="F725"/>
      <c r="G725"/>
      <c r="H725"/>
      <c r="I725"/>
      <c r="J725"/>
      <c r="K725"/>
      <c r="L725"/>
      <c r="M725"/>
      <c r="N725"/>
      <c r="O725"/>
      <c r="P725"/>
      <c r="Q725"/>
      <c r="R725"/>
      <c r="S725"/>
      <c r="T725"/>
      <c r="U725"/>
      <c r="V725"/>
      <c r="W725"/>
      <c r="X725"/>
      <c r="Y725"/>
      <c r="Z725"/>
      <c r="AA725"/>
      <c r="AB725"/>
      <c r="AC725"/>
      <c r="AD725"/>
      <c r="AE725"/>
      <c r="AF725"/>
      <c r="AG725"/>
      <c r="AH725"/>
      <c r="AI725"/>
    </row>
    <row r="726" spans="1:35" s="33" customFormat="1" ht="15.75">
      <c r="A726" s="178"/>
      <c r="B726" s="166"/>
      <c r="C726" s="125"/>
      <c r="D726" s="125"/>
      <c r="E726" s="32"/>
      <c r="F726"/>
      <c r="G726"/>
      <c r="H726"/>
      <c r="I726"/>
      <c r="J726"/>
      <c r="K726"/>
      <c r="L726"/>
      <c r="M726"/>
      <c r="N726"/>
      <c r="O726"/>
      <c r="P726"/>
      <c r="Q726"/>
      <c r="R726"/>
      <c r="S726"/>
      <c r="T726"/>
      <c r="U726"/>
      <c r="V726"/>
      <c r="W726"/>
      <c r="X726"/>
      <c r="Y726"/>
      <c r="Z726"/>
      <c r="AA726"/>
      <c r="AB726"/>
      <c r="AC726"/>
      <c r="AD726"/>
      <c r="AE726"/>
      <c r="AF726"/>
      <c r="AG726"/>
      <c r="AH726"/>
      <c r="AI726"/>
    </row>
    <row r="727" spans="1:35" s="33" customFormat="1" ht="15.75">
      <c r="A727" s="178"/>
      <c r="B727" s="166"/>
      <c r="C727" s="125"/>
      <c r="D727" s="125"/>
      <c r="E727" s="32"/>
      <c r="F727"/>
      <c r="G727"/>
      <c r="H727"/>
      <c r="I727"/>
      <c r="J727"/>
      <c r="K727"/>
      <c r="L727"/>
      <c r="M727"/>
      <c r="N727"/>
      <c r="O727"/>
      <c r="P727"/>
      <c r="Q727"/>
      <c r="R727"/>
      <c r="S727"/>
      <c r="T727"/>
      <c r="U727"/>
      <c r="V727"/>
      <c r="W727"/>
      <c r="X727"/>
      <c r="Y727"/>
      <c r="Z727"/>
      <c r="AA727"/>
      <c r="AB727"/>
      <c r="AC727"/>
      <c r="AD727"/>
      <c r="AE727"/>
      <c r="AF727"/>
      <c r="AG727"/>
      <c r="AH727"/>
      <c r="AI727"/>
    </row>
    <row r="728" spans="1:35" s="33" customFormat="1" ht="15.75">
      <c r="A728" s="178"/>
      <c r="B728" s="166"/>
      <c r="C728" s="125"/>
      <c r="D728" s="125"/>
      <c r="E728" s="32"/>
      <c r="F728"/>
      <c r="G728"/>
      <c r="H728"/>
      <c r="I728"/>
      <c r="J728"/>
      <c r="K728"/>
      <c r="L728"/>
      <c r="M728"/>
      <c r="N728"/>
      <c r="O728"/>
      <c r="P728"/>
      <c r="Q728"/>
      <c r="R728"/>
      <c r="S728"/>
      <c r="T728"/>
      <c r="U728"/>
      <c r="V728"/>
      <c r="W728"/>
      <c r="X728"/>
      <c r="Y728"/>
      <c r="Z728"/>
      <c r="AA728"/>
      <c r="AB728"/>
      <c r="AC728"/>
      <c r="AD728"/>
      <c r="AE728"/>
      <c r="AF728"/>
      <c r="AG728"/>
      <c r="AH728"/>
      <c r="AI728"/>
    </row>
    <row r="729" spans="1:35" s="33" customFormat="1" ht="15.75">
      <c r="A729" s="178"/>
      <c r="B729" s="166"/>
      <c r="C729" s="125"/>
      <c r="D729" s="125"/>
      <c r="E729" s="32"/>
      <c r="F729"/>
      <c r="G729"/>
      <c r="H729"/>
      <c r="I729"/>
      <c r="J729"/>
      <c r="K729"/>
      <c r="L729"/>
      <c r="M729"/>
      <c r="N729"/>
      <c r="O729"/>
      <c r="P729"/>
      <c r="Q729"/>
      <c r="R729"/>
      <c r="S729"/>
      <c r="T729"/>
      <c r="U729"/>
      <c r="V729"/>
      <c r="W729"/>
      <c r="X729"/>
      <c r="Y729"/>
      <c r="Z729"/>
      <c r="AA729"/>
      <c r="AB729"/>
      <c r="AC729"/>
      <c r="AD729"/>
      <c r="AE729"/>
      <c r="AF729"/>
      <c r="AG729"/>
      <c r="AH729"/>
      <c r="AI729"/>
    </row>
    <row r="730" spans="1:35" s="33" customFormat="1" ht="15.75">
      <c r="A730" s="178"/>
      <c r="B730" s="166"/>
      <c r="C730" s="125"/>
      <c r="D730" s="125"/>
      <c r="E730" s="32"/>
      <c r="F730"/>
      <c r="G730"/>
      <c r="H730"/>
      <c r="I730"/>
      <c r="J730"/>
      <c r="K730"/>
      <c r="L730"/>
      <c r="M730"/>
      <c r="N730"/>
      <c r="O730"/>
      <c r="P730"/>
      <c r="Q730"/>
      <c r="R730"/>
      <c r="S730"/>
      <c r="T730"/>
      <c r="U730"/>
      <c r="V730"/>
      <c r="W730"/>
      <c r="X730"/>
      <c r="Y730"/>
      <c r="Z730"/>
      <c r="AA730"/>
      <c r="AB730"/>
      <c r="AC730"/>
      <c r="AD730"/>
      <c r="AE730"/>
      <c r="AF730"/>
      <c r="AG730"/>
      <c r="AH730"/>
      <c r="AI730"/>
    </row>
    <row r="731" spans="1:35" s="33" customFormat="1" ht="15.75">
      <c r="A731" s="178"/>
      <c r="B731" s="166"/>
      <c r="C731" s="125"/>
      <c r="D731" s="125"/>
      <c r="E731" s="32"/>
      <c r="F731"/>
      <c r="G731"/>
      <c r="H731"/>
      <c r="I731"/>
      <c r="J731"/>
      <c r="K731"/>
      <c r="L731"/>
      <c r="M731"/>
      <c r="N731"/>
      <c r="O731"/>
      <c r="P731"/>
      <c r="Q731"/>
      <c r="R731"/>
      <c r="S731"/>
      <c r="T731"/>
      <c r="U731"/>
      <c r="V731"/>
      <c r="W731"/>
      <c r="X731"/>
      <c r="Y731"/>
      <c r="Z731"/>
      <c r="AA731"/>
      <c r="AB731"/>
      <c r="AC731"/>
      <c r="AD731"/>
      <c r="AE731"/>
      <c r="AF731"/>
      <c r="AG731"/>
      <c r="AH731"/>
      <c r="AI731"/>
    </row>
    <row r="732" spans="1:35" s="33" customFormat="1" ht="15.75">
      <c r="A732" s="178"/>
      <c r="B732" s="166"/>
      <c r="C732" s="125"/>
      <c r="D732" s="125"/>
      <c r="E732" s="32"/>
      <c r="F732"/>
      <c r="G732"/>
      <c r="H732"/>
      <c r="I732"/>
      <c r="J732"/>
      <c r="K732"/>
      <c r="L732"/>
      <c r="M732"/>
      <c r="N732"/>
      <c r="O732"/>
      <c r="P732"/>
      <c r="Q732"/>
      <c r="R732"/>
      <c r="S732"/>
      <c r="T732"/>
      <c r="U732"/>
      <c r="V732"/>
      <c r="W732"/>
      <c r="X732"/>
      <c r="Y732"/>
      <c r="Z732"/>
      <c r="AA732"/>
      <c r="AB732"/>
      <c r="AC732"/>
      <c r="AD732"/>
      <c r="AE732"/>
      <c r="AF732"/>
      <c r="AG732"/>
      <c r="AH732"/>
      <c r="AI732"/>
    </row>
    <row r="733" spans="1:35" s="33" customFormat="1" ht="15.75">
      <c r="A733" s="178"/>
      <c r="B733" s="166"/>
      <c r="C733" s="125"/>
      <c r="D733" s="125"/>
      <c r="E733" s="32"/>
      <c r="F733"/>
      <c r="G733"/>
      <c r="H733"/>
      <c r="I733"/>
      <c r="J733"/>
      <c r="K733"/>
      <c r="L733"/>
      <c r="M733"/>
      <c r="N733"/>
      <c r="O733"/>
      <c r="P733"/>
      <c r="Q733"/>
      <c r="R733"/>
      <c r="S733"/>
      <c r="T733"/>
      <c r="U733"/>
      <c r="V733"/>
      <c r="W733"/>
      <c r="X733"/>
      <c r="Y733"/>
      <c r="Z733"/>
      <c r="AA733"/>
      <c r="AB733"/>
      <c r="AC733"/>
      <c r="AD733"/>
      <c r="AE733"/>
      <c r="AF733"/>
      <c r="AG733"/>
      <c r="AH733"/>
      <c r="AI733"/>
    </row>
    <row r="734" spans="1:35" s="33" customFormat="1" ht="15.75">
      <c r="A734" s="178"/>
      <c r="B734" s="166"/>
      <c r="C734" s="125"/>
      <c r="D734" s="125"/>
      <c r="E734" s="32"/>
      <c r="F734"/>
      <c r="G734"/>
      <c r="H734"/>
      <c r="I734"/>
      <c r="J734"/>
      <c r="K734"/>
      <c r="L734"/>
      <c r="M734"/>
      <c r="N734"/>
      <c r="O734"/>
      <c r="P734"/>
      <c r="Q734"/>
      <c r="R734"/>
      <c r="S734"/>
      <c r="T734"/>
      <c r="U734"/>
      <c r="V734"/>
      <c r="W734"/>
      <c r="X734"/>
      <c r="Y734"/>
      <c r="Z734"/>
      <c r="AA734"/>
      <c r="AB734"/>
      <c r="AC734"/>
      <c r="AD734"/>
      <c r="AE734"/>
      <c r="AF734"/>
      <c r="AG734"/>
      <c r="AH734"/>
      <c r="AI734"/>
    </row>
    <row r="735" spans="1:35" s="33" customFormat="1" ht="15.75">
      <c r="A735" s="178"/>
      <c r="B735" s="166"/>
      <c r="C735" s="125"/>
      <c r="D735" s="125"/>
      <c r="E735" s="32"/>
      <c r="F735"/>
      <c r="G735"/>
      <c r="H735"/>
      <c r="I735"/>
      <c r="J735"/>
      <c r="K735"/>
      <c r="L735"/>
      <c r="M735"/>
      <c r="N735"/>
      <c r="O735"/>
      <c r="P735"/>
      <c r="Q735"/>
      <c r="R735"/>
      <c r="S735"/>
      <c r="T735"/>
      <c r="U735"/>
      <c r="V735"/>
      <c r="W735"/>
      <c r="X735"/>
      <c r="Y735"/>
      <c r="Z735"/>
      <c r="AA735"/>
      <c r="AB735"/>
      <c r="AC735"/>
      <c r="AD735"/>
      <c r="AE735"/>
      <c r="AF735"/>
      <c r="AG735"/>
      <c r="AH735"/>
      <c r="AI735"/>
    </row>
    <row r="736" spans="1:35" s="33" customFormat="1" ht="15.75">
      <c r="A736" s="178"/>
      <c r="B736" s="166"/>
      <c r="C736" s="125"/>
      <c r="D736" s="125"/>
      <c r="E736" s="32"/>
      <c r="F736"/>
      <c r="G736"/>
      <c r="H736"/>
      <c r="I736"/>
      <c r="J736"/>
      <c r="K736"/>
      <c r="L736"/>
      <c r="M736"/>
      <c r="N736"/>
      <c r="O736"/>
      <c r="P736"/>
      <c r="Q736"/>
      <c r="R736"/>
      <c r="S736"/>
      <c r="T736"/>
      <c r="U736"/>
      <c r="V736"/>
      <c r="W736"/>
      <c r="X736"/>
      <c r="Y736"/>
      <c r="Z736"/>
      <c r="AA736"/>
      <c r="AB736"/>
      <c r="AC736"/>
      <c r="AD736"/>
      <c r="AE736"/>
      <c r="AF736"/>
      <c r="AG736"/>
      <c r="AH736"/>
      <c r="AI736"/>
    </row>
    <row r="737" spans="1:35" s="33" customFormat="1" ht="15.75">
      <c r="A737" s="178"/>
      <c r="B737" s="166"/>
      <c r="C737" s="125"/>
      <c r="D737" s="125"/>
      <c r="E737" s="32"/>
      <c r="F737"/>
      <c r="G737"/>
      <c r="H737"/>
      <c r="I737"/>
      <c r="J737"/>
      <c r="K737"/>
      <c r="L737"/>
      <c r="M737"/>
      <c r="N737"/>
      <c r="O737"/>
      <c r="P737"/>
      <c r="Q737"/>
      <c r="R737"/>
      <c r="S737"/>
      <c r="T737"/>
      <c r="U737"/>
      <c r="V737"/>
      <c r="W737"/>
      <c r="X737"/>
      <c r="Y737"/>
      <c r="Z737"/>
      <c r="AA737"/>
      <c r="AB737"/>
      <c r="AC737"/>
      <c r="AD737"/>
      <c r="AE737"/>
      <c r="AF737"/>
      <c r="AG737"/>
      <c r="AH737"/>
      <c r="AI737"/>
    </row>
    <row r="738" spans="1:35" s="33" customFormat="1" ht="15.75">
      <c r="A738" s="178"/>
      <c r="B738" s="166"/>
      <c r="C738" s="125"/>
      <c r="D738" s="125"/>
      <c r="E738" s="32"/>
      <c r="F738"/>
      <c r="G738"/>
      <c r="H738"/>
      <c r="I738"/>
      <c r="J738"/>
      <c r="K738"/>
      <c r="L738"/>
      <c r="M738"/>
      <c r="N738"/>
      <c r="O738"/>
      <c r="P738"/>
      <c r="Q738"/>
      <c r="R738"/>
      <c r="S738"/>
      <c r="T738"/>
      <c r="U738"/>
      <c r="V738"/>
      <c r="W738"/>
      <c r="X738"/>
      <c r="Y738"/>
      <c r="Z738"/>
      <c r="AA738"/>
      <c r="AB738"/>
      <c r="AC738"/>
      <c r="AD738"/>
      <c r="AE738"/>
      <c r="AF738"/>
      <c r="AG738"/>
      <c r="AH738"/>
      <c r="AI738"/>
    </row>
    <row r="739" spans="1:35" s="33" customFormat="1" ht="15.75">
      <c r="A739" s="178"/>
      <c r="B739" s="166"/>
      <c r="C739" s="125"/>
      <c r="D739" s="125"/>
      <c r="E739" s="32"/>
      <c r="F739"/>
      <c r="G739"/>
      <c r="H739"/>
      <c r="I739"/>
      <c r="J739"/>
      <c r="K739"/>
      <c r="L739"/>
      <c r="M739"/>
      <c r="N739"/>
      <c r="O739"/>
      <c r="P739"/>
      <c r="Q739"/>
      <c r="R739"/>
      <c r="S739"/>
      <c r="T739"/>
      <c r="U739"/>
      <c r="V739"/>
      <c r="W739"/>
      <c r="X739"/>
      <c r="Y739"/>
      <c r="Z739"/>
      <c r="AA739"/>
      <c r="AB739"/>
      <c r="AC739"/>
      <c r="AD739"/>
      <c r="AE739"/>
      <c r="AF739"/>
      <c r="AG739"/>
      <c r="AH739"/>
      <c r="AI739"/>
    </row>
    <row r="740" spans="1:35" s="33" customFormat="1" ht="15.75">
      <c r="A740" s="178"/>
      <c r="B740" s="166"/>
      <c r="C740" s="125"/>
      <c r="D740" s="125"/>
      <c r="E740" s="32"/>
      <c r="F740"/>
      <c r="G740"/>
      <c r="H740"/>
      <c r="I740"/>
      <c r="J740"/>
      <c r="K740"/>
      <c r="L740"/>
      <c r="M740"/>
      <c r="N740"/>
      <c r="O740"/>
      <c r="P740"/>
      <c r="Q740"/>
      <c r="R740"/>
      <c r="S740"/>
      <c r="T740"/>
      <c r="U740"/>
      <c r="V740"/>
      <c r="W740"/>
      <c r="X740"/>
      <c r="Y740"/>
      <c r="Z740"/>
      <c r="AA740"/>
      <c r="AB740"/>
      <c r="AC740"/>
      <c r="AD740"/>
      <c r="AE740"/>
      <c r="AF740"/>
      <c r="AG740"/>
      <c r="AH740"/>
      <c r="AI740"/>
    </row>
    <row r="741" spans="1:35" s="33" customFormat="1" ht="15.75">
      <c r="A741" s="178"/>
      <c r="B741" s="166"/>
      <c r="C741" s="125"/>
      <c r="D741" s="125"/>
      <c r="E741" s="32"/>
      <c r="F741"/>
      <c r="G741"/>
      <c r="H741"/>
      <c r="I741"/>
      <c r="J741"/>
      <c r="K741"/>
      <c r="L741"/>
      <c r="M741"/>
      <c r="N741"/>
      <c r="O741"/>
      <c r="P741"/>
      <c r="Q741"/>
      <c r="R741"/>
      <c r="S741"/>
      <c r="T741"/>
      <c r="U741"/>
      <c r="V741"/>
      <c r="W741"/>
      <c r="X741"/>
      <c r="Y741"/>
      <c r="Z741"/>
      <c r="AA741"/>
      <c r="AB741"/>
      <c r="AC741"/>
      <c r="AD741"/>
      <c r="AE741"/>
      <c r="AF741"/>
      <c r="AG741"/>
      <c r="AH741"/>
      <c r="AI741"/>
    </row>
    <row r="742" spans="1:35" s="33" customFormat="1" ht="15.75">
      <c r="A742" s="178"/>
      <c r="B742" s="166"/>
      <c r="C742" s="125"/>
      <c r="D742" s="125"/>
      <c r="E742" s="32"/>
      <c r="F742"/>
      <c r="G742"/>
      <c r="H742"/>
      <c r="I742"/>
      <c r="J742"/>
      <c r="K742"/>
      <c r="L742"/>
      <c r="M742"/>
      <c r="N742"/>
      <c r="O742"/>
      <c r="P742"/>
      <c r="Q742"/>
      <c r="R742"/>
      <c r="S742"/>
      <c r="T742"/>
      <c r="U742"/>
      <c r="V742"/>
      <c r="W742"/>
      <c r="X742"/>
      <c r="Y742"/>
      <c r="Z742"/>
      <c r="AA742"/>
      <c r="AB742"/>
      <c r="AC742"/>
      <c r="AD742"/>
      <c r="AE742"/>
      <c r="AF742"/>
      <c r="AG742"/>
      <c r="AH742"/>
      <c r="AI742"/>
    </row>
    <row r="743" spans="1:35" s="33" customFormat="1" ht="15.75">
      <c r="A743" s="178"/>
      <c r="B743" s="166"/>
      <c r="C743" s="125"/>
      <c r="D743" s="125"/>
      <c r="E743" s="32"/>
      <c r="F743"/>
      <c r="G743"/>
      <c r="H743"/>
      <c r="I743"/>
      <c r="J743"/>
      <c r="K743"/>
      <c r="L743"/>
      <c r="M743"/>
      <c r="N743"/>
      <c r="O743"/>
      <c r="P743"/>
      <c r="Q743"/>
      <c r="R743"/>
      <c r="S743"/>
      <c r="T743"/>
      <c r="U743"/>
      <c r="V743"/>
      <c r="W743"/>
      <c r="X743"/>
      <c r="Y743"/>
      <c r="Z743"/>
      <c r="AA743"/>
      <c r="AB743"/>
      <c r="AC743"/>
      <c r="AD743"/>
      <c r="AE743"/>
      <c r="AF743"/>
      <c r="AG743"/>
      <c r="AH743"/>
      <c r="AI743"/>
    </row>
    <row r="744" spans="1:35" s="33" customFormat="1" ht="15.75">
      <c r="A744" s="178"/>
      <c r="B744" s="166"/>
      <c r="C744" s="125"/>
      <c r="D744" s="125"/>
      <c r="E744" s="32"/>
      <c r="F744"/>
      <c r="G744"/>
      <c r="H744"/>
      <c r="I744"/>
      <c r="J744"/>
      <c r="K744"/>
      <c r="L744"/>
      <c r="M744"/>
      <c r="N744"/>
      <c r="O744"/>
      <c r="P744"/>
      <c r="Q744"/>
      <c r="R744"/>
      <c r="S744"/>
      <c r="T744"/>
      <c r="U744"/>
      <c r="V744"/>
      <c r="W744"/>
      <c r="X744"/>
      <c r="Y744"/>
      <c r="Z744"/>
      <c r="AA744"/>
      <c r="AB744"/>
      <c r="AC744"/>
      <c r="AD744"/>
      <c r="AE744"/>
      <c r="AF744"/>
      <c r="AG744"/>
      <c r="AH744"/>
      <c r="AI744"/>
    </row>
    <row r="745" spans="1:35" s="33" customFormat="1" ht="15.75">
      <c r="A745" s="178"/>
      <c r="B745" s="166"/>
      <c r="C745" s="125"/>
      <c r="D745" s="125"/>
      <c r="E745" s="32"/>
      <c r="F745"/>
      <c r="G745"/>
      <c r="H745"/>
      <c r="I745"/>
      <c r="J745"/>
      <c r="K745"/>
      <c r="L745"/>
      <c r="M745"/>
      <c r="N745"/>
      <c r="O745"/>
      <c r="P745"/>
      <c r="Q745"/>
      <c r="R745"/>
      <c r="S745"/>
      <c r="T745"/>
      <c r="U745"/>
      <c r="V745"/>
      <c r="W745"/>
      <c r="X745"/>
      <c r="Y745"/>
      <c r="Z745"/>
      <c r="AA745"/>
      <c r="AB745"/>
      <c r="AC745"/>
      <c r="AD745"/>
      <c r="AE745"/>
      <c r="AF745"/>
      <c r="AG745"/>
      <c r="AH745"/>
      <c r="AI745"/>
    </row>
    <row r="746" spans="1:35" s="33" customFormat="1" ht="15.75">
      <c r="A746" s="178"/>
      <c r="B746" s="166"/>
      <c r="C746" s="125"/>
      <c r="D746" s="125"/>
      <c r="E746" s="32"/>
      <c r="F746"/>
      <c r="G746"/>
      <c r="H746"/>
      <c r="I746"/>
      <c r="J746"/>
      <c r="K746"/>
      <c r="L746"/>
      <c r="M746"/>
      <c r="N746"/>
      <c r="O746"/>
      <c r="P746"/>
      <c r="Q746"/>
      <c r="R746"/>
      <c r="S746"/>
      <c r="T746"/>
      <c r="U746"/>
      <c r="V746"/>
      <c r="W746"/>
      <c r="X746"/>
      <c r="Y746"/>
      <c r="Z746"/>
      <c r="AA746"/>
      <c r="AB746"/>
      <c r="AC746"/>
      <c r="AD746"/>
      <c r="AE746"/>
      <c r="AF746"/>
      <c r="AG746"/>
      <c r="AH746"/>
      <c r="AI746"/>
    </row>
    <row r="747" spans="1:35" s="33" customFormat="1" ht="15.75">
      <c r="A747" s="178"/>
      <c r="B747" s="166"/>
      <c r="C747" s="125"/>
      <c r="D747" s="125"/>
      <c r="E747" s="32"/>
      <c r="F747"/>
      <c r="G747"/>
      <c r="H747"/>
      <c r="I747"/>
      <c r="J747"/>
      <c r="K747"/>
      <c r="L747"/>
      <c r="M747"/>
      <c r="N747"/>
      <c r="O747"/>
      <c r="P747"/>
      <c r="Q747"/>
      <c r="R747"/>
      <c r="S747"/>
      <c r="T747"/>
      <c r="U747"/>
      <c r="V747"/>
      <c r="W747"/>
      <c r="X747"/>
      <c r="Y747"/>
      <c r="Z747"/>
      <c r="AA747"/>
      <c r="AB747"/>
      <c r="AC747"/>
      <c r="AD747"/>
      <c r="AE747"/>
      <c r="AF747"/>
      <c r="AG747"/>
      <c r="AH747"/>
      <c r="AI747"/>
    </row>
    <row r="748" spans="1:35" s="33" customFormat="1" ht="15.75">
      <c r="A748" s="178"/>
      <c r="B748" s="166"/>
      <c r="C748" s="125"/>
      <c r="D748" s="125"/>
      <c r="E748" s="32"/>
      <c r="F748"/>
      <c r="G748"/>
      <c r="H748"/>
      <c r="I748"/>
      <c r="J748"/>
      <c r="K748"/>
      <c r="L748"/>
      <c r="M748"/>
      <c r="N748"/>
      <c r="O748"/>
      <c r="P748"/>
      <c r="Q748"/>
      <c r="R748"/>
      <c r="S748"/>
      <c r="T748"/>
      <c r="U748"/>
      <c r="V748"/>
      <c r="W748"/>
      <c r="X748"/>
      <c r="Y748"/>
      <c r="Z748"/>
      <c r="AA748"/>
      <c r="AB748"/>
      <c r="AC748"/>
      <c r="AD748"/>
      <c r="AE748"/>
      <c r="AF748"/>
      <c r="AG748"/>
      <c r="AH748"/>
      <c r="AI748"/>
    </row>
    <row r="749" spans="1:35" s="33" customFormat="1" ht="15.75">
      <c r="A749" s="178"/>
      <c r="B749" s="166"/>
      <c r="C749" s="125"/>
      <c r="D749" s="125"/>
      <c r="E749" s="32"/>
      <c r="F749"/>
      <c r="G749"/>
      <c r="H749"/>
      <c r="I749"/>
      <c r="J749"/>
      <c r="K749"/>
      <c r="L749"/>
      <c r="M749"/>
      <c r="N749"/>
      <c r="O749"/>
      <c r="P749"/>
      <c r="Q749"/>
      <c r="R749"/>
      <c r="S749"/>
      <c r="T749"/>
      <c r="U749"/>
      <c r="V749"/>
      <c r="W749"/>
      <c r="X749"/>
      <c r="Y749"/>
      <c r="Z749"/>
      <c r="AA749"/>
      <c r="AB749"/>
      <c r="AC749"/>
      <c r="AD749"/>
      <c r="AE749"/>
      <c r="AF749"/>
      <c r="AG749"/>
      <c r="AH749"/>
      <c r="AI749"/>
    </row>
    <row r="750" spans="1:35" s="33" customFormat="1" ht="15.75">
      <c r="A750" s="178"/>
      <c r="B750" s="166"/>
      <c r="C750" s="125"/>
      <c r="D750" s="125"/>
      <c r="E750" s="32"/>
      <c r="F750"/>
      <c r="G750"/>
      <c r="H750"/>
      <c r="I750"/>
      <c r="J750"/>
      <c r="K750"/>
      <c r="L750"/>
      <c r="M750"/>
      <c r="N750"/>
      <c r="O750"/>
      <c r="P750"/>
      <c r="Q750"/>
      <c r="R750"/>
      <c r="S750"/>
      <c r="T750"/>
      <c r="U750"/>
      <c r="V750"/>
      <c r="W750"/>
      <c r="X750"/>
      <c r="Y750"/>
      <c r="Z750"/>
      <c r="AA750"/>
      <c r="AB750"/>
      <c r="AC750"/>
      <c r="AD750"/>
      <c r="AE750"/>
      <c r="AF750"/>
      <c r="AG750"/>
      <c r="AH750"/>
      <c r="AI750"/>
    </row>
    <row r="751" spans="1:35" s="33" customFormat="1" ht="15.75">
      <c r="A751" s="178"/>
      <c r="B751" s="166"/>
      <c r="C751" s="125"/>
      <c r="D751" s="125"/>
      <c r="E751" s="32"/>
      <c r="F751"/>
      <c r="G751"/>
      <c r="H751"/>
      <c r="I751"/>
      <c r="J751"/>
      <c r="K751"/>
      <c r="L751"/>
      <c r="M751"/>
      <c r="N751"/>
      <c r="O751"/>
      <c r="P751"/>
      <c r="Q751"/>
      <c r="R751"/>
      <c r="S751"/>
      <c r="T751"/>
      <c r="U751"/>
      <c r="V751"/>
      <c r="W751"/>
      <c r="X751"/>
      <c r="Y751"/>
      <c r="Z751"/>
      <c r="AA751"/>
      <c r="AB751"/>
      <c r="AC751"/>
      <c r="AD751"/>
      <c r="AE751"/>
      <c r="AF751"/>
      <c r="AG751"/>
      <c r="AH751"/>
      <c r="AI751"/>
    </row>
    <row r="752" spans="1:35" s="33" customFormat="1" ht="15.75">
      <c r="A752" s="178"/>
      <c r="B752" s="166"/>
      <c r="C752" s="125"/>
      <c r="D752" s="125"/>
      <c r="E752" s="32"/>
      <c r="F752"/>
      <c r="G752"/>
      <c r="H752"/>
      <c r="I752"/>
      <c r="J752"/>
      <c r="K752"/>
      <c r="L752"/>
      <c r="M752"/>
      <c r="N752"/>
      <c r="O752"/>
      <c r="P752"/>
      <c r="Q752"/>
      <c r="R752"/>
      <c r="S752"/>
      <c r="T752"/>
      <c r="U752"/>
      <c r="V752"/>
      <c r="W752"/>
      <c r="X752"/>
      <c r="Y752"/>
      <c r="Z752"/>
      <c r="AA752"/>
      <c r="AB752"/>
      <c r="AC752"/>
      <c r="AD752"/>
      <c r="AE752"/>
      <c r="AF752"/>
      <c r="AG752"/>
      <c r="AH752"/>
      <c r="AI752"/>
    </row>
    <row r="753" spans="1:35" s="33" customFormat="1" ht="15.75">
      <c r="A753" s="178"/>
      <c r="B753" s="166"/>
      <c r="C753" s="125"/>
      <c r="D753" s="125"/>
      <c r="E753" s="32"/>
      <c r="F753"/>
      <c r="G753"/>
      <c r="H753"/>
      <c r="I753"/>
      <c r="J753"/>
      <c r="K753"/>
      <c r="L753"/>
      <c r="M753"/>
      <c r="N753"/>
      <c r="O753"/>
      <c r="P753"/>
      <c r="Q753"/>
      <c r="R753"/>
      <c r="S753"/>
      <c r="T753"/>
      <c r="U753"/>
      <c r="V753"/>
      <c r="W753"/>
      <c r="X753"/>
      <c r="Y753"/>
      <c r="Z753"/>
      <c r="AA753"/>
      <c r="AB753"/>
      <c r="AC753"/>
      <c r="AD753"/>
      <c r="AE753"/>
      <c r="AF753"/>
      <c r="AG753"/>
      <c r="AH753"/>
      <c r="AI753"/>
    </row>
    <row r="754" spans="1:35" s="33" customFormat="1" ht="15.75">
      <c r="A754" s="178"/>
      <c r="B754" s="166"/>
      <c r="C754" s="125"/>
      <c r="D754" s="125"/>
      <c r="E754" s="32"/>
      <c r="F754"/>
      <c r="G754"/>
      <c r="H754"/>
      <c r="I754"/>
      <c r="J754"/>
      <c r="K754"/>
      <c r="L754"/>
      <c r="M754"/>
      <c r="N754"/>
      <c r="O754"/>
      <c r="P754"/>
      <c r="Q754"/>
      <c r="R754"/>
      <c r="S754"/>
      <c r="T754"/>
      <c r="U754"/>
      <c r="V754"/>
      <c r="W754"/>
      <c r="X754"/>
      <c r="Y754"/>
      <c r="Z754"/>
      <c r="AA754"/>
      <c r="AB754"/>
      <c r="AC754"/>
      <c r="AD754"/>
      <c r="AE754"/>
      <c r="AF754"/>
      <c r="AG754"/>
      <c r="AH754"/>
      <c r="AI754"/>
    </row>
    <row r="755" spans="1:35" s="33" customFormat="1" ht="15.75">
      <c r="A755" s="178"/>
      <c r="B755" s="166"/>
      <c r="C755" s="125"/>
      <c r="D755" s="125"/>
      <c r="E755" s="32"/>
      <c r="F755"/>
      <c r="G755"/>
      <c r="H755"/>
      <c r="I755"/>
      <c r="J755"/>
      <c r="K755"/>
      <c r="L755"/>
      <c r="M755"/>
      <c r="N755"/>
      <c r="O755"/>
      <c r="P755"/>
      <c r="Q755"/>
      <c r="R755"/>
      <c r="S755"/>
      <c r="T755"/>
      <c r="U755"/>
      <c r="V755"/>
      <c r="W755"/>
      <c r="X755"/>
      <c r="Y755"/>
      <c r="Z755"/>
      <c r="AA755"/>
      <c r="AB755"/>
      <c r="AC755"/>
      <c r="AD755"/>
      <c r="AE755"/>
      <c r="AF755"/>
      <c r="AG755"/>
      <c r="AH755"/>
      <c r="AI755"/>
    </row>
    <row r="756" spans="1:35" s="33" customFormat="1" ht="15.75">
      <c r="A756" s="178"/>
      <c r="B756" s="166"/>
      <c r="C756" s="125"/>
      <c r="D756" s="125"/>
      <c r="E756" s="32"/>
      <c r="F756"/>
      <c r="G756"/>
      <c r="H756"/>
      <c r="I756"/>
      <c r="J756"/>
      <c r="K756"/>
      <c r="L756"/>
      <c r="M756"/>
      <c r="N756"/>
      <c r="O756"/>
      <c r="P756"/>
      <c r="Q756"/>
      <c r="R756"/>
      <c r="S756"/>
      <c r="T756"/>
      <c r="U756"/>
      <c r="V756"/>
      <c r="W756"/>
      <c r="X756"/>
      <c r="Y756"/>
      <c r="Z756"/>
      <c r="AA756"/>
      <c r="AB756"/>
      <c r="AC756"/>
      <c r="AD756"/>
      <c r="AE756"/>
      <c r="AF756"/>
      <c r="AG756"/>
      <c r="AH756"/>
      <c r="AI756"/>
    </row>
    <row r="757" spans="1:35" s="33" customFormat="1" ht="15.75">
      <c r="A757" s="178"/>
      <c r="B757" s="166"/>
      <c r="C757" s="125"/>
      <c r="D757" s="125"/>
      <c r="E757" s="32"/>
      <c r="F757"/>
      <c r="G757"/>
      <c r="H757"/>
      <c r="I757"/>
      <c r="J757"/>
      <c r="K757"/>
      <c r="L757"/>
      <c r="M757"/>
      <c r="N757"/>
      <c r="O757"/>
      <c r="P757"/>
      <c r="Q757"/>
      <c r="R757"/>
      <c r="S757"/>
      <c r="T757"/>
      <c r="U757"/>
      <c r="V757"/>
      <c r="W757"/>
      <c r="X757"/>
      <c r="Y757"/>
      <c r="Z757"/>
      <c r="AA757"/>
      <c r="AB757"/>
      <c r="AC757"/>
      <c r="AD757"/>
      <c r="AE757"/>
      <c r="AF757"/>
      <c r="AG757"/>
      <c r="AH757"/>
      <c r="AI757"/>
    </row>
    <row r="758" spans="1:35" s="33" customFormat="1" ht="15.75">
      <c r="A758" s="178"/>
      <c r="B758" s="166"/>
      <c r="C758" s="125"/>
      <c r="D758" s="125"/>
      <c r="E758" s="32"/>
      <c r="F758"/>
      <c r="G758"/>
      <c r="H758"/>
      <c r="I758"/>
      <c r="J758"/>
      <c r="K758"/>
      <c r="L758"/>
      <c r="M758"/>
      <c r="N758"/>
      <c r="O758"/>
      <c r="P758"/>
      <c r="Q758"/>
      <c r="R758"/>
      <c r="S758"/>
      <c r="T758"/>
      <c r="U758"/>
      <c r="V758"/>
      <c r="W758"/>
      <c r="X758"/>
      <c r="Y758"/>
      <c r="Z758"/>
      <c r="AA758"/>
      <c r="AB758"/>
      <c r="AC758"/>
      <c r="AD758"/>
      <c r="AE758"/>
      <c r="AF758"/>
      <c r="AG758"/>
      <c r="AH758"/>
      <c r="AI758"/>
    </row>
    <row r="759" spans="1:35" s="33" customFormat="1" ht="15.75">
      <c r="A759" s="178"/>
      <c r="B759" s="166"/>
      <c r="C759" s="125"/>
      <c r="D759" s="125"/>
      <c r="E759" s="32"/>
      <c r="F759"/>
      <c r="G759"/>
      <c r="H759"/>
      <c r="I759"/>
      <c r="J759"/>
      <c r="K759"/>
      <c r="L759"/>
      <c r="M759"/>
      <c r="N759"/>
      <c r="O759"/>
      <c r="P759"/>
      <c r="Q759"/>
      <c r="R759"/>
      <c r="S759"/>
      <c r="T759"/>
      <c r="U759"/>
      <c r="V759"/>
      <c r="W759"/>
      <c r="X759"/>
      <c r="Y759"/>
      <c r="Z759"/>
      <c r="AA759"/>
      <c r="AB759"/>
      <c r="AC759"/>
      <c r="AD759"/>
      <c r="AE759"/>
      <c r="AF759"/>
      <c r="AG759"/>
      <c r="AH759"/>
      <c r="AI759"/>
    </row>
    <row r="760" spans="1:35" s="33" customFormat="1" ht="15.75">
      <c r="A760" s="178"/>
      <c r="B760" s="166"/>
      <c r="C760" s="125"/>
      <c r="D760" s="125"/>
      <c r="E760" s="32"/>
      <c r="F760"/>
      <c r="G760"/>
      <c r="H760"/>
      <c r="I760"/>
      <c r="J760"/>
      <c r="K760"/>
      <c r="L760"/>
      <c r="M760"/>
      <c r="N760"/>
      <c r="O760"/>
      <c r="P760"/>
      <c r="Q760"/>
      <c r="R760"/>
      <c r="S760"/>
      <c r="T760"/>
      <c r="U760"/>
      <c r="V760"/>
      <c r="W760"/>
      <c r="X760"/>
      <c r="Y760"/>
      <c r="Z760"/>
      <c r="AA760"/>
      <c r="AB760"/>
      <c r="AC760"/>
      <c r="AD760"/>
      <c r="AE760"/>
      <c r="AF760"/>
      <c r="AG760"/>
      <c r="AH760"/>
      <c r="AI760"/>
    </row>
    <row r="761" spans="1:35" s="33" customFormat="1" ht="15.75">
      <c r="A761" s="178"/>
      <c r="B761" s="166"/>
      <c r="C761" s="125"/>
      <c r="D761" s="125"/>
      <c r="E761" s="32"/>
      <c r="F761"/>
      <c r="G761"/>
      <c r="H761"/>
      <c r="I761"/>
      <c r="J761"/>
      <c r="K761"/>
      <c r="L761"/>
      <c r="M761"/>
      <c r="N761"/>
      <c r="O761"/>
      <c r="P761"/>
      <c r="Q761"/>
      <c r="R761"/>
      <c r="S761"/>
      <c r="T761"/>
      <c r="U761"/>
      <c r="V761"/>
      <c r="W761"/>
      <c r="X761"/>
      <c r="Y761"/>
      <c r="Z761"/>
      <c r="AA761"/>
      <c r="AB761"/>
      <c r="AC761"/>
      <c r="AD761"/>
      <c r="AE761"/>
      <c r="AF761"/>
      <c r="AG761"/>
      <c r="AH761"/>
      <c r="AI761"/>
    </row>
    <row r="762" spans="1:35" s="33" customFormat="1" ht="15.75">
      <c r="A762" s="178"/>
      <c r="B762" s="166"/>
      <c r="C762" s="125"/>
      <c r="D762" s="125"/>
      <c r="E762" s="32"/>
      <c r="F762"/>
      <c r="G762"/>
      <c r="H762"/>
      <c r="I762"/>
      <c r="J762"/>
      <c r="K762"/>
      <c r="L762"/>
      <c r="M762"/>
      <c r="N762"/>
      <c r="O762"/>
      <c r="P762"/>
      <c r="Q762"/>
      <c r="R762"/>
      <c r="S762"/>
      <c r="T762"/>
      <c r="U762"/>
      <c r="V762"/>
      <c r="W762"/>
      <c r="X762"/>
      <c r="Y762"/>
      <c r="Z762"/>
      <c r="AA762"/>
      <c r="AB762"/>
      <c r="AC762"/>
      <c r="AD762"/>
      <c r="AE762"/>
      <c r="AF762"/>
      <c r="AG762"/>
      <c r="AH762"/>
      <c r="AI762"/>
    </row>
    <row r="763" spans="1:35" s="33" customFormat="1" ht="15.75">
      <c r="A763" s="178"/>
      <c r="B763" s="166"/>
      <c r="C763" s="125"/>
      <c r="D763" s="125"/>
      <c r="E763" s="32"/>
      <c r="F763"/>
      <c r="G763"/>
      <c r="H763"/>
      <c r="I763"/>
      <c r="J763"/>
      <c r="K763"/>
      <c r="L763"/>
      <c r="M763"/>
      <c r="N763"/>
      <c r="O763"/>
      <c r="P763"/>
      <c r="Q763"/>
      <c r="R763"/>
      <c r="S763"/>
      <c r="T763"/>
      <c r="U763"/>
      <c r="V763"/>
      <c r="W763"/>
      <c r="X763"/>
      <c r="Y763"/>
      <c r="Z763"/>
      <c r="AA763"/>
      <c r="AB763"/>
      <c r="AC763"/>
      <c r="AD763"/>
      <c r="AE763"/>
      <c r="AF763"/>
      <c r="AG763"/>
      <c r="AH763"/>
      <c r="AI763"/>
    </row>
    <row r="764" spans="1:35" s="33" customFormat="1" ht="15.75">
      <c r="A764" s="178"/>
      <c r="B764" s="166"/>
      <c r="C764" s="125"/>
      <c r="D764" s="125"/>
      <c r="E764" s="32"/>
      <c r="F764"/>
      <c r="G764"/>
      <c r="H764"/>
      <c r="I764"/>
      <c r="J764"/>
      <c r="K764"/>
      <c r="L764"/>
      <c r="M764"/>
      <c r="N764"/>
      <c r="O764"/>
      <c r="P764"/>
      <c r="Q764"/>
      <c r="R764"/>
      <c r="S764"/>
      <c r="T764"/>
      <c r="U764"/>
      <c r="V764"/>
      <c r="W764"/>
      <c r="X764"/>
      <c r="Y764"/>
      <c r="Z764"/>
      <c r="AA764"/>
      <c r="AB764"/>
      <c r="AC764"/>
      <c r="AD764"/>
      <c r="AE764"/>
      <c r="AF764"/>
      <c r="AG764"/>
      <c r="AH764"/>
      <c r="AI764"/>
    </row>
    <row r="765" spans="1:35" s="33" customFormat="1" ht="15.75">
      <c r="A765" s="178"/>
      <c r="B765" s="166"/>
      <c r="C765" s="125"/>
      <c r="D765" s="125"/>
      <c r="E765" s="32"/>
      <c r="F765"/>
      <c r="G765"/>
      <c r="H765"/>
      <c r="I765"/>
      <c r="J765"/>
      <c r="K765"/>
      <c r="L765"/>
      <c r="M765"/>
      <c r="N765"/>
      <c r="O765"/>
      <c r="P765"/>
      <c r="Q765"/>
      <c r="R765"/>
      <c r="S765"/>
      <c r="T765"/>
      <c r="U765"/>
      <c r="V765"/>
      <c r="W765"/>
      <c r="X765"/>
      <c r="Y765"/>
      <c r="Z765"/>
      <c r="AA765"/>
      <c r="AB765"/>
      <c r="AC765"/>
      <c r="AD765"/>
      <c r="AE765"/>
      <c r="AF765"/>
      <c r="AG765"/>
      <c r="AH765"/>
      <c r="AI765"/>
    </row>
    <row r="766" spans="1:35" s="33" customFormat="1" ht="15.75">
      <c r="A766" s="178"/>
      <c r="B766" s="166"/>
      <c r="C766" s="125"/>
      <c r="D766" s="125"/>
      <c r="E766" s="32"/>
      <c r="F766"/>
      <c r="G766"/>
      <c r="H766"/>
      <c r="I766"/>
      <c r="J766"/>
      <c r="K766"/>
      <c r="L766"/>
      <c r="M766"/>
      <c r="N766"/>
      <c r="O766"/>
      <c r="P766"/>
      <c r="Q766"/>
      <c r="R766"/>
      <c r="S766"/>
      <c r="T766"/>
      <c r="U766"/>
      <c r="V766"/>
      <c r="W766"/>
      <c r="X766"/>
      <c r="Y766"/>
      <c r="Z766"/>
      <c r="AA766"/>
      <c r="AB766"/>
      <c r="AC766"/>
      <c r="AD766"/>
      <c r="AE766"/>
      <c r="AF766"/>
      <c r="AG766"/>
      <c r="AH766"/>
      <c r="AI766"/>
    </row>
    <row r="767" spans="1:35" s="33" customFormat="1" ht="15.75">
      <c r="A767" s="178"/>
      <c r="B767" s="166"/>
      <c r="C767" s="125"/>
      <c r="D767" s="125"/>
      <c r="E767" s="32"/>
      <c r="F767"/>
      <c r="G767"/>
      <c r="H767"/>
      <c r="I767"/>
      <c r="J767"/>
      <c r="K767"/>
      <c r="L767"/>
      <c r="M767"/>
      <c r="N767"/>
      <c r="O767"/>
      <c r="P767"/>
      <c r="Q767"/>
      <c r="R767"/>
      <c r="S767"/>
      <c r="T767"/>
      <c r="U767"/>
      <c r="V767"/>
      <c r="W767"/>
      <c r="X767"/>
      <c r="Y767"/>
      <c r="Z767"/>
      <c r="AA767"/>
      <c r="AB767"/>
      <c r="AC767"/>
      <c r="AD767"/>
      <c r="AE767"/>
      <c r="AF767"/>
      <c r="AG767"/>
      <c r="AH767"/>
      <c r="AI767"/>
    </row>
    <row r="768" spans="1:35" s="33" customFormat="1" ht="15.75">
      <c r="A768" s="178"/>
      <c r="B768" s="166"/>
      <c r="C768" s="125"/>
      <c r="D768" s="125"/>
      <c r="E768" s="32"/>
      <c r="F768"/>
      <c r="G768"/>
      <c r="H768"/>
      <c r="I768"/>
      <c r="J768"/>
      <c r="K768"/>
      <c r="L768"/>
      <c r="M768"/>
      <c r="N768"/>
      <c r="O768"/>
      <c r="P768"/>
      <c r="Q768"/>
      <c r="R768"/>
      <c r="S768"/>
      <c r="T768"/>
      <c r="U768"/>
      <c r="V768"/>
      <c r="W768"/>
      <c r="X768"/>
      <c r="Y768"/>
      <c r="Z768"/>
      <c r="AA768"/>
      <c r="AB768"/>
      <c r="AC768"/>
      <c r="AD768"/>
      <c r="AE768"/>
      <c r="AF768"/>
      <c r="AG768"/>
      <c r="AH768"/>
      <c r="AI768"/>
    </row>
    <row r="769" spans="1:35" s="33" customFormat="1" ht="15.75">
      <c r="A769" s="178"/>
      <c r="B769" s="166"/>
      <c r="C769" s="125"/>
      <c r="D769" s="125"/>
      <c r="E769" s="32"/>
      <c r="F769"/>
      <c r="G769"/>
      <c r="H769"/>
      <c r="I769"/>
      <c r="J769"/>
      <c r="K769"/>
      <c r="L769"/>
      <c r="M769"/>
      <c r="N769"/>
      <c r="O769"/>
      <c r="P769"/>
      <c r="Q769"/>
      <c r="R769"/>
      <c r="S769"/>
      <c r="T769"/>
      <c r="U769"/>
      <c r="V769"/>
      <c r="W769"/>
      <c r="X769"/>
      <c r="Y769"/>
      <c r="Z769"/>
      <c r="AA769"/>
      <c r="AB769"/>
      <c r="AC769"/>
      <c r="AD769"/>
      <c r="AE769"/>
      <c r="AF769"/>
      <c r="AG769"/>
      <c r="AH769"/>
      <c r="AI769"/>
    </row>
    <row r="770" spans="1:35" s="33" customFormat="1" ht="15.75">
      <c r="A770" s="178"/>
      <c r="B770" s="166"/>
      <c r="C770" s="125"/>
      <c r="D770" s="125"/>
      <c r="E770" s="32"/>
      <c r="F770"/>
      <c r="G770"/>
      <c r="H770"/>
      <c r="I770"/>
      <c r="J770"/>
      <c r="K770"/>
      <c r="L770"/>
      <c r="M770"/>
      <c r="N770"/>
      <c r="O770"/>
      <c r="P770"/>
      <c r="Q770"/>
      <c r="R770"/>
      <c r="S770"/>
      <c r="T770"/>
      <c r="U770"/>
      <c r="V770"/>
      <c r="W770"/>
      <c r="X770"/>
      <c r="Y770"/>
      <c r="Z770"/>
      <c r="AA770"/>
      <c r="AB770"/>
      <c r="AC770"/>
      <c r="AD770"/>
      <c r="AE770"/>
      <c r="AF770"/>
      <c r="AG770"/>
      <c r="AH770"/>
      <c r="AI770"/>
    </row>
    <row r="771" spans="1:35" s="33" customFormat="1" ht="15.75">
      <c r="A771" s="178"/>
      <c r="B771" s="166"/>
      <c r="C771" s="125"/>
      <c r="D771" s="125"/>
      <c r="E771" s="32"/>
      <c r="F771"/>
      <c r="G771"/>
      <c r="H771"/>
      <c r="I771"/>
      <c r="J771"/>
      <c r="K771"/>
      <c r="L771"/>
      <c r="M771"/>
      <c r="N771"/>
      <c r="O771"/>
      <c r="P771"/>
      <c r="Q771"/>
      <c r="R771"/>
      <c r="S771"/>
      <c r="T771"/>
      <c r="U771"/>
      <c r="V771"/>
      <c r="W771"/>
      <c r="X771"/>
      <c r="Y771"/>
      <c r="Z771"/>
      <c r="AA771"/>
      <c r="AB771"/>
      <c r="AC771"/>
      <c r="AD771"/>
      <c r="AE771"/>
      <c r="AF771"/>
      <c r="AG771"/>
      <c r="AH771"/>
      <c r="AI771"/>
    </row>
    <row r="772" spans="1:35" s="33" customFormat="1" ht="15.75">
      <c r="A772" s="178"/>
      <c r="B772" s="166"/>
      <c r="C772" s="125"/>
      <c r="D772" s="125"/>
      <c r="E772" s="32"/>
      <c r="F772"/>
      <c r="G772"/>
      <c r="H772"/>
      <c r="I772"/>
      <c r="J772"/>
      <c r="K772"/>
      <c r="L772"/>
      <c r="M772"/>
      <c r="N772"/>
      <c r="O772"/>
      <c r="P772"/>
      <c r="Q772"/>
      <c r="R772"/>
      <c r="S772"/>
      <c r="T772"/>
      <c r="U772"/>
      <c r="V772"/>
      <c r="W772"/>
      <c r="X772"/>
      <c r="Y772"/>
      <c r="Z772"/>
      <c r="AA772"/>
      <c r="AB772"/>
      <c r="AC772"/>
      <c r="AD772"/>
      <c r="AE772"/>
      <c r="AF772"/>
      <c r="AG772"/>
      <c r="AH772"/>
      <c r="AI772"/>
    </row>
    <row r="773" spans="1:35" s="33" customFormat="1" ht="15.75">
      <c r="A773" s="178"/>
      <c r="B773" s="166"/>
      <c r="C773" s="125"/>
      <c r="D773" s="125"/>
      <c r="E773" s="32"/>
      <c r="F773"/>
      <c r="G773"/>
      <c r="H773"/>
      <c r="I773"/>
      <c r="J773"/>
      <c r="K773"/>
      <c r="L773"/>
      <c r="M773"/>
      <c r="N773"/>
      <c r="O773"/>
      <c r="P773"/>
      <c r="Q773"/>
      <c r="R773"/>
      <c r="S773"/>
      <c r="T773"/>
      <c r="U773"/>
      <c r="V773"/>
      <c r="W773"/>
      <c r="X773"/>
      <c r="Y773"/>
      <c r="Z773"/>
      <c r="AA773"/>
      <c r="AB773"/>
      <c r="AC773"/>
      <c r="AD773"/>
      <c r="AE773"/>
      <c r="AF773"/>
      <c r="AG773"/>
      <c r="AH773"/>
      <c r="AI773"/>
    </row>
    <row r="774" spans="1:35" s="33" customFormat="1" ht="15.75">
      <c r="A774" s="178"/>
      <c r="B774" s="166"/>
      <c r="C774" s="125"/>
      <c r="D774" s="125"/>
      <c r="E774" s="32"/>
      <c r="F774"/>
      <c r="G774"/>
      <c r="H774"/>
      <c r="I774"/>
      <c r="J774"/>
      <c r="K774"/>
      <c r="L774"/>
      <c r="M774"/>
      <c r="N774"/>
      <c r="O774"/>
      <c r="P774"/>
      <c r="Q774"/>
      <c r="R774"/>
      <c r="S774"/>
      <c r="T774"/>
      <c r="U774"/>
      <c r="V774"/>
      <c r="W774"/>
      <c r="X774"/>
      <c r="Y774"/>
      <c r="Z774"/>
      <c r="AA774"/>
      <c r="AB774"/>
      <c r="AC774"/>
      <c r="AD774"/>
      <c r="AE774"/>
      <c r="AF774"/>
      <c r="AG774"/>
      <c r="AH774"/>
      <c r="AI774"/>
    </row>
    <row r="775" spans="1:35" s="33" customFormat="1" ht="15.75">
      <c r="A775" s="178"/>
      <c r="B775" s="166"/>
      <c r="C775" s="125"/>
      <c r="D775" s="125"/>
      <c r="E775" s="32"/>
      <c r="F775"/>
      <c r="G775"/>
      <c r="H775"/>
      <c r="I775"/>
      <c r="J775"/>
      <c r="K775"/>
      <c r="L775"/>
      <c r="M775"/>
      <c r="N775"/>
      <c r="O775"/>
      <c r="P775"/>
      <c r="Q775"/>
      <c r="R775"/>
      <c r="S775"/>
      <c r="T775"/>
      <c r="U775"/>
      <c r="V775"/>
      <c r="W775"/>
      <c r="X775"/>
      <c r="Y775"/>
      <c r="Z775"/>
      <c r="AA775"/>
      <c r="AB775"/>
      <c r="AC775"/>
      <c r="AD775"/>
      <c r="AE775"/>
      <c r="AF775"/>
      <c r="AG775"/>
      <c r="AH775"/>
      <c r="AI775"/>
    </row>
    <row r="776" spans="1:35" s="33" customFormat="1" ht="15.75">
      <c r="A776" s="178"/>
      <c r="B776" s="166"/>
      <c r="C776" s="125"/>
      <c r="D776" s="125"/>
      <c r="E776" s="32"/>
      <c r="F776"/>
      <c r="G776"/>
      <c r="H776"/>
      <c r="I776"/>
      <c r="J776"/>
      <c r="K776"/>
      <c r="L776"/>
      <c r="M776"/>
      <c r="N776"/>
      <c r="O776"/>
      <c r="P776"/>
      <c r="Q776"/>
      <c r="R776"/>
      <c r="S776"/>
      <c r="T776"/>
      <c r="U776"/>
      <c r="V776"/>
      <c r="W776"/>
      <c r="X776"/>
      <c r="Y776"/>
      <c r="Z776"/>
      <c r="AA776"/>
      <c r="AB776"/>
      <c r="AC776"/>
      <c r="AD776"/>
      <c r="AE776"/>
      <c r="AF776"/>
      <c r="AG776"/>
      <c r="AH776"/>
      <c r="AI776"/>
    </row>
    <row r="777" spans="1:35" s="33" customFormat="1" ht="15.75">
      <c r="A777" s="178"/>
      <c r="B777" s="166"/>
      <c r="C777" s="125"/>
      <c r="D777" s="125"/>
      <c r="E777" s="32"/>
      <c r="F777"/>
      <c r="G777"/>
      <c r="H777"/>
      <c r="I777"/>
      <c r="J777"/>
      <c r="K777"/>
      <c r="L777"/>
      <c r="M777"/>
      <c r="N777"/>
      <c r="O777"/>
      <c r="P777"/>
      <c r="Q777"/>
      <c r="R777"/>
      <c r="S777"/>
      <c r="T777"/>
      <c r="U777"/>
      <c r="V777"/>
      <c r="W777"/>
      <c r="X777"/>
      <c r="Y777"/>
      <c r="Z777"/>
      <c r="AA777"/>
      <c r="AB777"/>
      <c r="AC777"/>
      <c r="AD777"/>
      <c r="AE777"/>
      <c r="AF777"/>
      <c r="AG777"/>
      <c r="AH777"/>
      <c r="AI777"/>
    </row>
    <row r="778" spans="1:35" s="33" customFormat="1" ht="15.75">
      <c r="A778" s="178"/>
      <c r="B778" s="166"/>
      <c r="C778" s="125"/>
      <c r="D778" s="125"/>
      <c r="E778" s="32"/>
      <c r="F778"/>
      <c r="G778"/>
      <c r="H778"/>
      <c r="I778"/>
      <c r="J778"/>
      <c r="K778"/>
      <c r="L778"/>
      <c r="M778"/>
      <c r="N778"/>
      <c r="O778"/>
      <c r="P778"/>
      <c r="Q778"/>
      <c r="R778"/>
      <c r="S778"/>
      <c r="T778"/>
      <c r="U778"/>
      <c r="V778"/>
      <c r="W778"/>
      <c r="X778"/>
      <c r="Y778"/>
      <c r="Z778"/>
      <c r="AA778"/>
      <c r="AB778"/>
      <c r="AC778"/>
      <c r="AD778"/>
      <c r="AE778"/>
      <c r="AF778"/>
      <c r="AG778"/>
      <c r="AH778"/>
      <c r="AI778"/>
    </row>
    <row r="779" spans="1:35" s="33" customFormat="1" ht="15.75">
      <c r="A779" s="178"/>
      <c r="B779" s="166"/>
      <c r="C779" s="125"/>
      <c r="D779" s="125"/>
      <c r="E779" s="32"/>
      <c r="F779"/>
      <c r="G779"/>
      <c r="H779"/>
      <c r="I779"/>
      <c r="J779"/>
      <c r="K779"/>
      <c r="L779"/>
      <c r="M779"/>
      <c r="N779"/>
      <c r="O779"/>
      <c r="P779"/>
      <c r="Q779"/>
      <c r="R779"/>
      <c r="S779"/>
      <c r="T779"/>
      <c r="U779"/>
      <c r="V779"/>
      <c r="W779"/>
      <c r="X779"/>
      <c r="Y779"/>
      <c r="Z779"/>
      <c r="AA779"/>
      <c r="AB779"/>
      <c r="AC779"/>
      <c r="AD779"/>
      <c r="AE779"/>
      <c r="AF779"/>
      <c r="AG779"/>
      <c r="AH779"/>
      <c r="AI779"/>
    </row>
    <row r="780" spans="1:35" s="33" customFormat="1" ht="15.75">
      <c r="A780" s="178"/>
      <c r="B780" s="166"/>
      <c r="C780" s="125"/>
      <c r="D780" s="125"/>
      <c r="E780" s="32"/>
      <c r="F780"/>
      <c r="G780"/>
      <c r="H780"/>
      <c r="I780"/>
      <c r="J780"/>
      <c r="K780"/>
      <c r="L780"/>
      <c r="M780"/>
      <c r="N780"/>
      <c r="O780"/>
      <c r="P780"/>
      <c r="Q780"/>
      <c r="R780"/>
      <c r="S780"/>
      <c r="T780"/>
      <c r="U780"/>
      <c r="V780"/>
      <c r="W780"/>
      <c r="X780"/>
      <c r="Y780"/>
      <c r="Z780"/>
      <c r="AA780"/>
      <c r="AB780"/>
      <c r="AC780"/>
      <c r="AD780"/>
      <c r="AE780"/>
      <c r="AF780"/>
      <c r="AG780"/>
      <c r="AH780"/>
      <c r="AI780"/>
    </row>
    <row r="781" spans="1:35" s="33" customFormat="1" ht="15.75">
      <c r="A781" s="178"/>
      <c r="B781" s="166"/>
      <c r="C781" s="125"/>
      <c r="D781" s="125"/>
      <c r="E781" s="32"/>
      <c r="F781"/>
      <c r="G781"/>
      <c r="H781"/>
      <c r="I781"/>
      <c r="J781"/>
      <c r="K781"/>
      <c r="L781"/>
      <c r="M781"/>
      <c r="N781"/>
      <c r="O781"/>
      <c r="P781"/>
      <c r="Q781"/>
      <c r="R781"/>
      <c r="S781"/>
      <c r="T781"/>
      <c r="U781"/>
      <c r="V781"/>
      <c r="W781"/>
      <c r="X781"/>
      <c r="Y781"/>
      <c r="Z781"/>
      <c r="AA781"/>
      <c r="AB781"/>
      <c r="AC781"/>
      <c r="AD781"/>
      <c r="AE781"/>
      <c r="AF781"/>
      <c r="AG781"/>
      <c r="AH781"/>
      <c r="AI781"/>
    </row>
    <row r="782" spans="1:35" s="33" customFormat="1" ht="15.75">
      <c r="A782" s="178"/>
      <c r="B782" s="166"/>
      <c r="C782" s="125"/>
      <c r="D782" s="125"/>
      <c r="E782" s="32"/>
      <c r="F782"/>
      <c r="G782"/>
      <c r="H782"/>
      <c r="I782"/>
      <c r="J782"/>
      <c r="K782"/>
      <c r="L782"/>
      <c r="M782"/>
      <c r="N782"/>
      <c r="O782"/>
      <c r="P782"/>
      <c r="Q782"/>
      <c r="R782"/>
      <c r="S782"/>
      <c r="T782"/>
      <c r="U782"/>
      <c r="V782"/>
      <c r="W782"/>
      <c r="X782"/>
      <c r="Y782"/>
      <c r="Z782"/>
      <c r="AA782"/>
      <c r="AB782"/>
      <c r="AC782"/>
      <c r="AD782"/>
      <c r="AE782"/>
      <c r="AF782"/>
      <c r="AG782"/>
      <c r="AH782"/>
      <c r="AI782"/>
    </row>
    <row r="783" spans="1:35" s="33" customFormat="1" ht="15.75">
      <c r="A783" s="178"/>
      <c r="B783" s="166"/>
      <c r="C783" s="125"/>
      <c r="D783" s="125"/>
      <c r="E783" s="32"/>
      <c r="F783"/>
      <c r="G783"/>
      <c r="H783"/>
      <c r="I783"/>
      <c r="J783"/>
      <c r="K783"/>
      <c r="L783"/>
      <c r="M783"/>
      <c r="N783"/>
      <c r="O783"/>
      <c r="P783"/>
      <c r="Q783"/>
      <c r="R783"/>
      <c r="S783"/>
      <c r="T783"/>
      <c r="U783"/>
      <c r="V783"/>
      <c r="W783"/>
      <c r="X783"/>
      <c r="Y783"/>
      <c r="Z783"/>
      <c r="AA783"/>
      <c r="AB783"/>
      <c r="AC783"/>
      <c r="AD783"/>
      <c r="AE783"/>
      <c r="AF783"/>
      <c r="AG783"/>
      <c r="AH783"/>
      <c r="AI783"/>
    </row>
    <row r="784" spans="1:35" s="33" customFormat="1" ht="15.75">
      <c r="A784" s="178"/>
      <c r="B784" s="166"/>
      <c r="C784" s="125"/>
      <c r="D784" s="125"/>
      <c r="E784" s="32"/>
      <c r="F784"/>
      <c r="G784"/>
      <c r="H784"/>
      <c r="I784"/>
      <c r="J784"/>
      <c r="K784"/>
      <c r="L784"/>
      <c r="M784"/>
      <c r="N784"/>
      <c r="O784"/>
      <c r="P784"/>
      <c r="Q784"/>
      <c r="R784"/>
      <c r="S784"/>
      <c r="T784"/>
      <c r="U784"/>
      <c r="V784"/>
      <c r="W784"/>
      <c r="X784"/>
      <c r="Y784"/>
      <c r="Z784"/>
      <c r="AA784"/>
      <c r="AB784"/>
      <c r="AC784"/>
      <c r="AD784"/>
      <c r="AE784"/>
      <c r="AF784"/>
      <c r="AG784"/>
      <c r="AH784"/>
      <c r="AI784"/>
    </row>
    <row r="785" spans="1:35" s="33" customFormat="1" ht="15.75">
      <c r="A785" s="178"/>
      <c r="B785" s="166"/>
      <c r="C785" s="125"/>
      <c r="D785" s="125"/>
      <c r="E785" s="32"/>
      <c r="F785"/>
      <c r="G785"/>
      <c r="H785"/>
      <c r="I785"/>
      <c r="J785"/>
      <c r="K785"/>
      <c r="L785"/>
      <c r="M785"/>
      <c r="N785"/>
      <c r="O785"/>
      <c r="P785"/>
      <c r="Q785"/>
      <c r="R785"/>
      <c r="S785"/>
      <c r="T785"/>
      <c r="U785"/>
      <c r="V785"/>
      <c r="W785"/>
      <c r="X785"/>
      <c r="Y785"/>
      <c r="Z785"/>
      <c r="AA785"/>
      <c r="AB785"/>
      <c r="AC785"/>
      <c r="AD785"/>
      <c r="AE785"/>
      <c r="AF785"/>
      <c r="AG785"/>
      <c r="AH785"/>
      <c r="AI785"/>
    </row>
    <row r="786" spans="1:35" s="33" customFormat="1" ht="15.75">
      <c r="A786" s="178"/>
      <c r="B786" s="166"/>
      <c r="C786" s="125"/>
      <c r="D786" s="125"/>
      <c r="E786" s="32"/>
      <c r="F786"/>
      <c r="G786"/>
      <c r="H786"/>
      <c r="I786"/>
      <c r="J786"/>
      <c r="K786"/>
      <c r="L786"/>
      <c r="M786"/>
      <c r="N786"/>
      <c r="O786"/>
      <c r="P786"/>
      <c r="Q786"/>
      <c r="R786"/>
      <c r="S786"/>
      <c r="T786"/>
      <c r="U786"/>
      <c r="V786"/>
      <c r="W786"/>
      <c r="X786"/>
      <c r="Y786"/>
      <c r="Z786"/>
      <c r="AA786"/>
      <c r="AB786"/>
      <c r="AC786"/>
      <c r="AD786"/>
      <c r="AE786"/>
      <c r="AF786"/>
      <c r="AG786"/>
      <c r="AH786"/>
      <c r="AI786"/>
    </row>
    <row r="787" spans="1:35" s="33" customFormat="1" ht="15.75">
      <c r="A787" s="178"/>
      <c r="B787" s="166"/>
      <c r="C787" s="125"/>
      <c r="D787" s="125"/>
      <c r="E787" s="32"/>
      <c r="F787"/>
      <c r="G787"/>
      <c r="H787"/>
      <c r="I787"/>
      <c r="J787"/>
      <c r="K787"/>
      <c r="L787"/>
      <c r="M787"/>
      <c r="N787"/>
      <c r="O787"/>
      <c r="P787"/>
      <c r="Q787"/>
      <c r="R787"/>
      <c r="S787"/>
      <c r="T787"/>
      <c r="U787"/>
      <c r="V787"/>
      <c r="W787"/>
      <c r="X787"/>
      <c r="Y787"/>
      <c r="Z787"/>
      <c r="AA787"/>
      <c r="AB787"/>
      <c r="AC787"/>
      <c r="AD787"/>
      <c r="AE787"/>
      <c r="AF787"/>
      <c r="AG787"/>
      <c r="AH787"/>
      <c r="AI787"/>
    </row>
    <row r="788" spans="1:35" s="33" customFormat="1" ht="15.75">
      <c r="A788" s="178"/>
      <c r="B788" s="166"/>
      <c r="C788" s="125"/>
      <c r="D788" s="125"/>
      <c r="E788" s="32"/>
      <c r="F788"/>
      <c r="G788"/>
      <c r="H788"/>
      <c r="I788"/>
      <c r="J788"/>
      <c r="K788"/>
      <c r="L788"/>
      <c r="M788"/>
      <c r="N788"/>
      <c r="O788"/>
      <c r="P788"/>
      <c r="Q788"/>
      <c r="R788"/>
      <c r="S788"/>
      <c r="T788"/>
      <c r="U788"/>
      <c r="V788"/>
      <c r="W788"/>
      <c r="X788"/>
      <c r="Y788"/>
      <c r="Z788"/>
      <c r="AA788"/>
      <c r="AB788"/>
      <c r="AC788"/>
      <c r="AD788"/>
      <c r="AE788"/>
      <c r="AF788"/>
      <c r="AG788"/>
      <c r="AH788"/>
      <c r="AI788"/>
    </row>
    <row r="789" spans="1:35" s="33" customFormat="1" ht="15.75">
      <c r="A789" s="178"/>
      <c r="B789" s="166"/>
      <c r="C789" s="125"/>
      <c r="D789" s="125"/>
      <c r="E789" s="32"/>
      <c r="F789"/>
      <c r="G789"/>
      <c r="H789"/>
      <c r="I789"/>
      <c r="J789"/>
      <c r="K789"/>
      <c r="L789"/>
      <c r="M789"/>
      <c r="N789"/>
      <c r="O789"/>
      <c r="P789"/>
      <c r="Q789"/>
      <c r="R789"/>
      <c r="S789"/>
      <c r="T789"/>
      <c r="U789"/>
      <c r="V789"/>
      <c r="W789"/>
      <c r="X789"/>
      <c r="Y789"/>
      <c r="Z789"/>
      <c r="AA789"/>
      <c r="AB789"/>
      <c r="AC789"/>
      <c r="AD789"/>
      <c r="AE789"/>
      <c r="AF789"/>
      <c r="AG789"/>
      <c r="AH789"/>
      <c r="AI789"/>
    </row>
    <row r="790" spans="1:35" s="33" customFormat="1" ht="15.75">
      <c r="A790" s="178"/>
      <c r="B790" s="166"/>
      <c r="C790" s="125"/>
      <c r="D790" s="125"/>
      <c r="E790" s="32"/>
      <c r="F790"/>
      <c r="G790"/>
      <c r="H790"/>
      <c r="I790"/>
      <c r="J790"/>
      <c r="K790"/>
      <c r="L790"/>
      <c r="M790"/>
      <c r="N790"/>
      <c r="O790"/>
      <c r="P790"/>
      <c r="Q790"/>
      <c r="R790"/>
      <c r="S790"/>
      <c r="T790"/>
      <c r="U790"/>
      <c r="V790"/>
      <c r="W790"/>
      <c r="X790"/>
      <c r="Y790"/>
      <c r="Z790"/>
      <c r="AA790"/>
      <c r="AB790"/>
      <c r="AC790"/>
      <c r="AD790"/>
      <c r="AE790"/>
      <c r="AF790"/>
      <c r="AG790"/>
      <c r="AH790"/>
      <c r="AI790"/>
    </row>
    <row r="791" spans="1:35" s="33" customFormat="1" ht="15.75">
      <c r="A791" s="178"/>
      <c r="B791" s="166"/>
      <c r="C791" s="125"/>
      <c r="D791" s="125"/>
      <c r="E791" s="32"/>
      <c r="F791"/>
      <c r="G791"/>
      <c r="H791"/>
      <c r="I791"/>
      <c r="J791"/>
      <c r="K791"/>
      <c r="L791"/>
      <c r="M791"/>
      <c r="N791"/>
      <c r="O791"/>
      <c r="P791"/>
      <c r="Q791"/>
      <c r="R791"/>
      <c r="S791"/>
      <c r="T791"/>
      <c r="U791"/>
      <c r="V791"/>
      <c r="W791"/>
      <c r="X791"/>
      <c r="Y791"/>
      <c r="Z791"/>
      <c r="AA791"/>
      <c r="AB791"/>
      <c r="AC791"/>
      <c r="AD791"/>
      <c r="AE791"/>
      <c r="AF791"/>
      <c r="AG791"/>
      <c r="AH791"/>
      <c r="AI791"/>
    </row>
    <row r="792" spans="1:35" s="33" customFormat="1" ht="15.75">
      <c r="A792" s="178"/>
      <c r="B792" s="166"/>
      <c r="C792" s="125"/>
      <c r="D792" s="125"/>
      <c r="E792" s="32"/>
      <c r="F792"/>
      <c r="G792"/>
      <c r="H792"/>
      <c r="I792"/>
      <c r="J792"/>
      <c r="K792"/>
      <c r="L792"/>
      <c r="M792"/>
      <c r="N792"/>
      <c r="O792"/>
      <c r="P792"/>
      <c r="Q792"/>
      <c r="R792"/>
      <c r="S792"/>
      <c r="T792"/>
      <c r="U792"/>
      <c r="V792"/>
      <c r="W792"/>
      <c r="X792"/>
      <c r="Y792"/>
      <c r="Z792"/>
      <c r="AA792"/>
      <c r="AB792"/>
      <c r="AC792"/>
      <c r="AD792"/>
      <c r="AE792"/>
      <c r="AF792"/>
      <c r="AG792"/>
      <c r="AH792"/>
      <c r="AI792"/>
    </row>
    <row r="793" spans="1:35" s="33" customFormat="1" ht="15.75">
      <c r="A793" s="178"/>
      <c r="B793" s="166"/>
      <c r="C793" s="125"/>
      <c r="D793" s="125"/>
      <c r="E793" s="32"/>
      <c r="F793"/>
      <c r="G793"/>
      <c r="H793"/>
      <c r="I793"/>
      <c r="J793"/>
      <c r="K793"/>
      <c r="L793"/>
      <c r="M793"/>
      <c r="N793"/>
      <c r="O793"/>
      <c r="P793"/>
      <c r="Q793"/>
      <c r="R793"/>
      <c r="S793"/>
      <c r="T793"/>
      <c r="U793"/>
      <c r="V793"/>
      <c r="W793"/>
      <c r="X793"/>
      <c r="Y793"/>
      <c r="Z793"/>
      <c r="AA793"/>
      <c r="AB793"/>
      <c r="AC793"/>
      <c r="AD793"/>
      <c r="AE793"/>
      <c r="AF793"/>
      <c r="AG793"/>
      <c r="AH793"/>
      <c r="AI793"/>
    </row>
    <row r="794" spans="1:35" s="33" customFormat="1" ht="15.75">
      <c r="A794" s="178"/>
      <c r="B794" s="166"/>
      <c r="C794" s="125"/>
      <c r="D794" s="125"/>
      <c r="E794" s="32"/>
      <c r="F794"/>
      <c r="G794"/>
      <c r="H794"/>
      <c r="I794"/>
      <c r="J794"/>
      <c r="K794"/>
      <c r="L794"/>
      <c r="M794"/>
      <c r="N794"/>
      <c r="O794"/>
      <c r="P794"/>
      <c r="Q794"/>
      <c r="R794"/>
      <c r="S794"/>
      <c r="T794"/>
      <c r="U794"/>
      <c r="V794"/>
      <c r="W794"/>
      <c r="X794"/>
      <c r="Y794"/>
      <c r="Z794"/>
      <c r="AA794"/>
      <c r="AB794"/>
      <c r="AC794"/>
      <c r="AD794"/>
      <c r="AE794"/>
      <c r="AF794"/>
      <c r="AG794"/>
      <c r="AH794"/>
      <c r="AI794"/>
    </row>
    <row r="795" spans="1:35" s="33" customFormat="1" ht="15.75">
      <c r="A795" s="178"/>
      <c r="B795" s="166"/>
      <c r="C795" s="125"/>
      <c r="D795" s="125"/>
      <c r="E795" s="32"/>
      <c r="F795"/>
      <c r="G795"/>
      <c r="H795"/>
      <c r="I795"/>
      <c r="J795"/>
      <c r="K795"/>
      <c r="L795"/>
      <c r="M795"/>
      <c r="N795"/>
      <c r="O795"/>
      <c r="P795"/>
      <c r="Q795"/>
      <c r="R795"/>
      <c r="S795"/>
      <c r="T795"/>
      <c r="U795"/>
      <c r="V795"/>
      <c r="W795"/>
      <c r="X795"/>
      <c r="Y795"/>
      <c r="Z795"/>
      <c r="AA795"/>
      <c r="AB795"/>
      <c r="AC795"/>
      <c r="AD795"/>
      <c r="AE795"/>
      <c r="AF795"/>
      <c r="AG795"/>
      <c r="AH795"/>
      <c r="AI795"/>
    </row>
    <row r="796" spans="1:35" s="33" customFormat="1" ht="15.75">
      <c r="A796" s="178"/>
      <c r="B796" s="166"/>
      <c r="C796" s="125"/>
      <c r="D796" s="125"/>
      <c r="E796" s="32"/>
      <c r="F796"/>
      <c r="G796"/>
      <c r="H796"/>
      <c r="I796"/>
      <c r="J796"/>
      <c r="K796"/>
      <c r="L796"/>
      <c r="M796"/>
      <c r="N796"/>
      <c r="O796"/>
      <c r="P796"/>
      <c r="Q796"/>
      <c r="R796"/>
      <c r="S796"/>
      <c r="T796"/>
      <c r="U796"/>
      <c r="V796"/>
      <c r="W796"/>
      <c r="X796"/>
      <c r="Y796"/>
      <c r="Z796"/>
      <c r="AA796"/>
      <c r="AB796"/>
      <c r="AC796"/>
      <c r="AD796"/>
      <c r="AE796"/>
      <c r="AF796"/>
      <c r="AG796"/>
      <c r="AH796"/>
      <c r="AI796"/>
    </row>
    <row r="797" spans="1:35" s="33" customFormat="1" ht="15.75">
      <c r="A797" s="178"/>
      <c r="B797" s="166"/>
      <c r="C797" s="125"/>
      <c r="D797" s="125"/>
      <c r="E797" s="32"/>
      <c r="F797"/>
      <c r="G797"/>
      <c r="H797"/>
      <c r="I797"/>
      <c r="J797"/>
      <c r="K797"/>
      <c r="L797"/>
      <c r="M797"/>
      <c r="N797"/>
      <c r="O797"/>
      <c r="P797"/>
      <c r="Q797"/>
      <c r="R797"/>
      <c r="S797"/>
      <c r="T797"/>
      <c r="U797"/>
      <c r="V797"/>
      <c r="W797"/>
      <c r="X797"/>
      <c r="Y797"/>
      <c r="Z797"/>
      <c r="AA797"/>
      <c r="AB797"/>
      <c r="AC797"/>
      <c r="AD797"/>
      <c r="AE797"/>
      <c r="AF797"/>
      <c r="AG797"/>
      <c r="AH797"/>
      <c r="AI797"/>
    </row>
    <row r="798" spans="1:35" s="33" customFormat="1" ht="15.75">
      <c r="A798" s="178"/>
      <c r="B798" s="166"/>
      <c r="C798" s="125"/>
      <c r="D798" s="125"/>
      <c r="E798" s="32"/>
      <c r="F798"/>
      <c r="G798"/>
      <c r="H798"/>
      <c r="I798"/>
      <c r="J798"/>
      <c r="K798"/>
      <c r="L798"/>
      <c r="M798"/>
      <c r="N798"/>
      <c r="O798"/>
      <c r="P798"/>
      <c r="Q798"/>
      <c r="R798"/>
      <c r="S798"/>
      <c r="T798"/>
      <c r="U798"/>
      <c r="V798"/>
      <c r="W798"/>
      <c r="X798"/>
      <c r="Y798"/>
      <c r="Z798"/>
      <c r="AA798"/>
      <c r="AB798"/>
      <c r="AC798"/>
      <c r="AD798"/>
      <c r="AE798"/>
      <c r="AF798"/>
      <c r="AG798"/>
      <c r="AH798"/>
      <c r="AI798"/>
    </row>
    <row r="799" spans="1:35" s="33" customFormat="1" ht="15.75">
      <c r="A799" s="178"/>
      <c r="B799" s="166"/>
      <c r="C799" s="125"/>
      <c r="D799" s="125"/>
      <c r="E799" s="32"/>
      <c r="F799"/>
      <c r="G799"/>
      <c r="H799"/>
      <c r="I799"/>
      <c r="J799"/>
      <c r="K799"/>
      <c r="L799"/>
      <c r="M799"/>
      <c r="N799"/>
      <c r="O799"/>
      <c r="P799"/>
      <c r="Q799"/>
      <c r="R799"/>
      <c r="S799"/>
      <c r="T799"/>
      <c r="U799"/>
      <c r="V799"/>
      <c r="W799"/>
      <c r="X799"/>
      <c r="Y799"/>
      <c r="Z799"/>
      <c r="AA799"/>
      <c r="AB799"/>
      <c r="AC799"/>
      <c r="AD799"/>
      <c r="AE799"/>
      <c r="AF799"/>
      <c r="AG799"/>
      <c r="AH799"/>
      <c r="AI799"/>
    </row>
    <row r="800" spans="1:35" s="33" customFormat="1" ht="15.75">
      <c r="A800" s="178"/>
      <c r="B800" s="166"/>
      <c r="C800" s="125"/>
      <c r="D800" s="125"/>
      <c r="E800" s="32"/>
      <c r="F800"/>
      <c r="G800"/>
      <c r="H800"/>
      <c r="I800"/>
      <c r="J800"/>
      <c r="K800"/>
      <c r="L800"/>
      <c r="M800"/>
      <c r="N800"/>
      <c r="O800"/>
      <c r="P800"/>
      <c r="Q800"/>
      <c r="R800"/>
      <c r="S800"/>
      <c r="T800"/>
      <c r="U800"/>
      <c r="V800"/>
      <c r="W800"/>
      <c r="X800"/>
      <c r="Y800"/>
      <c r="Z800"/>
      <c r="AA800"/>
      <c r="AB800"/>
      <c r="AC800"/>
      <c r="AD800"/>
      <c r="AE800"/>
      <c r="AF800"/>
      <c r="AG800"/>
      <c r="AH800"/>
      <c r="AI800"/>
    </row>
    <row r="801" spans="1:35" s="33" customFormat="1" ht="15.75">
      <c r="A801" s="178"/>
      <c r="B801" s="166"/>
      <c r="C801" s="125"/>
      <c r="D801" s="125"/>
      <c r="E801" s="32"/>
      <c r="F801"/>
      <c r="G801"/>
      <c r="H801"/>
      <c r="I801"/>
      <c r="J801"/>
      <c r="K801"/>
      <c r="L801"/>
      <c r="M801"/>
      <c r="N801"/>
      <c r="O801"/>
      <c r="P801"/>
      <c r="Q801"/>
      <c r="R801"/>
      <c r="S801"/>
      <c r="T801"/>
      <c r="U801"/>
      <c r="V801"/>
      <c r="W801"/>
      <c r="X801"/>
      <c r="Y801"/>
      <c r="Z801"/>
      <c r="AA801"/>
      <c r="AB801"/>
      <c r="AC801"/>
      <c r="AD801"/>
      <c r="AE801"/>
      <c r="AF801"/>
      <c r="AG801"/>
      <c r="AH801"/>
      <c r="AI801"/>
    </row>
    <row r="802" spans="1:35" s="33" customFormat="1" ht="15.75">
      <c r="A802" s="178"/>
      <c r="B802" s="166"/>
      <c r="C802" s="125"/>
      <c r="D802" s="125"/>
      <c r="E802" s="32"/>
      <c r="F802"/>
      <c r="G802"/>
      <c r="H802"/>
      <c r="I802"/>
      <c r="J802"/>
      <c r="K802"/>
      <c r="L802"/>
      <c r="M802"/>
      <c r="N802"/>
      <c r="O802"/>
      <c r="P802"/>
      <c r="Q802"/>
      <c r="R802"/>
      <c r="S802"/>
      <c r="T802"/>
      <c r="U802"/>
      <c r="V802"/>
      <c r="W802"/>
      <c r="X802"/>
      <c r="Y802"/>
      <c r="Z802"/>
      <c r="AA802"/>
      <c r="AB802"/>
      <c r="AC802"/>
      <c r="AD802"/>
      <c r="AE802"/>
      <c r="AF802"/>
      <c r="AG802"/>
      <c r="AH802"/>
      <c r="AI802"/>
    </row>
    <row r="803" spans="1:35" s="33" customFormat="1" ht="15.75">
      <c r="A803" s="178"/>
      <c r="B803" s="166"/>
      <c r="C803" s="125"/>
      <c r="D803" s="125"/>
      <c r="E803" s="32"/>
      <c r="F803"/>
      <c r="G803"/>
      <c r="H803"/>
      <c r="I803"/>
      <c r="J803"/>
      <c r="K803"/>
      <c r="L803"/>
      <c r="M803"/>
      <c r="N803"/>
      <c r="O803"/>
      <c r="P803"/>
      <c r="Q803"/>
      <c r="R803"/>
      <c r="S803"/>
      <c r="T803"/>
      <c r="U803"/>
      <c r="V803"/>
      <c r="W803"/>
      <c r="X803"/>
      <c r="Y803"/>
      <c r="Z803"/>
      <c r="AA803"/>
      <c r="AB803"/>
      <c r="AC803"/>
      <c r="AD803"/>
      <c r="AE803"/>
      <c r="AF803"/>
      <c r="AG803"/>
      <c r="AH803"/>
      <c r="AI803"/>
    </row>
    <row r="804" spans="1:35" s="33" customFormat="1" ht="15.75">
      <c r="A804" s="178"/>
      <c r="B804" s="166"/>
      <c r="C804" s="125"/>
      <c r="D804" s="125"/>
      <c r="E804" s="32"/>
      <c r="F804"/>
      <c r="G804"/>
      <c r="H804"/>
      <c r="I804"/>
      <c r="J804"/>
      <c r="K804"/>
      <c r="L804"/>
      <c r="M804"/>
      <c r="N804"/>
      <c r="O804"/>
      <c r="P804"/>
      <c r="Q804"/>
      <c r="R804"/>
      <c r="S804"/>
      <c r="T804"/>
      <c r="U804"/>
      <c r="V804"/>
      <c r="W804"/>
      <c r="X804"/>
      <c r="Y804"/>
      <c r="Z804"/>
      <c r="AA804"/>
      <c r="AB804"/>
      <c r="AC804"/>
      <c r="AD804"/>
      <c r="AE804"/>
      <c r="AF804"/>
      <c r="AG804"/>
      <c r="AH804"/>
      <c r="AI804"/>
    </row>
    <row r="805" spans="1:35" s="33" customFormat="1" ht="15.75">
      <c r="A805" s="178"/>
      <c r="B805" s="166"/>
      <c r="C805" s="125"/>
      <c r="D805" s="125"/>
      <c r="E805" s="32"/>
      <c r="F805"/>
      <c r="G805"/>
      <c r="H805"/>
      <c r="I805"/>
      <c r="J805"/>
      <c r="K805"/>
      <c r="L805"/>
      <c r="M805"/>
      <c r="N805"/>
      <c r="O805"/>
      <c r="P805"/>
      <c r="Q805"/>
      <c r="R805"/>
      <c r="S805"/>
      <c r="T805"/>
      <c r="U805"/>
      <c r="V805"/>
      <c r="W805"/>
      <c r="X805"/>
      <c r="Y805"/>
      <c r="Z805"/>
      <c r="AA805"/>
      <c r="AB805"/>
      <c r="AC805"/>
      <c r="AD805"/>
      <c r="AE805"/>
      <c r="AF805"/>
      <c r="AG805"/>
      <c r="AH805"/>
      <c r="AI805"/>
    </row>
    <row r="806" spans="1:35" s="33" customFormat="1" ht="15.75">
      <c r="A806" s="178"/>
      <c r="B806" s="166"/>
      <c r="C806" s="125"/>
      <c r="D806" s="125"/>
      <c r="E806" s="32"/>
      <c r="F806"/>
      <c r="G806"/>
      <c r="H806"/>
      <c r="I806"/>
      <c r="J806"/>
      <c r="K806"/>
      <c r="L806"/>
      <c r="M806"/>
      <c r="N806"/>
      <c r="O806"/>
      <c r="P806"/>
      <c r="Q806"/>
      <c r="R806"/>
      <c r="S806"/>
      <c r="T806"/>
      <c r="U806"/>
      <c r="V806"/>
      <c r="W806"/>
      <c r="X806"/>
      <c r="Y806"/>
      <c r="Z806"/>
      <c r="AA806"/>
      <c r="AB806"/>
      <c r="AC806"/>
      <c r="AD806"/>
      <c r="AE806"/>
      <c r="AF806"/>
      <c r="AG806"/>
      <c r="AH806"/>
      <c r="AI806"/>
    </row>
    <row r="807" spans="1:35" s="33" customFormat="1" ht="15.75">
      <c r="A807" s="178"/>
      <c r="B807" s="166"/>
      <c r="C807" s="125"/>
      <c r="D807" s="125"/>
      <c r="E807" s="32"/>
      <c r="F807"/>
      <c r="G807"/>
      <c r="H807"/>
      <c r="I807"/>
      <c r="J807"/>
      <c r="K807"/>
      <c r="L807"/>
      <c r="M807"/>
      <c r="N807"/>
      <c r="O807"/>
      <c r="P807"/>
      <c r="Q807"/>
      <c r="R807"/>
      <c r="S807"/>
      <c r="T807"/>
      <c r="U807"/>
      <c r="V807"/>
      <c r="W807"/>
      <c r="X807"/>
      <c r="Y807"/>
      <c r="Z807"/>
      <c r="AA807"/>
      <c r="AB807"/>
      <c r="AC807"/>
      <c r="AD807"/>
      <c r="AE807"/>
      <c r="AF807"/>
      <c r="AG807"/>
      <c r="AH807"/>
      <c r="AI807"/>
    </row>
    <row r="808" spans="1:35" s="33" customFormat="1" ht="15.75">
      <c r="A808" s="178"/>
      <c r="B808" s="166"/>
      <c r="C808" s="125"/>
      <c r="D808" s="125"/>
      <c r="E808" s="32"/>
      <c r="F808"/>
      <c r="G808"/>
      <c r="H808"/>
      <c r="I808"/>
      <c r="J808"/>
      <c r="K808"/>
      <c r="L808"/>
      <c r="M808"/>
      <c r="N808"/>
      <c r="O808"/>
      <c r="P808"/>
      <c r="Q808"/>
      <c r="R808"/>
      <c r="S808"/>
      <c r="T808"/>
      <c r="U808"/>
      <c r="V808"/>
      <c r="W808"/>
      <c r="X808"/>
      <c r="Y808"/>
      <c r="Z808"/>
      <c r="AA808"/>
      <c r="AB808"/>
      <c r="AC808"/>
      <c r="AD808"/>
      <c r="AE808"/>
      <c r="AF808"/>
      <c r="AG808"/>
      <c r="AH808"/>
      <c r="AI808"/>
    </row>
    <row r="809" spans="1:35" s="33" customFormat="1" ht="15.75">
      <c r="A809" s="178"/>
      <c r="B809" s="166"/>
      <c r="C809" s="125"/>
      <c r="D809" s="125"/>
      <c r="E809" s="32"/>
      <c r="F809"/>
      <c r="G809"/>
      <c r="H809"/>
      <c r="I809"/>
      <c r="J809"/>
      <c r="K809"/>
      <c r="L809"/>
      <c r="M809"/>
      <c r="N809"/>
      <c r="O809"/>
      <c r="P809"/>
      <c r="Q809"/>
      <c r="R809"/>
      <c r="S809"/>
      <c r="T809"/>
      <c r="U809"/>
      <c r="V809"/>
      <c r="W809"/>
      <c r="X809"/>
      <c r="Y809"/>
      <c r="Z809"/>
      <c r="AA809"/>
      <c r="AB809"/>
      <c r="AC809"/>
      <c r="AD809"/>
      <c r="AE809"/>
      <c r="AF809"/>
      <c r="AG809"/>
      <c r="AH809"/>
      <c r="AI809"/>
    </row>
    <row r="810" spans="1:35" s="33" customFormat="1" ht="15.75">
      <c r="A810" s="178"/>
      <c r="B810" s="166"/>
      <c r="C810" s="125"/>
      <c r="D810" s="125"/>
      <c r="E810" s="32"/>
      <c r="F810"/>
      <c r="G810"/>
      <c r="H810"/>
      <c r="I810"/>
      <c r="J810"/>
      <c r="K810"/>
      <c r="L810"/>
      <c r="M810"/>
      <c r="N810"/>
      <c r="O810"/>
      <c r="P810"/>
      <c r="Q810"/>
      <c r="R810"/>
      <c r="S810"/>
      <c r="T810"/>
      <c r="U810"/>
      <c r="V810"/>
      <c r="W810"/>
      <c r="X810"/>
      <c r="Y810"/>
      <c r="Z810"/>
      <c r="AA810"/>
      <c r="AB810"/>
      <c r="AC810"/>
      <c r="AD810"/>
      <c r="AE810"/>
      <c r="AF810"/>
      <c r="AG810"/>
      <c r="AH810"/>
      <c r="AI810"/>
    </row>
    <row r="811" spans="1:35" s="33" customFormat="1" ht="15.75">
      <c r="A811" s="178"/>
      <c r="B811" s="166"/>
      <c r="C811" s="125"/>
      <c r="D811" s="125"/>
      <c r="E811" s="32"/>
      <c r="F811"/>
      <c r="G811"/>
      <c r="H811"/>
      <c r="I811"/>
      <c r="J811"/>
      <c r="K811"/>
      <c r="L811"/>
      <c r="M811"/>
      <c r="N811"/>
      <c r="O811"/>
      <c r="P811"/>
      <c r="Q811"/>
      <c r="R811"/>
      <c r="S811"/>
      <c r="T811"/>
      <c r="U811"/>
      <c r="V811"/>
      <c r="W811"/>
      <c r="X811"/>
      <c r="Y811"/>
      <c r="Z811"/>
      <c r="AA811"/>
      <c r="AB811"/>
      <c r="AC811"/>
      <c r="AD811"/>
      <c r="AE811"/>
      <c r="AF811"/>
      <c r="AG811"/>
      <c r="AH811"/>
      <c r="AI811"/>
    </row>
    <row r="812" spans="1:35" s="33" customFormat="1" ht="15.75">
      <c r="A812" s="178"/>
      <c r="B812" s="166"/>
      <c r="C812" s="125"/>
      <c r="D812" s="125"/>
      <c r="E812" s="32"/>
      <c r="F812"/>
      <c r="G812"/>
      <c r="H812"/>
      <c r="I812"/>
      <c r="J812"/>
      <c r="K812"/>
      <c r="L812"/>
      <c r="M812"/>
      <c r="N812"/>
      <c r="O812"/>
      <c r="P812"/>
      <c r="Q812"/>
      <c r="R812"/>
      <c r="S812"/>
      <c r="T812"/>
      <c r="U812"/>
      <c r="V812"/>
      <c r="W812"/>
      <c r="X812"/>
      <c r="Y812"/>
      <c r="Z812"/>
      <c r="AA812"/>
      <c r="AB812"/>
      <c r="AC812"/>
      <c r="AD812"/>
      <c r="AE812"/>
      <c r="AF812"/>
      <c r="AG812"/>
      <c r="AH812"/>
      <c r="AI812"/>
    </row>
    <row r="813" spans="1:35" s="33" customFormat="1" ht="15.75">
      <c r="A813" s="178"/>
      <c r="B813" s="166"/>
      <c r="C813" s="125"/>
      <c r="D813" s="125"/>
      <c r="E813" s="32"/>
      <c r="F813"/>
      <c r="G813"/>
      <c r="H813"/>
      <c r="I813"/>
      <c r="J813"/>
      <c r="K813"/>
      <c r="L813"/>
      <c r="M813"/>
      <c r="N813"/>
      <c r="O813"/>
      <c r="P813"/>
      <c r="Q813"/>
      <c r="R813"/>
      <c r="S813"/>
      <c r="T813"/>
      <c r="U813"/>
      <c r="V813"/>
      <c r="W813"/>
      <c r="X813"/>
      <c r="Y813"/>
      <c r="Z813"/>
      <c r="AA813"/>
      <c r="AB813"/>
      <c r="AC813"/>
      <c r="AD813"/>
      <c r="AE813"/>
      <c r="AF813"/>
      <c r="AG813"/>
      <c r="AH813"/>
      <c r="AI813"/>
    </row>
    <row r="814" spans="1:35" s="33" customFormat="1" ht="15.75">
      <c r="A814" s="178"/>
      <c r="B814" s="166"/>
      <c r="C814" s="125"/>
      <c r="D814" s="125"/>
      <c r="E814" s="32"/>
      <c r="F814"/>
      <c r="G814"/>
      <c r="H814"/>
      <c r="I814"/>
      <c r="J814"/>
      <c r="K814"/>
      <c r="L814"/>
      <c r="M814"/>
      <c r="N814"/>
      <c r="O814"/>
      <c r="P814"/>
      <c r="Q814"/>
      <c r="R814"/>
      <c r="S814"/>
      <c r="T814"/>
      <c r="U814"/>
      <c r="V814"/>
      <c r="W814"/>
      <c r="X814"/>
      <c r="Y814"/>
      <c r="Z814"/>
      <c r="AA814"/>
      <c r="AB814"/>
      <c r="AC814"/>
      <c r="AD814"/>
      <c r="AE814"/>
      <c r="AF814"/>
      <c r="AG814"/>
      <c r="AH814"/>
      <c r="AI814"/>
    </row>
    <row r="815" spans="1:35" s="33" customFormat="1" ht="15.75">
      <c r="A815" s="178"/>
      <c r="B815" s="166"/>
      <c r="C815" s="125"/>
      <c r="D815" s="125"/>
      <c r="E815" s="32"/>
      <c r="F815"/>
      <c r="G815"/>
      <c r="H815"/>
      <c r="I815"/>
      <c r="J815"/>
      <c r="K815"/>
      <c r="L815"/>
      <c r="M815"/>
      <c r="N815"/>
      <c r="O815"/>
      <c r="P815"/>
      <c r="Q815"/>
      <c r="R815"/>
      <c r="S815"/>
      <c r="T815"/>
      <c r="U815"/>
      <c r="V815"/>
      <c r="W815"/>
      <c r="X815"/>
      <c r="Y815"/>
      <c r="Z815"/>
      <c r="AA815"/>
      <c r="AB815"/>
      <c r="AC815"/>
      <c r="AD815"/>
      <c r="AE815"/>
      <c r="AF815"/>
      <c r="AG815"/>
      <c r="AH815"/>
      <c r="AI815"/>
    </row>
    <row r="816" spans="1:35" s="33" customFormat="1" ht="15.75">
      <c r="A816" s="178"/>
      <c r="B816" s="166"/>
      <c r="C816" s="125"/>
      <c r="D816" s="125"/>
      <c r="E816" s="32"/>
      <c r="F816"/>
      <c r="G816"/>
      <c r="H816"/>
      <c r="I816"/>
      <c r="J816"/>
      <c r="K816"/>
      <c r="L816"/>
      <c r="M816"/>
      <c r="N816"/>
      <c r="O816"/>
      <c r="P816"/>
      <c r="Q816"/>
      <c r="R816"/>
      <c r="S816"/>
      <c r="T816"/>
      <c r="U816"/>
      <c r="V816"/>
      <c r="W816"/>
      <c r="X816"/>
      <c r="Y816"/>
      <c r="Z816"/>
      <c r="AA816"/>
      <c r="AB816"/>
      <c r="AC816"/>
      <c r="AD816"/>
      <c r="AE816"/>
      <c r="AF816"/>
      <c r="AG816"/>
      <c r="AH816"/>
      <c r="AI816"/>
    </row>
    <row r="817" spans="1:35" s="33" customFormat="1" ht="15.75">
      <c r="A817" s="178"/>
      <c r="B817" s="166"/>
      <c r="C817" s="125"/>
      <c r="D817" s="125"/>
      <c r="E817" s="32"/>
      <c r="F817"/>
      <c r="G817"/>
      <c r="H817"/>
      <c r="I817"/>
      <c r="J817"/>
      <c r="K817"/>
      <c r="L817"/>
      <c r="M817"/>
      <c r="N817"/>
      <c r="O817"/>
      <c r="P817"/>
      <c r="Q817"/>
      <c r="R817"/>
      <c r="S817"/>
      <c r="T817"/>
      <c r="U817"/>
      <c r="V817"/>
      <c r="W817"/>
      <c r="X817"/>
      <c r="Y817"/>
      <c r="Z817"/>
      <c r="AA817"/>
      <c r="AB817"/>
      <c r="AC817"/>
      <c r="AD817"/>
      <c r="AE817"/>
      <c r="AF817"/>
      <c r="AG817"/>
      <c r="AH817"/>
      <c r="AI817"/>
    </row>
    <row r="818" spans="1:35" s="33" customFormat="1" ht="15.75">
      <c r="A818" s="178"/>
      <c r="B818" s="166"/>
      <c r="C818" s="125"/>
      <c r="D818" s="125"/>
      <c r="E818" s="32"/>
      <c r="F818"/>
      <c r="G818"/>
      <c r="H818"/>
      <c r="I818"/>
      <c r="J818"/>
      <c r="K818"/>
      <c r="L818"/>
      <c r="M818"/>
      <c r="N818"/>
      <c r="O818"/>
      <c r="P818"/>
      <c r="Q818"/>
      <c r="R818"/>
      <c r="S818"/>
      <c r="T818"/>
      <c r="U818"/>
      <c r="V818"/>
      <c r="W818"/>
      <c r="X818"/>
      <c r="Y818"/>
      <c r="Z818"/>
      <c r="AA818"/>
      <c r="AB818"/>
      <c r="AC818"/>
      <c r="AD818"/>
      <c r="AE818"/>
      <c r="AF818"/>
      <c r="AG818"/>
      <c r="AH818"/>
      <c r="AI818"/>
    </row>
    <row r="819" spans="1:35" s="33" customFormat="1" ht="15.75">
      <c r="A819" s="178"/>
      <c r="B819" s="166"/>
      <c r="C819" s="125"/>
      <c r="D819" s="125"/>
      <c r="E819" s="32"/>
      <c r="F819"/>
      <c r="G819"/>
      <c r="H819"/>
      <c r="I819"/>
      <c r="J819"/>
      <c r="K819"/>
      <c r="L819"/>
      <c r="M819"/>
      <c r="N819"/>
      <c r="O819"/>
      <c r="P819"/>
      <c r="Q819"/>
      <c r="R819"/>
      <c r="S819"/>
      <c r="T819"/>
      <c r="U819"/>
      <c r="V819"/>
      <c r="W819"/>
      <c r="X819"/>
      <c r="Y819"/>
      <c r="Z819"/>
      <c r="AA819"/>
      <c r="AB819"/>
      <c r="AC819"/>
      <c r="AD819"/>
      <c r="AE819"/>
      <c r="AF819"/>
      <c r="AG819"/>
      <c r="AH819"/>
      <c r="AI819"/>
    </row>
    <row r="820" spans="1:35" s="33" customFormat="1" ht="15.75">
      <c r="A820" s="178"/>
      <c r="B820" s="166"/>
      <c r="C820" s="125"/>
      <c r="D820" s="125"/>
      <c r="E820" s="32"/>
      <c r="F820"/>
      <c r="G820"/>
      <c r="H820"/>
      <c r="I820"/>
      <c r="J820"/>
      <c r="K820"/>
      <c r="L820"/>
      <c r="M820"/>
      <c r="N820"/>
      <c r="O820"/>
      <c r="P820"/>
      <c r="Q820"/>
      <c r="R820"/>
      <c r="S820"/>
      <c r="T820"/>
      <c r="U820"/>
      <c r="V820"/>
      <c r="W820"/>
      <c r="X820"/>
      <c r="Y820"/>
      <c r="Z820"/>
      <c r="AA820"/>
      <c r="AB820"/>
      <c r="AC820"/>
      <c r="AD820"/>
      <c r="AE820"/>
      <c r="AF820"/>
      <c r="AG820"/>
      <c r="AH820"/>
      <c r="AI820"/>
    </row>
    <row r="821" spans="1:35" s="33" customFormat="1" ht="15.75">
      <c r="A821" s="178"/>
      <c r="B821" s="166"/>
      <c r="C821" s="125"/>
      <c r="D821" s="125"/>
      <c r="E821" s="32"/>
      <c r="F821"/>
      <c r="G821"/>
      <c r="H821"/>
      <c r="I821"/>
      <c r="J821"/>
      <c r="K821"/>
      <c r="L821"/>
      <c r="M821"/>
      <c r="N821"/>
      <c r="O821"/>
      <c r="P821"/>
      <c r="Q821"/>
      <c r="R821"/>
      <c r="S821"/>
      <c r="T821"/>
      <c r="U821"/>
      <c r="V821"/>
      <c r="W821"/>
      <c r="X821"/>
      <c r="Y821"/>
      <c r="Z821"/>
      <c r="AA821"/>
      <c r="AB821"/>
      <c r="AC821"/>
      <c r="AD821"/>
      <c r="AE821"/>
      <c r="AF821"/>
      <c r="AG821"/>
      <c r="AH821"/>
      <c r="AI821"/>
    </row>
    <row r="822" spans="1:35" s="33" customFormat="1" ht="15.75">
      <c r="A822" s="178"/>
      <c r="B822" s="166"/>
      <c r="C822" s="125"/>
      <c r="D822" s="125"/>
      <c r="E822" s="32"/>
      <c r="F822"/>
      <c r="G822"/>
      <c r="H822"/>
      <c r="I822"/>
      <c r="J822"/>
      <c r="K822"/>
      <c r="L822"/>
      <c r="M822"/>
      <c r="N822"/>
      <c r="O822"/>
      <c r="P822"/>
      <c r="Q822"/>
      <c r="R822"/>
      <c r="S822"/>
      <c r="T822"/>
      <c r="U822"/>
      <c r="V822"/>
      <c r="W822"/>
      <c r="X822"/>
      <c r="Y822"/>
      <c r="Z822"/>
      <c r="AA822"/>
      <c r="AB822"/>
      <c r="AC822"/>
      <c r="AD822"/>
      <c r="AE822"/>
      <c r="AF822"/>
      <c r="AG822"/>
      <c r="AH822"/>
      <c r="AI822"/>
    </row>
    <row r="823" spans="1:35" s="33" customFormat="1" ht="15.75">
      <c r="A823" s="178"/>
      <c r="B823" s="166"/>
      <c r="C823" s="125"/>
      <c r="D823" s="125"/>
      <c r="E823" s="32"/>
      <c r="F823"/>
      <c r="G823"/>
      <c r="H823"/>
      <c r="I823"/>
      <c r="J823"/>
      <c r="K823"/>
      <c r="L823"/>
      <c r="M823"/>
      <c r="N823"/>
      <c r="O823"/>
      <c r="P823"/>
      <c r="Q823"/>
      <c r="R823"/>
      <c r="S823"/>
      <c r="T823"/>
      <c r="U823"/>
      <c r="V823"/>
      <c r="W823"/>
      <c r="X823"/>
      <c r="Y823"/>
      <c r="Z823"/>
      <c r="AA823"/>
      <c r="AB823"/>
      <c r="AC823"/>
      <c r="AD823"/>
      <c r="AE823"/>
      <c r="AF823"/>
      <c r="AG823"/>
      <c r="AH823"/>
      <c r="AI823"/>
    </row>
    <row r="824" spans="1:35" s="33" customFormat="1" ht="15.75">
      <c r="A824" s="178"/>
      <c r="B824" s="166"/>
      <c r="C824" s="125"/>
      <c r="D824" s="125"/>
      <c r="E824" s="32"/>
      <c r="F824"/>
      <c r="G824"/>
      <c r="H824"/>
      <c r="I824"/>
      <c r="J824"/>
      <c r="K824"/>
      <c r="L824"/>
      <c r="M824"/>
      <c r="N824"/>
      <c r="O824"/>
      <c r="P824"/>
      <c r="Q824"/>
      <c r="R824"/>
      <c r="S824"/>
      <c r="T824"/>
      <c r="U824"/>
      <c r="V824"/>
      <c r="W824"/>
      <c r="X824"/>
      <c r="Y824"/>
      <c r="Z824"/>
      <c r="AA824"/>
      <c r="AB824"/>
      <c r="AC824"/>
      <c r="AD824"/>
      <c r="AE824"/>
      <c r="AF824"/>
      <c r="AG824"/>
      <c r="AH824"/>
      <c r="AI824"/>
    </row>
    <row r="825" spans="1:35" s="33" customFormat="1" ht="15.75">
      <c r="A825" s="178"/>
      <c r="B825" s="166"/>
      <c r="C825" s="125"/>
      <c r="D825" s="125"/>
      <c r="E825" s="32"/>
      <c r="F825"/>
      <c r="G825"/>
      <c r="H825"/>
      <c r="I825"/>
      <c r="J825"/>
      <c r="K825"/>
      <c r="L825"/>
      <c r="M825"/>
      <c r="N825"/>
      <c r="O825"/>
      <c r="P825"/>
      <c r="Q825"/>
      <c r="R825"/>
      <c r="S825"/>
      <c r="T825"/>
      <c r="U825"/>
      <c r="V825"/>
      <c r="W825"/>
      <c r="X825"/>
      <c r="Y825"/>
      <c r="Z825"/>
      <c r="AA825"/>
      <c r="AB825"/>
      <c r="AC825"/>
      <c r="AD825"/>
      <c r="AE825"/>
      <c r="AF825"/>
      <c r="AG825"/>
      <c r="AH825"/>
      <c r="AI825"/>
    </row>
    <row r="826" spans="1:35" s="33" customFormat="1" ht="15.75">
      <c r="A826" s="178"/>
      <c r="B826" s="166"/>
      <c r="C826" s="125"/>
      <c r="D826" s="125"/>
      <c r="E826" s="32"/>
      <c r="F826"/>
      <c r="G826"/>
      <c r="H826"/>
      <c r="I826"/>
      <c r="J826"/>
      <c r="K826"/>
      <c r="L826"/>
      <c r="M826"/>
      <c r="N826"/>
      <c r="O826"/>
      <c r="P826"/>
      <c r="Q826"/>
      <c r="R826"/>
      <c r="S826"/>
      <c r="T826"/>
      <c r="U826"/>
      <c r="V826"/>
      <c r="W826"/>
      <c r="X826"/>
      <c r="Y826"/>
      <c r="Z826"/>
      <c r="AA826"/>
      <c r="AB826"/>
      <c r="AC826"/>
      <c r="AD826"/>
      <c r="AE826"/>
      <c r="AF826"/>
      <c r="AG826"/>
      <c r="AH826"/>
      <c r="AI826"/>
    </row>
    <row r="827" spans="1:35" s="33" customFormat="1" ht="15.75">
      <c r="A827" s="178"/>
      <c r="B827" s="166"/>
      <c r="C827" s="125"/>
      <c r="D827" s="125"/>
      <c r="E827" s="32"/>
      <c r="F827"/>
      <c r="G827"/>
      <c r="H827"/>
      <c r="I827"/>
      <c r="J827"/>
      <c r="K827"/>
      <c r="L827"/>
      <c r="M827"/>
      <c r="N827"/>
      <c r="O827"/>
      <c r="P827"/>
      <c r="Q827"/>
      <c r="R827"/>
      <c r="S827"/>
      <c r="T827"/>
      <c r="U827"/>
      <c r="V827"/>
      <c r="W827"/>
      <c r="X827"/>
      <c r="Y827"/>
      <c r="Z827"/>
      <c r="AA827"/>
      <c r="AB827"/>
      <c r="AC827"/>
      <c r="AD827"/>
      <c r="AE827"/>
      <c r="AF827"/>
      <c r="AG827"/>
      <c r="AH827"/>
      <c r="AI827"/>
    </row>
    <row r="828" spans="1:35" s="33" customFormat="1" ht="15.75">
      <c r="A828" s="178"/>
      <c r="B828" s="166"/>
      <c r="C828" s="125"/>
      <c r="D828" s="125"/>
      <c r="E828" s="32"/>
      <c r="F828"/>
      <c r="G828"/>
      <c r="H828"/>
      <c r="I828"/>
      <c r="J828"/>
      <c r="K828"/>
      <c r="L828"/>
      <c r="M828"/>
      <c r="N828"/>
      <c r="O828"/>
      <c r="P828"/>
      <c r="Q828"/>
      <c r="R828"/>
      <c r="S828"/>
      <c r="T828"/>
      <c r="U828"/>
      <c r="V828"/>
      <c r="W828"/>
      <c r="X828"/>
      <c r="Y828"/>
      <c r="Z828"/>
      <c r="AA828"/>
      <c r="AB828"/>
      <c r="AC828"/>
      <c r="AD828"/>
      <c r="AE828"/>
      <c r="AF828"/>
      <c r="AG828"/>
      <c r="AH828"/>
      <c r="AI828"/>
    </row>
    <row r="829" spans="1:35" s="33" customFormat="1" ht="15.75">
      <c r="A829" s="178"/>
      <c r="B829" s="166"/>
      <c r="C829" s="125"/>
      <c r="D829" s="125"/>
      <c r="E829" s="32"/>
      <c r="F829"/>
      <c r="G829"/>
      <c r="H829"/>
      <c r="I829"/>
      <c r="J829"/>
      <c r="K829"/>
      <c r="L829"/>
      <c r="M829"/>
      <c r="N829"/>
      <c r="O829"/>
      <c r="P829"/>
      <c r="Q829"/>
      <c r="R829"/>
      <c r="S829"/>
      <c r="T829"/>
      <c r="U829"/>
      <c r="V829"/>
      <c r="W829"/>
      <c r="X829"/>
      <c r="Y829"/>
      <c r="Z829"/>
      <c r="AA829"/>
      <c r="AB829"/>
      <c r="AC829"/>
      <c r="AD829"/>
      <c r="AE829"/>
      <c r="AF829"/>
      <c r="AG829"/>
      <c r="AH829"/>
      <c r="AI829"/>
    </row>
    <row r="830" spans="1:35" s="33" customFormat="1" ht="15.75">
      <c r="A830" s="178"/>
      <c r="B830" s="166"/>
      <c r="C830" s="125"/>
      <c r="D830" s="125"/>
      <c r="E830" s="32"/>
      <c r="F830"/>
      <c r="G830"/>
      <c r="H830"/>
      <c r="I830"/>
      <c r="J830"/>
      <c r="K830"/>
      <c r="L830"/>
      <c r="M830"/>
      <c r="N830"/>
      <c r="O830"/>
      <c r="P830"/>
      <c r="Q830"/>
      <c r="R830"/>
      <c r="S830"/>
      <c r="T830"/>
      <c r="U830"/>
      <c r="V830"/>
      <c r="W830"/>
      <c r="X830"/>
      <c r="Y830"/>
      <c r="Z830"/>
      <c r="AA830"/>
      <c r="AB830"/>
      <c r="AC830"/>
      <c r="AD830"/>
      <c r="AE830"/>
      <c r="AF830"/>
      <c r="AG830"/>
      <c r="AH830"/>
      <c r="AI830"/>
    </row>
    <row r="831" spans="1:35" s="33" customFormat="1" ht="15.75">
      <c r="A831" s="178"/>
      <c r="B831" s="166"/>
      <c r="C831" s="125"/>
      <c r="D831" s="125"/>
      <c r="E831" s="32"/>
      <c r="F831"/>
      <c r="G831"/>
      <c r="H831"/>
      <c r="I831"/>
      <c r="J831"/>
      <c r="K831"/>
      <c r="L831"/>
      <c r="M831"/>
      <c r="N831"/>
      <c r="O831"/>
      <c r="P831"/>
      <c r="Q831"/>
      <c r="R831"/>
      <c r="S831"/>
      <c r="T831"/>
      <c r="U831"/>
      <c r="V831"/>
      <c r="W831"/>
      <c r="X831"/>
      <c r="Y831"/>
      <c r="Z831"/>
      <c r="AA831"/>
      <c r="AB831"/>
      <c r="AC831"/>
      <c r="AD831"/>
      <c r="AE831"/>
      <c r="AF831"/>
      <c r="AG831"/>
      <c r="AH831"/>
      <c r="AI831"/>
    </row>
    <row r="832" spans="1:35" s="33" customFormat="1" ht="15.75">
      <c r="A832" s="178"/>
      <c r="B832" s="166"/>
      <c r="C832" s="125"/>
      <c r="D832" s="125"/>
      <c r="E832" s="32"/>
      <c r="F832"/>
      <c r="G832"/>
      <c r="H832"/>
      <c r="I832"/>
      <c r="J832"/>
      <c r="K832"/>
      <c r="L832"/>
      <c r="M832"/>
      <c r="N832"/>
      <c r="O832"/>
      <c r="P832"/>
      <c r="Q832"/>
      <c r="R832"/>
      <c r="S832"/>
      <c r="T832"/>
      <c r="U832"/>
      <c r="V832"/>
      <c r="W832"/>
      <c r="X832"/>
      <c r="Y832"/>
      <c r="Z832"/>
      <c r="AA832"/>
      <c r="AB832"/>
      <c r="AC832"/>
      <c r="AD832"/>
      <c r="AE832"/>
      <c r="AF832"/>
      <c r="AG832"/>
      <c r="AH832"/>
      <c r="AI832"/>
    </row>
    <row r="833" spans="1:35" s="33" customFormat="1" ht="15.75">
      <c r="A833" s="178"/>
      <c r="B833" s="166"/>
      <c r="C833" s="125"/>
      <c r="D833" s="125"/>
      <c r="E833" s="32"/>
      <c r="F833"/>
      <c r="G833"/>
      <c r="H833"/>
      <c r="I833"/>
      <c r="J833"/>
      <c r="K833"/>
      <c r="L833"/>
      <c r="M833"/>
      <c r="N833"/>
      <c r="O833"/>
      <c r="P833"/>
      <c r="Q833"/>
      <c r="R833"/>
      <c r="S833"/>
      <c r="T833"/>
      <c r="U833"/>
      <c r="V833"/>
      <c r="W833"/>
      <c r="X833"/>
      <c r="Y833"/>
      <c r="Z833"/>
      <c r="AA833"/>
      <c r="AB833"/>
      <c r="AC833"/>
      <c r="AD833"/>
      <c r="AE833"/>
      <c r="AF833"/>
      <c r="AG833"/>
      <c r="AH833"/>
      <c r="AI833"/>
    </row>
    <row r="834" spans="1:35" s="33" customFormat="1" ht="15.75">
      <c r="A834" s="178"/>
      <c r="B834" s="166"/>
      <c r="C834" s="125"/>
      <c r="D834" s="125"/>
      <c r="E834" s="32"/>
      <c r="F834"/>
      <c r="G834"/>
      <c r="H834"/>
      <c r="I834"/>
      <c r="J834"/>
      <c r="K834"/>
      <c r="L834"/>
      <c r="M834"/>
      <c r="N834"/>
      <c r="O834"/>
      <c r="P834"/>
      <c r="Q834"/>
      <c r="R834"/>
      <c r="S834"/>
      <c r="T834"/>
      <c r="U834"/>
      <c r="V834"/>
      <c r="W834"/>
      <c r="X834"/>
      <c r="Y834"/>
      <c r="Z834"/>
      <c r="AA834"/>
      <c r="AB834"/>
      <c r="AC834"/>
      <c r="AD834"/>
      <c r="AE834"/>
      <c r="AF834"/>
      <c r="AG834"/>
      <c r="AH834"/>
      <c r="AI834"/>
    </row>
    <row r="835" spans="1:35" s="33" customFormat="1" ht="15.75">
      <c r="A835" s="178"/>
      <c r="B835" s="166"/>
      <c r="C835" s="125"/>
      <c r="D835" s="125"/>
      <c r="E835" s="32"/>
      <c r="F835"/>
      <c r="G835"/>
      <c r="H835"/>
      <c r="I835"/>
      <c r="J835"/>
      <c r="K835"/>
      <c r="L835"/>
      <c r="M835"/>
      <c r="N835"/>
      <c r="O835"/>
      <c r="P835"/>
      <c r="Q835"/>
      <c r="R835"/>
      <c r="S835"/>
      <c r="T835"/>
      <c r="U835"/>
      <c r="V835"/>
      <c r="W835"/>
      <c r="X835"/>
      <c r="Y835"/>
      <c r="Z835"/>
      <c r="AA835"/>
      <c r="AB835"/>
      <c r="AC835"/>
      <c r="AD835"/>
      <c r="AE835"/>
      <c r="AF835"/>
      <c r="AG835"/>
      <c r="AH835"/>
      <c r="AI835"/>
    </row>
    <row r="836" spans="1:35" s="33" customFormat="1" ht="15.75">
      <c r="A836" s="178"/>
      <c r="B836" s="166"/>
      <c r="C836" s="125"/>
      <c r="D836" s="125"/>
      <c r="E836" s="32"/>
      <c r="F836"/>
      <c r="G836"/>
      <c r="H836"/>
      <c r="I836"/>
      <c r="J836"/>
      <c r="K836"/>
      <c r="L836"/>
      <c r="M836"/>
      <c r="N836"/>
      <c r="O836"/>
      <c r="P836"/>
      <c r="Q836"/>
      <c r="R836"/>
      <c r="S836"/>
      <c r="T836"/>
      <c r="U836"/>
      <c r="V836"/>
      <c r="W836"/>
      <c r="X836"/>
      <c r="Y836"/>
      <c r="Z836"/>
      <c r="AA836"/>
      <c r="AB836"/>
      <c r="AC836"/>
      <c r="AD836"/>
      <c r="AE836"/>
      <c r="AF836"/>
      <c r="AG836"/>
      <c r="AH836"/>
      <c r="AI836"/>
    </row>
    <row r="837" spans="1:35" s="33" customFormat="1" ht="15.75">
      <c r="A837" s="178"/>
      <c r="B837" s="166"/>
      <c r="C837" s="125"/>
      <c r="D837" s="125"/>
      <c r="E837" s="32"/>
      <c r="F837"/>
      <c r="G837"/>
      <c r="H837"/>
      <c r="I837"/>
      <c r="J837"/>
      <c r="K837"/>
      <c r="L837"/>
      <c r="M837"/>
      <c r="N837"/>
      <c r="O837"/>
      <c r="P837"/>
      <c r="Q837"/>
      <c r="R837"/>
      <c r="S837"/>
      <c r="T837"/>
      <c r="U837"/>
      <c r="V837"/>
      <c r="W837"/>
      <c r="X837"/>
      <c r="Y837"/>
      <c r="Z837"/>
      <c r="AA837"/>
      <c r="AB837"/>
      <c r="AC837"/>
      <c r="AD837"/>
      <c r="AE837"/>
      <c r="AF837"/>
      <c r="AG837"/>
      <c r="AH837"/>
      <c r="AI837"/>
    </row>
    <row r="838" spans="1:35" s="33" customFormat="1" ht="15.75">
      <c r="A838" s="178"/>
      <c r="B838" s="166"/>
      <c r="C838" s="125"/>
      <c r="D838" s="125"/>
      <c r="E838" s="32"/>
      <c r="F838"/>
      <c r="G838"/>
      <c r="H838"/>
      <c r="I838"/>
      <c r="J838"/>
      <c r="K838"/>
      <c r="L838"/>
      <c r="M838"/>
      <c r="N838"/>
      <c r="O838"/>
      <c r="P838"/>
      <c r="Q838"/>
      <c r="R838"/>
      <c r="S838"/>
      <c r="T838"/>
      <c r="U838"/>
      <c r="V838"/>
      <c r="W838"/>
      <c r="X838"/>
      <c r="Y838"/>
      <c r="Z838"/>
      <c r="AA838"/>
      <c r="AB838"/>
      <c r="AC838"/>
      <c r="AD838"/>
      <c r="AE838"/>
      <c r="AF838"/>
      <c r="AG838"/>
      <c r="AH838"/>
      <c r="AI838"/>
    </row>
    <row r="839" spans="1:35" s="33" customFormat="1" ht="15.75">
      <c r="A839" s="178"/>
      <c r="B839" s="166"/>
      <c r="C839" s="125"/>
      <c r="D839" s="125"/>
      <c r="E839" s="32"/>
      <c r="F839"/>
      <c r="G839"/>
      <c r="H839"/>
      <c r="I839"/>
      <c r="J839"/>
      <c r="K839"/>
      <c r="L839"/>
      <c r="M839"/>
      <c r="N839"/>
      <c r="O839"/>
      <c r="P839"/>
      <c r="Q839"/>
      <c r="R839"/>
      <c r="S839"/>
      <c r="T839"/>
      <c r="U839"/>
      <c r="V839"/>
      <c r="W839"/>
      <c r="X839"/>
      <c r="Y839"/>
      <c r="Z839"/>
      <c r="AA839"/>
      <c r="AB839"/>
      <c r="AC839"/>
      <c r="AD839"/>
      <c r="AE839"/>
      <c r="AF839"/>
      <c r="AG839"/>
      <c r="AH839"/>
      <c r="AI839"/>
    </row>
    <row r="840" spans="1:35" s="33" customFormat="1" ht="15.75">
      <c r="A840" s="178"/>
      <c r="B840" s="166"/>
      <c r="C840" s="125"/>
      <c r="D840" s="125"/>
      <c r="E840" s="32"/>
      <c r="F840"/>
      <c r="G840"/>
      <c r="H840"/>
      <c r="I840"/>
      <c r="J840"/>
      <c r="K840"/>
      <c r="L840"/>
      <c r="M840"/>
      <c r="N840"/>
      <c r="O840"/>
      <c r="P840"/>
      <c r="Q840"/>
      <c r="R840"/>
      <c r="S840"/>
      <c r="T840"/>
      <c r="U840"/>
      <c r="V840"/>
      <c r="W840"/>
      <c r="X840"/>
      <c r="Y840"/>
      <c r="Z840"/>
      <c r="AA840"/>
      <c r="AB840"/>
      <c r="AC840"/>
      <c r="AD840"/>
      <c r="AE840"/>
      <c r="AF840"/>
      <c r="AG840"/>
      <c r="AH840"/>
      <c r="AI840"/>
    </row>
    <row r="841" spans="1:35" s="33" customFormat="1" ht="15.75">
      <c r="A841" s="178"/>
      <c r="B841" s="166"/>
      <c r="C841" s="125"/>
      <c r="D841" s="125"/>
      <c r="E841" s="32"/>
      <c r="F841"/>
      <c r="G841"/>
      <c r="H841"/>
      <c r="I841"/>
      <c r="J841"/>
      <c r="K841"/>
      <c r="L841"/>
      <c r="M841"/>
      <c r="N841"/>
      <c r="O841"/>
      <c r="P841"/>
      <c r="Q841"/>
      <c r="R841"/>
      <c r="S841"/>
      <c r="T841"/>
      <c r="U841"/>
      <c r="V841"/>
      <c r="W841"/>
      <c r="X841"/>
      <c r="Y841"/>
      <c r="Z841"/>
      <c r="AA841"/>
      <c r="AB841"/>
      <c r="AC841"/>
      <c r="AD841"/>
      <c r="AE841"/>
      <c r="AF841"/>
      <c r="AG841"/>
      <c r="AH841"/>
      <c r="AI841"/>
    </row>
    <row r="842" spans="1:35" s="33" customFormat="1" ht="15.75">
      <c r="A842" s="178"/>
      <c r="B842" s="166"/>
      <c r="C842" s="125"/>
      <c r="D842" s="125"/>
      <c r="E842" s="32"/>
      <c r="F842"/>
      <c r="G842"/>
      <c r="H842"/>
      <c r="I842"/>
      <c r="J842"/>
      <c r="K842"/>
      <c r="L842"/>
      <c r="M842"/>
      <c r="N842"/>
      <c r="O842"/>
      <c r="P842"/>
      <c r="Q842"/>
      <c r="R842"/>
      <c r="S842"/>
      <c r="T842"/>
      <c r="U842"/>
      <c r="V842"/>
      <c r="W842"/>
      <c r="X842"/>
      <c r="Y842"/>
      <c r="Z842"/>
      <c r="AA842"/>
      <c r="AB842"/>
      <c r="AC842"/>
      <c r="AD842"/>
      <c r="AE842"/>
      <c r="AF842"/>
      <c r="AG842"/>
      <c r="AH842"/>
      <c r="AI842"/>
    </row>
    <row r="843" spans="1:35" s="33" customFormat="1" ht="15.75">
      <c r="A843" s="178"/>
      <c r="B843" s="166"/>
      <c r="C843" s="125"/>
      <c r="D843" s="125"/>
      <c r="E843" s="32"/>
      <c r="F843"/>
      <c r="G843"/>
      <c r="H843"/>
      <c r="I843"/>
      <c r="J843"/>
      <c r="K843"/>
      <c r="L843"/>
      <c r="M843"/>
      <c r="N843"/>
      <c r="O843"/>
      <c r="P843"/>
      <c r="Q843"/>
      <c r="R843"/>
      <c r="S843"/>
      <c r="T843"/>
      <c r="U843"/>
      <c r="V843"/>
      <c r="W843"/>
      <c r="X843"/>
      <c r="Y843"/>
      <c r="Z843"/>
      <c r="AA843"/>
      <c r="AB843"/>
      <c r="AC843"/>
      <c r="AD843"/>
      <c r="AE843"/>
      <c r="AF843"/>
      <c r="AG843"/>
      <c r="AH843"/>
      <c r="AI843"/>
    </row>
    <row r="844" spans="1:35" s="33" customFormat="1" ht="15.75">
      <c r="A844" s="178"/>
      <c r="B844" s="166"/>
      <c r="C844" s="125"/>
      <c r="D844" s="125"/>
      <c r="E844" s="32"/>
      <c r="F844"/>
      <c r="G844"/>
      <c r="H844"/>
      <c r="I844"/>
      <c r="J844"/>
      <c r="K844"/>
      <c r="L844"/>
      <c r="M844"/>
      <c r="N844"/>
      <c r="O844"/>
      <c r="P844"/>
      <c r="Q844"/>
      <c r="R844"/>
      <c r="S844"/>
      <c r="T844"/>
      <c r="U844"/>
      <c r="V844"/>
      <c r="W844"/>
      <c r="X844"/>
      <c r="Y844"/>
      <c r="Z844"/>
      <c r="AA844"/>
      <c r="AB844"/>
      <c r="AC844"/>
      <c r="AD844"/>
      <c r="AE844"/>
      <c r="AF844"/>
      <c r="AG844"/>
      <c r="AH844"/>
      <c r="AI844"/>
    </row>
    <row r="845" spans="1:35" s="33" customFormat="1" ht="15.75">
      <c r="A845" s="178"/>
      <c r="B845" s="166"/>
      <c r="C845" s="125"/>
      <c r="D845" s="125"/>
      <c r="E845" s="32"/>
      <c r="F845"/>
      <c r="G845"/>
      <c r="H845"/>
      <c r="I845"/>
      <c r="J845"/>
      <c r="K845"/>
      <c r="L845"/>
      <c r="M845"/>
      <c r="N845"/>
      <c r="O845"/>
      <c r="P845"/>
      <c r="Q845"/>
      <c r="R845"/>
      <c r="S845"/>
      <c r="T845"/>
      <c r="U845"/>
      <c r="V845"/>
      <c r="W845"/>
      <c r="X845"/>
      <c r="Y845"/>
      <c r="Z845"/>
      <c r="AA845"/>
      <c r="AB845"/>
      <c r="AC845"/>
      <c r="AD845"/>
      <c r="AE845"/>
      <c r="AF845"/>
      <c r="AG845"/>
      <c r="AH845"/>
      <c r="AI845"/>
    </row>
    <row r="846" spans="1:35" s="33" customFormat="1" ht="15.75">
      <c r="A846" s="178"/>
      <c r="B846" s="166"/>
      <c r="C846" s="125"/>
      <c r="D846" s="125"/>
      <c r="E846" s="32"/>
      <c r="F846"/>
      <c r="G846"/>
      <c r="H846"/>
      <c r="I846"/>
      <c r="J846"/>
      <c r="K846"/>
      <c r="L846"/>
      <c r="M846"/>
      <c r="N846"/>
      <c r="O846"/>
      <c r="P846"/>
      <c r="Q846"/>
      <c r="R846"/>
      <c r="S846"/>
      <c r="T846"/>
      <c r="U846"/>
      <c r="V846"/>
      <c r="W846"/>
      <c r="X846"/>
      <c r="Y846"/>
      <c r="Z846"/>
      <c r="AA846"/>
      <c r="AB846"/>
      <c r="AC846"/>
      <c r="AD846"/>
      <c r="AE846"/>
      <c r="AF846"/>
      <c r="AG846"/>
      <c r="AH846"/>
      <c r="AI846"/>
    </row>
    <row r="847" spans="1:35" s="33" customFormat="1" ht="15.75">
      <c r="A847" s="178"/>
      <c r="B847" s="166"/>
      <c r="C847" s="125"/>
      <c r="D847" s="125"/>
      <c r="E847" s="32"/>
      <c r="F847"/>
      <c r="G847"/>
      <c r="H847"/>
      <c r="I847"/>
      <c r="J847"/>
      <c r="K847"/>
      <c r="L847"/>
      <c r="M847"/>
      <c r="N847"/>
      <c r="O847"/>
      <c r="P847"/>
      <c r="Q847"/>
      <c r="R847"/>
      <c r="S847"/>
      <c r="T847"/>
      <c r="U847"/>
      <c r="V847"/>
      <c r="W847"/>
      <c r="X847"/>
      <c r="Y847"/>
      <c r="Z847"/>
      <c r="AA847"/>
      <c r="AB847"/>
      <c r="AC847"/>
      <c r="AD847"/>
      <c r="AE847"/>
      <c r="AF847"/>
      <c r="AG847"/>
      <c r="AH847"/>
      <c r="AI847"/>
    </row>
    <row r="848" spans="1:35" s="33" customFormat="1" ht="15.75">
      <c r="A848" s="178"/>
      <c r="B848" s="166"/>
      <c r="C848" s="125"/>
      <c r="D848" s="125"/>
      <c r="E848" s="32"/>
      <c r="F848"/>
      <c r="G848"/>
      <c r="H848"/>
      <c r="I848"/>
      <c r="J848"/>
      <c r="K848"/>
      <c r="L848"/>
      <c r="M848"/>
      <c r="N848"/>
      <c r="O848"/>
      <c r="P848"/>
      <c r="Q848"/>
      <c r="R848"/>
      <c r="S848"/>
      <c r="T848"/>
      <c r="U848"/>
      <c r="V848"/>
      <c r="W848"/>
      <c r="X848"/>
      <c r="Y848"/>
      <c r="Z848"/>
      <c r="AA848"/>
      <c r="AB848"/>
      <c r="AC848"/>
      <c r="AD848"/>
      <c r="AE848"/>
      <c r="AF848"/>
      <c r="AG848"/>
      <c r="AH848"/>
      <c r="AI848"/>
    </row>
    <row r="849" spans="1:35" s="33" customFormat="1" ht="15.75">
      <c r="A849" s="178"/>
      <c r="B849" s="166"/>
      <c r="C849" s="125"/>
      <c r="D849" s="125"/>
      <c r="E849" s="32"/>
      <c r="F849"/>
      <c r="G849"/>
      <c r="H849"/>
      <c r="I849"/>
      <c r="J849"/>
      <c r="K849"/>
      <c r="L849"/>
      <c r="M849"/>
      <c r="N849"/>
      <c r="O849"/>
      <c r="P849"/>
      <c r="Q849"/>
      <c r="R849"/>
      <c r="S849"/>
      <c r="T849"/>
      <c r="U849"/>
      <c r="V849"/>
      <c r="W849"/>
      <c r="X849"/>
      <c r="Y849"/>
      <c r="Z849"/>
      <c r="AA849"/>
      <c r="AB849"/>
      <c r="AC849"/>
      <c r="AD849"/>
      <c r="AE849"/>
      <c r="AF849"/>
      <c r="AG849"/>
      <c r="AH849"/>
      <c r="AI849"/>
    </row>
    <row r="850" spans="1:35" s="33" customFormat="1" ht="15.75">
      <c r="A850" s="178"/>
      <c r="B850" s="166"/>
      <c r="C850" s="125"/>
      <c r="D850" s="125"/>
      <c r="E850" s="32"/>
      <c r="F850"/>
      <c r="G850"/>
      <c r="H850"/>
      <c r="I850"/>
      <c r="J850"/>
      <c r="K850"/>
      <c r="L850"/>
      <c r="M850"/>
      <c r="N850"/>
      <c r="O850"/>
      <c r="P850"/>
      <c r="Q850"/>
      <c r="R850"/>
      <c r="S850"/>
      <c r="T850"/>
      <c r="U850"/>
      <c r="V850"/>
      <c r="W850"/>
      <c r="X850"/>
      <c r="Y850"/>
      <c r="Z850"/>
      <c r="AA850"/>
      <c r="AB850"/>
      <c r="AC850"/>
      <c r="AD850"/>
      <c r="AE850"/>
      <c r="AF850"/>
      <c r="AG850"/>
      <c r="AH850"/>
      <c r="AI850"/>
    </row>
    <row r="851" spans="1:35" s="33" customFormat="1" ht="15.75">
      <c r="A851" s="178"/>
      <c r="B851" s="166"/>
      <c r="C851" s="125"/>
      <c r="D851" s="125"/>
      <c r="E851" s="32"/>
      <c r="F851"/>
      <c r="G851"/>
      <c r="H851"/>
      <c r="I851"/>
      <c r="J851"/>
      <c r="K851"/>
      <c r="L851"/>
      <c r="M851"/>
      <c r="N851"/>
      <c r="O851"/>
      <c r="P851"/>
      <c r="Q851"/>
      <c r="R851"/>
      <c r="S851"/>
      <c r="T851"/>
      <c r="U851"/>
      <c r="V851"/>
      <c r="W851"/>
      <c r="X851"/>
      <c r="Y851"/>
      <c r="Z851"/>
      <c r="AA851"/>
      <c r="AB851"/>
      <c r="AC851"/>
      <c r="AD851"/>
      <c r="AE851"/>
      <c r="AF851"/>
      <c r="AG851"/>
      <c r="AH851"/>
      <c r="AI851"/>
    </row>
    <row r="852" spans="1:35" s="33" customFormat="1" ht="15.75">
      <c r="A852" s="178"/>
      <c r="B852" s="166"/>
      <c r="C852" s="125"/>
      <c r="D852" s="125"/>
      <c r="E852" s="32"/>
      <c r="F852"/>
      <c r="G852"/>
      <c r="H852"/>
      <c r="I852"/>
      <c r="J852"/>
      <c r="K852"/>
      <c r="L852"/>
      <c r="M852"/>
      <c r="N852"/>
      <c r="O852"/>
      <c r="P852"/>
      <c r="Q852"/>
      <c r="R852"/>
      <c r="S852"/>
      <c r="T852"/>
      <c r="U852"/>
      <c r="V852"/>
      <c r="W852"/>
      <c r="X852"/>
      <c r="Y852"/>
      <c r="Z852"/>
      <c r="AA852"/>
      <c r="AB852"/>
      <c r="AC852"/>
      <c r="AD852"/>
      <c r="AE852"/>
      <c r="AF852"/>
      <c r="AG852"/>
      <c r="AH852"/>
      <c r="AI852"/>
    </row>
    <row r="853" spans="1:35" s="33" customFormat="1" ht="15.75">
      <c r="A853" s="178"/>
      <c r="B853" s="166"/>
      <c r="C853" s="125"/>
      <c r="D853" s="125"/>
      <c r="E853" s="32"/>
      <c r="F853"/>
      <c r="G853"/>
      <c r="H853"/>
      <c r="I853"/>
      <c r="J853"/>
      <c r="K853"/>
      <c r="L853"/>
      <c r="M853"/>
      <c r="N853"/>
      <c r="O853"/>
      <c r="P853"/>
      <c r="Q853"/>
      <c r="R853"/>
      <c r="S853"/>
      <c r="T853"/>
      <c r="U853"/>
      <c r="V853"/>
      <c r="W853"/>
      <c r="X853"/>
      <c r="Y853"/>
      <c r="Z853"/>
      <c r="AA853"/>
      <c r="AB853"/>
      <c r="AC853"/>
      <c r="AD853"/>
      <c r="AE853"/>
      <c r="AF853"/>
      <c r="AG853"/>
      <c r="AH853"/>
      <c r="AI853"/>
    </row>
    <row r="854" spans="1:35" s="33" customFormat="1" ht="15.75">
      <c r="A854" s="178"/>
      <c r="B854" s="166"/>
      <c r="C854" s="125"/>
      <c r="D854" s="125"/>
      <c r="E854" s="32"/>
      <c r="F854"/>
      <c r="G854"/>
      <c r="H854"/>
      <c r="I854"/>
      <c r="J854"/>
      <c r="K854"/>
      <c r="L854"/>
      <c r="M854"/>
      <c r="N854"/>
      <c r="O854"/>
      <c r="P854"/>
      <c r="Q854"/>
      <c r="R854"/>
      <c r="S854"/>
      <c r="T854"/>
      <c r="U854"/>
      <c r="V854"/>
      <c r="W854"/>
      <c r="X854"/>
      <c r="Y854"/>
      <c r="Z854"/>
      <c r="AA854"/>
      <c r="AB854"/>
      <c r="AC854"/>
      <c r="AD854"/>
      <c r="AE854"/>
      <c r="AF854"/>
      <c r="AG854"/>
      <c r="AH854"/>
      <c r="AI854"/>
    </row>
    <row r="855" spans="1:35" s="33" customFormat="1" ht="15.75">
      <c r="A855" s="178"/>
      <c r="B855" s="166"/>
      <c r="C855" s="125"/>
      <c r="D855" s="125"/>
      <c r="E855" s="32"/>
      <c r="F855"/>
      <c r="G855"/>
      <c r="H855"/>
      <c r="I855"/>
      <c r="J855"/>
      <c r="K855"/>
      <c r="L855"/>
      <c r="M855"/>
      <c r="N855"/>
      <c r="O855"/>
      <c r="P855"/>
      <c r="Q855"/>
      <c r="R855"/>
      <c r="S855"/>
      <c r="T855"/>
      <c r="U855"/>
      <c r="V855"/>
      <c r="W855"/>
      <c r="X855"/>
      <c r="Y855"/>
      <c r="Z855"/>
      <c r="AA855"/>
      <c r="AB855"/>
      <c r="AC855"/>
      <c r="AD855"/>
      <c r="AE855"/>
      <c r="AF855"/>
      <c r="AG855"/>
      <c r="AH855"/>
      <c r="AI855"/>
    </row>
    <row r="856" spans="1:35" s="33" customFormat="1" ht="15.75">
      <c r="A856" s="178"/>
      <c r="B856" s="166"/>
      <c r="C856" s="125"/>
      <c r="D856" s="125"/>
      <c r="E856" s="32"/>
      <c r="F856"/>
      <c r="G856"/>
      <c r="H856"/>
      <c r="I856"/>
      <c r="J856"/>
      <c r="K856"/>
      <c r="L856"/>
      <c r="M856"/>
      <c r="N856"/>
      <c r="O856"/>
      <c r="P856"/>
      <c r="Q856"/>
      <c r="R856"/>
      <c r="S856"/>
      <c r="T856"/>
      <c r="U856"/>
      <c r="V856"/>
      <c r="W856"/>
      <c r="X856"/>
      <c r="Y856"/>
      <c r="Z856"/>
      <c r="AA856"/>
      <c r="AB856"/>
      <c r="AC856"/>
      <c r="AD856"/>
      <c r="AE856"/>
      <c r="AF856"/>
      <c r="AG856"/>
      <c r="AH856"/>
      <c r="AI856"/>
    </row>
    <row r="857" spans="1:35" s="33" customFormat="1" ht="15.75">
      <c r="A857" s="178"/>
      <c r="B857" s="166"/>
      <c r="C857" s="125"/>
      <c r="D857" s="125"/>
      <c r="E857" s="32"/>
      <c r="F857"/>
      <c r="G857"/>
      <c r="H857"/>
      <c r="I857"/>
      <c r="J857"/>
      <c r="K857"/>
      <c r="L857"/>
      <c r="M857"/>
      <c r="N857"/>
      <c r="O857"/>
      <c r="P857"/>
      <c r="Q857"/>
      <c r="R857"/>
      <c r="S857"/>
      <c r="T857"/>
      <c r="U857"/>
      <c r="V857"/>
      <c r="W857"/>
      <c r="X857"/>
      <c r="Y857"/>
      <c r="Z857"/>
      <c r="AA857"/>
      <c r="AB857"/>
      <c r="AC857"/>
      <c r="AD857"/>
      <c r="AE857"/>
      <c r="AF857"/>
      <c r="AG857"/>
      <c r="AH857"/>
      <c r="AI857"/>
    </row>
    <row r="858" spans="1:35" s="33" customFormat="1" ht="15.75">
      <c r="A858" s="178"/>
      <c r="B858" s="166"/>
      <c r="C858" s="125"/>
      <c r="D858" s="125"/>
      <c r="E858" s="32"/>
      <c r="F858"/>
      <c r="G858"/>
      <c r="H858"/>
      <c r="I858"/>
      <c r="J858"/>
      <c r="K858"/>
      <c r="L858"/>
      <c r="M858"/>
      <c r="N858"/>
      <c r="O858"/>
      <c r="P858"/>
      <c r="Q858"/>
      <c r="R858"/>
      <c r="S858"/>
      <c r="T858"/>
      <c r="U858"/>
      <c r="V858"/>
      <c r="W858"/>
      <c r="X858"/>
      <c r="Y858"/>
      <c r="Z858"/>
      <c r="AA858"/>
      <c r="AB858"/>
      <c r="AC858"/>
      <c r="AD858"/>
      <c r="AE858"/>
      <c r="AF858"/>
      <c r="AG858"/>
      <c r="AH858"/>
      <c r="AI858"/>
    </row>
    <row r="859" spans="1:35" s="33" customFormat="1" ht="15.75">
      <c r="A859" s="178"/>
      <c r="B859" s="166"/>
      <c r="C859" s="125"/>
      <c r="D859" s="125"/>
      <c r="E859" s="32"/>
      <c r="F859"/>
      <c r="G859"/>
      <c r="H859"/>
      <c r="I859"/>
      <c r="J859"/>
      <c r="K859"/>
      <c r="L859"/>
      <c r="M859"/>
      <c r="N859"/>
      <c r="O859"/>
      <c r="P859"/>
      <c r="Q859"/>
      <c r="R859"/>
      <c r="S859"/>
      <c r="T859"/>
      <c r="U859"/>
      <c r="V859"/>
      <c r="W859"/>
      <c r="X859"/>
      <c r="Y859"/>
      <c r="Z859"/>
      <c r="AA859"/>
      <c r="AB859"/>
      <c r="AC859"/>
      <c r="AD859"/>
      <c r="AE859"/>
      <c r="AF859"/>
      <c r="AG859"/>
      <c r="AH859"/>
      <c r="AI859"/>
    </row>
    <row r="860" spans="1:35" s="33" customFormat="1" ht="15.75">
      <c r="A860" s="178"/>
      <c r="B860" s="166"/>
      <c r="C860" s="125"/>
      <c r="D860" s="125"/>
      <c r="E860" s="32"/>
      <c r="F860"/>
      <c r="G860"/>
      <c r="H860"/>
      <c r="I860"/>
      <c r="J860"/>
      <c r="K860"/>
      <c r="L860"/>
      <c r="M860"/>
      <c r="N860"/>
      <c r="O860"/>
      <c r="P860"/>
      <c r="Q860"/>
      <c r="R860"/>
      <c r="S860"/>
      <c r="T860"/>
      <c r="U860"/>
      <c r="V860"/>
      <c r="W860"/>
      <c r="X860"/>
      <c r="Y860"/>
      <c r="Z860"/>
      <c r="AA860"/>
      <c r="AB860"/>
      <c r="AC860"/>
      <c r="AD860"/>
      <c r="AE860"/>
      <c r="AF860"/>
      <c r="AG860"/>
      <c r="AH860"/>
      <c r="AI860"/>
    </row>
    <row r="861" spans="1:35" s="33" customFormat="1" ht="15.75">
      <c r="A861" s="178"/>
      <c r="B861" s="166"/>
      <c r="C861" s="125"/>
      <c r="D861" s="125"/>
      <c r="E861" s="32"/>
      <c r="F861"/>
      <c r="G861"/>
      <c r="H861"/>
      <c r="I861"/>
      <c r="J861"/>
      <c r="K861"/>
      <c r="L861"/>
      <c r="M861"/>
      <c r="N861"/>
      <c r="O861"/>
      <c r="P861"/>
      <c r="Q861"/>
      <c r="R861"/>
      <c r="S861"/>
      <c r="T861"/>
      <c r="U861"/>
      <c r="V861"/>
      <c r="W861"/>
      <c r="X861"/>
      <c r="Y861"/>
      <c r="Z861"/>
      <c r="AA861"/>
      <c r="AB861"/>
      <c r="AC861"/>
      <c r="AD861"/>
      <c r="AE861"/>
      <c r="AF861"/>
      <c r="AG861"/>
      <c r="AH861"/>
      <c r="AI861"/>
    </row>
    <row r="862" spans="1:35" s="33" customFormat="1" ht="15.75">
      <c r="A862" s="178"/>
      <c r="B862" s="166"/>
      <c r="C862" s="125"/>
      <c r="D862" s="125"/>
      <c r="E862" s="32"/>
      <c r="F862"/>
      <c r="G862"/>
      <c r="H862"/>
      <c r="I862"/>
      <c r="J862"/>
      <c r="K862"/>
      <c r="L862"/>
      <c r="M862"/>
      <c r="N862"/>
      <c r="O862"/>
      <c r="P862"/>
      <c r="Q862"/>
      <c r="R862"/>
      <c r="S862"/>
      <c r="T862"/>
      <c r="U862"/>
      <c r="V862"/>
      <c r="W862"/>
      <c r="X862"/>
      <c r="Y862"/>
      <c r="Z862"/>
      <c r="AA862"/>
      <c r="AB862"/>
      <c r="AC862"/>
      <c r="AD862"/>
      <c r="AE862"/>
      <c r="AF862"/>
      <c r="AG862"/>
      <c r="AH862"/>
      <c r="AI862"/>
    </row>
    <row r="863" spans="1:35" s="33" customFormat="1" ht="15.75">
      <c r="A863" s="178"/>
      <c r="B863" s="166"/>
      <c r="C863" s="125"/>
      <c r="D863" s="125"/>
      <c r="E863" s="32"/>
      <c r="F863"/>
      <c r="G863"/>
      <c r="H863"/>
      <c r="I863"/>
      <c r="J863"/>
      <c r="K863"/>
      <c r="L863"/>
      <c r="M863"/>
      <c r="N863"/>
      <c r="O863"/>
      <c r="P863"/>
      <c r="Q863"/>
      <c r="R863"/>
      <c r="S863"/>
      <c r="T863"/>
      <c r="U863"/>
      <c r="V863"/>
      <c r="W863"/>
      <c r="X863"/>
      <c r="Y863"/>
      <c r="Z863"/>
      <c r="AA863"/>
      <c r="AB863"/>
      <c r="AC863"/>
      <c r="AD863"/>
      <c r="AE863"/>
      <c r="AF863"/>
      <c r="AG863"/>
      <c r="AH863"/>
      <c r="AI863"/>
    </row>
    <row r="864" spans="1:35" s="33" customFormat="1" ht="15.75">
      <c r="A864" s="178"/>
      <c r="B864" s="166"/>
      <c r="C864" s="125"/>
      <c r="D864" s="125"/>
      <c r="E864" s="32"/>
      <c r="F864"/>
      <c r="G864"/>
      <c r="H864"/>
      <c r="I864"/>
      <c r="J864"/>
      <c r="K864"/>
      <c r="L864"/>
      <c r="M864"/>
      <c r="N864"/>
      <c r="O864"/>
      <c r="P864"/>
      <c r="Q864"/>
      <c r="R864"/>
      <c r="S864"/>
      <c r="T864"/>
      <c r="U864"/>
      <c r="V864"/>
      <c r="W864"/>
      <c r="X864"/>
      <c r="Y864"/>
      <c r="Z864"/>
      <c r="AA864"/>
      <c r="AB864"/>
      <c r="AC864"/>
      <c r="AD864"/>
      <c r="AE864"/>
      <c r="AF864"/>
      <c r="AG864"/>
      <c r="AH864"/>
      <c r="AI864"/>
    </row>
    <row r="865" spans="1:35" s="33" customFormat="1" ht="15.75">
      <c r="A865" s="178"/>
      <c r="B865" s="166"/>
      <c r="C865" s="125"/>
      <c r="D865" s="125"/>
      <c r="E865" s="32"/>
      <c r="F865"/>
      <c r="G865"/>
      <c r="H865"/>
      <c r="I865"/>
      <c r="J865"/>
      <c r="K865"/>
      <c r="L865"/>
      <c r="M865"/>
      <c r="N865"/>
      <c r="O865"/>
      <c r="P865"/>
      <c r="Q865"/>
      <c r="R865"/>
      <c r="S865"/>
      <c r="T865"/>
      <c r="U865"/>
      <c r="V865"/>
      <c r="W865"/>
      <c r="X865"/>
      <c r="Y865"/>
      <c r="Z865"/>
      <c r="AA865"/>
      <c r="AB865"/>
      <c r="AC865"/>
      <c r="AD865"/>
      <c r="AE865"/>
      <c r="AF865"/>
      <c r="AG865"/>
      <c r="AH865"/>
      <c r="AI865"/>
    </row>
    <row r="866" spans="1:35" s="33" customFormat="1" ht="15.75">
      <c r="A866" s="178"/>
      <c r="B866" s="166"/>
      <c r="C866" s="125"/>
      <c r="D866" s="125"/>
      <c r="E866" s="32"/>
      <c r="F866"/>
      <c r="G866"/>
      <c r="H866"/>
      <c r="I866"/>
      <c r="J866"/>
      <c r="K866"/>
      <c r="L866"/>
      <c r="M866"/>
      <c r="N866"/>
      <c r="O866"/>
      <c r="P866"/>
      <c r="Q866"/>
      <c r="R866"/>
      <c r="S866"/>
      <c r="T866"/>
      <c r="U866"/>
      <c r="V866"/>
      <c r="W866"/>
      <c r="X866"/>
      <c r="Y866"/>
      <c r="Z866"/>
      <c r="AA866"/>
      <c r="AB866"/>
      <c r="AC866"/>
      <c r="AD866"/>
      <c r="AE866"/>
      <c r="AF866"/>
      <c r="AG866"/>
      <c r="AH866"/>
      <c r="AI866"/>
    </row>
    <row r="867" spans="1:35" s="33" customFormat="1" ht="15.75">
      <c r="A867" s="178"/>
      <c r="B867" s="166"/>
      <c r="C867" s="125"/>
      <c r="D867" s="125"/>
      <c r="E867" s="32"/>
      <c r="F867"/>
      <c r="G867"/>
      <c r="H867"/>
      <c r="I867"/>
      <c r="J867"/>
      <c r="K867"/>
      <c r="L867"/>
      <c r="M867"/>
      <c r="N867"/>
      <c r="O867"/>
      <c r="P867"/>
      <c r="Q867"/>
      <c r="R867"/>
      <c r="S867"/>
      <c r="T867"/>
      <c r="U867"/>
      <c r="V867"/>
      <c r="W867"/>
      <c r="X867"/>
      <c r="Y867"/>
      <c r="Z867"/>
      <c r="AA867"/>
      <c r="AB867"/>
      <c r="AC867"/>
      <c r="AD867"/>
      <c r="AE867"/>
      <c r="AF867"/>
      <c r="AG867"/>
      <c r="AH867"/>
      <c r="AI867"/>
    </row>
    <row r="868" spans="1:35" s="33" customFormat="1" ht="15.75">
      <c r="A868" s="178"/>
      <c r="B868" s="166"/>
      <c r="C868" s="125"/>
      <c r="D868" s="125"/>
      <c r="E868" s="32"/>
      <c r="F868"/>
      <c r="G868"/>
      <c r="H868"/>
      <c r="I868"/>
      <c r="J868"/>
      <c r="K868"/>
      <c r="L868"/>
      <c r="M868"/>
      <c r="N868"/>
      <c r="O868"/>
      <c r="P868"/>
      <c r="Q868"/>
      <c r="R868"/>
      <c r="S868"/>
      <c r="T868"/>
      <c r="U868"/>
      <c r="V868"/>
      <c r="W868"/>
      <c r="X868"/>
      <c r="Y868"/>
      <c r="Z868"/>
      <c r="AA868"/>
      <c r="AB868"/>
      <c r="AC868"/>
      <c r="AD868"/>
      <c r="AE868"/>
      <c r="AF868"/>
      <c r="AG868"/>
      <c r="AH868"/>
      <c r="AI868"/>
    </row>
    <row r="869" spans="1:35" s="33" customFormat="1" ht="15.75">
      <c r="A869" s="178"/>
      <c r="B869" s="166"/>
      <c r="C869" s="125"/>
      <c r="D869" s="125"/>
      <c r="E869" s="32"/>
      <c r="F869"/>
      <c r="G869"/>
      <c r="H869"/>
      <c r="I869"/>
      <c r="J869"/>
      <c r="K869"/>
      <c r="L869"/>
      <c r="M869"/>
      <c r="N869"/>
      <c r="O869"/>
      <c r="P869"/>
      <c r="Q869"/>
      <c r="R869"/>
      <c r="S869"/>
      <c r="T869"/>
      <c r="U869"/>
      <c r="V869"/>
      <c r="W869"/>
      <c r="X869"/>
      <c r="Y869"/>
      <c r="Z869"/>
      <c r="AA869"/>
      <c r="AB869"/>
      <c r="AC869"/>
      <c r="AD869"/>
      <c r="AE869"/>
      <c r="AF869"/>
      <c r="AG869"/>
      <c r="AH869"/>
      <c r="AI869"/>
    </row>
    <row r="870" spans="1:35" s="33" customFormat="1" ht="15.75">
      <c r="A870" s="178"/>
      <c r="B870" s="166"/>
      <c r="C870" s="125"/>
      <c r="D870" s="125"/>
      <c r="E870" s="32"/>
      <c r="F870"/>
      <c r="G870"/>
      <c r="H870"/>
      <c r="I870"/>
      <c r="J870"/>
      <c r="K870"/>
      <c r="L870"/>
      <c r="M870"/>
      <c r="N870"/>
      <c r="O870"/>
      <c r="P870"/>
      <c r="Q870"/>
      <c r="R870"/>
      <c r="S870"/>
      <c r="T870"/>
      <c r="U870"/>
      <c r="V870"/>
      <c r="W870"/>
      <c r="X870"/>
      <c r="Y870"/>
      <c r="Z870"/>
      <c r="AA870"/>
      <c r="AB870"/>
      <c r="AC870"/>
      <c r="AD870"/>
      <c r="AE870"/>
      <c r="AF870"/>
      <c r="AG870"/>
      <c r="AH870"/>
      <c r="AI870"/>
    </row>
    <row r="871" spans="1:35" s="33" customFormat="1" ht="15.75">
      <c r="A871" s="178"/>
      <c r="B871" s="166"/>
      <c r="C871" s="125"/>
      <c r="D871" s="125"/>
      <c r="E871" s="32"/>
      <c r="F871"/>
      <c r="G871"/>
      <c r="H871"/>
      <c r="I871"/>
      <c r="J871"/>
      <c r="K871"/>
      <c r="L871"/>
      <c r="M871"/>
      <c r="N871"/>
      <c r="O871"/>
      <c r="P871"/>
      <c r="Q871"/>
      <c r="R871"/>
      <c r="S871"/>
      <c r="T871"/>
      <c r="U871"/>
      <c r="V871"/>
      <c r="W871"/>
      <c r="X871"/>
      <c r="Y871"/>
      <c r="Z871"/>
      <c r="AA871"/>
      <c r="AB871"/>
      <c r="AC871"/>
      <c r="AD871"/>
      <c r="AE871"/>
      <c r="AF871"/>
      <c r="AG871"/>
      <c r="AH871"/>
      <c r="AI871"/>
    </row>
    <row r="872" spans="1:35" s="33" customFormat="1" ht="15.75">
      <c r="A872" s="178"/>
      <c r="B872" s="166"/>
      <c r="C872" s="125"/>
      <c r="D872" s="125"/>
      <c r="E872" s="32"/>
      <c r="F872"/>
      <c r="G872"/>
      <c r="H872"/>
      <c r="I872"/>
      <c r="J872"/>
      <c r="K872"/>
      <c r="L872"/>
      <c r="M872"/>
      <c r="N872"/>
      <c r="O872"/>
      <c r="P872"/>
      <c r="Q872"/>
      <c r="R872"/>
      <c r="S872"/>
      <c r="T872"/>
      <c r="U872"/>
      <c r="V872"/>
      <c r="W872"/>
      <c r="X872"/>
      <c r="Y872"/>
      <c r="Z872"/>
      <c r="AA872"/>
      <c r="AB872"/>
      <c r="AC872"/>
      <c r="AD872"/>
      <c r="AE872"/>
      <c r="AF872"/>
      <c r="AG872"/>
      <c r="AH872"/>
      <c r="AI872"/>
    </row>
    <row r="873" spans="1:35" s="33" customFormat="1" ht="15.75">
      <c r="A873" s="178"/>
      <c r="B873" s="166"/>
      <c r="C873" s="125"/>
      <c r="D873" s="125"/>
      <c r="E873" s="32"/>
      <c r="F873"/>
      <c r="G873"/>
      <c r="H873"/>
      <c r="I873"/>
      <c r="J873"/>
      <c r="K873"/>
      <c r="L873"/>
      <c r="M873"/>
      <c r="N873"/>
      <c r="O873"/>
      <c r="P873"/>
      <c r="Q873"/>
      <c r="R873"/>
      <c r="S873"/>
      <c r="T873"/>
      <c r="U873"/>
      <c r="V873"/>
      <c r="W873"/>
      <c r="X873"/>
      <c r="Y873"/>
      <c r="Z873"/>
      <c r="AA873"/>
      <c r="AB873"/>
      <c r="AC873"/>
      <c r="AD873"/>
      <c r="AE873"/>
      <c r="AF873"/>
      <c r="AG873"/>
      <c r="AH873"/>
      <c r="AI873"/>
    </row>
    <row r="874" spans="1:35" s="33" customFormat="1" ht="15.75">
      <c r="A874" s="178"/>
      <c r="B874" s="166"/>
      <c r="C874" s="125"/>
      <c r="D874" s="125"/>
      <c r="E874" s="32"/>
      <c r="F874"/>
      <c r="G874"/>
      <c r="H874"/>
      <c r="I874"/>
      <c r="J874"/>
      <c r="K874"/>
      <c r="L874"/>
      <c r="M874"/>
      <c r="N874"/>
      <c r="O874"/>
      <c r="P874"/>
      <c r="Q874"/>
      <c r="R874"/>
      <c r="S874"/>
      <c r="T874"/>
      <c r="U874"/>
      <c r="V874"/>
      <c r="W874"/>
      <c r="X874"/>
      <c r="Y874"/>
      <c r="Z874"/>
      <c r="AA874"/>
      <c r="AB874"/>
      <c r="AC874"/>
      <c r="AD874"/>
      <c r="AE874"/>
      <c r="AF874"/>
      <c r="AG874"/>
      <c r="AH874"/>
      <c r="AI874"/>
    </row>
    <row r="875" spans="1:35" s="33" customFormat="1" ht="15.75">
      <c r="A875" s="178"/>
      <c r="B875" s="166"/>
      <c r="C875" s="125"/>
      <c r="D875" s="125"/>
      <c r="E875" s="32"/>
      <c r="F875"/>
      <c r="G875"/>
      <c r="H875"/>
      <c r="I875"/>
      <c r="J875"/>
      <c r="K875"/>
      <c r="L875"/>
      <c r="M875"/>
      <c r="N875"/>
      <c r="O875"/>
      <c r="P875"/>
      <c r="Q875"/>
      <c r="R875"/>
      <c r="S875"/>
      <c r="T875"/>
      <c r="U875"/>
      <c r="V875"/>
      <c r="W875"/>
      <c r="X875"/>
      <c r="Y875"/>
      <c r="Z875"/>
      <c r="AA875"/>
      <c r="AB875"/>
      <c r="AC875"/>
      <c r="AD875"/>
      <c r="AE875"/>
      <c r="AF875"/>
      <c r="AG875"/>
      <c r="AH875"/>
      <c r="AI875"/>
    </row>
    <row r="876" spans="1:35" s="33" customFormat="1" ht="15.75">
      <c r="A876" s="178"/>
      <c r="B876" s="166"/>
      <c r="C876" s="125"/>
      <c r="D876" s="125"/>
      <c r="E876" s="32"/>
      <c r="F876"/>
      <c r="G876"/>
      <c r="H876"/>
      <c r="I876"/>
      <c r="J876"/>
      <c r="K876"/>
      <c r="L876"/>
      <c r="M876"/>
      <c r="N876"/>
      <c r="O876"/>
      <c r="P876"/>
      <c r="Q876"/>
      <c r="R876"/>
      <c r="S876"/>
      <c r="T876"/>
      <c r="U876"/>
      <c r="V876"/>
      <c r="W876"/>
      <c r="X876"/>
      <c r="Y876"/>
      <c r="Z876"/>
      <c r="AA876"/>
      <c r="AB876"/>
      <c r="AC876"/>
      <c r="AD876"/>
      <c r="AE876"/>
      <c r="AF876"/>
      <c r="AG876"/>
      <c r="AH876"/>
      <c r="AI876"/>
    </row>
    <row r="877" spans="1:35" s="33" customFormat="1" ht="15.75">
      <c r="A877" s="178"/>
      <c r="B877" s="166"/>
      <c r="C877" s="125"/>
      <c r="D877" s="125"/>
      <c r="E877" s="32"/>
      <c r="F877"/>
      <c r="G877"/>
      <c r="H877"/>
      <c r="I877"/>
      <c r="J877"/>
      <c r="K877"/>
      <c r="L877"/>
      <c r="M877"/>
      <c r="N877"/>
      <c r="O877"/>
      <c r="P877"/>
      <c r="Q877"/>
      <c r="R877"/>
      <c r="S877"/>
      <c r="T877"/>
      <c r="U877"/>
      <c r="V877"/>
      <c r="W877"/>
      <c r="X877"/>
      <c r="Y877"/>
      <c r="Z877"/>
      <c r="AA877"/>
      <c r="AB877"/>
      <c r="AC877"/>
      <c r="AD877"/>
      <c r="AE877"/>
      <c r="AF877"/>
      <c r="AG877"/>
      <c r="AH877"/>
      <c r="AI877"/>
    </row>
    <row r="878" spans="1:35" s="33" customFormat="1" ht="15.75">
      <c r="A878" s="178"/>
      <c r="B878" s="166"/>
      <c r="C878" s="125"/>
      <c r="D878" s="125"/>
      <c r="E878" s="32"/>
      <c r="F878"/>
      <c r="G878"/>
      <c r="H878"/>
      <c r="I878"/>
      <c r="J878"/>
      <c r="K878"/>
      <c r="L878"/>
      <c r="M878"/>
      <c r="N878"/>
      <c r="O878"/>
      <c r="P878"/>
      <c r="Q878"/>
      <c r="R878"/>
      <c r="S878"/>
      <c r="T878"/>
      <c r="U878"/>
      <c r="V878"/>
      <c r="W878"/>
      <c r="X878"/>
      <c r="Y878"/>
      <c r="Z878"/>
      <c r="AA878"/>
      <c r="AB878"/>
      <c r="AC878"/>
      <c r="AD878"/>
      <c r="AE878"/>
      <c r="AF878"/>
      <c r="AG878"/>
      <c r="AH878"/>
      <c r="AI878"/>
    </row>
    <row r="879" spans="1:35" s="33" customFormat="1" ht="15.75">
      <c r="A879" s="178"/>
      <c r="B879" s="166"/>
      <c r="C879" s="125"/>
      <c r="D879" s="125"/>
      <c r="E879" s="32"/>
      <c r="F879"/>
      <c r="G879"/>
      <c r="H879"/>
      <c r="I879"/>
      <c r="J879"/>
      <c r="K879"/>
      <c r="L879"/>
      <c r="M879"/>
      <c r="N879"/>
      <c r="O879"/>
      <c r="P879"/>
      <c r="Q879"/>
      <c r="R879"/>
      <c r="S879"/>
      <c r="T879"/>
      <c r="U879"/>
      <c r="V879"/>
      <c r="W879"/>
      <c r="X879"/>
      <c r="Y879"/>
      <c r="Z879"/>
      <c r="AA879"/>
      <c r="AB879"/>
      <c r="AC879"/>
      <c r="AD879"/>
      <c r="AE879"/>
      <c r="AF879"/>
      <c r="AG879"/>
      <c r="AH879"/>
      <c r="AI879"/>
    </row>
    <row r="880" spans="1:35" s="33" customFormat="1" ht="15.75">
      <c r="A880" s="178"/>
      <c r="B880" s="166"/>
      <c r="C880" s="125"/>
      <c r="D880" s="125"/>
      <c r="E880" s="32"/>
      <c r="F880"/>
      <c r="G880"/>
      <c r="H880"/>
      <c r="I880"/>
      <c r="J880"/>
      <c r="K880"/>
      <c r="L880"/>
      <c r="M880"/>
      <c r="N880"/>
      <c r="O880"/>
      <c r="P880"/>
      <c r="Q880"/>
      <c r="R880"/>
      <c r="S880"/>
      <c r="T880"/>
      <c r="U880"/>
      <c r="V880"/>
      <c r="W880"/>
      <c r="X880"/>
      <c r="Y880"/>
      <c r="Z880"/>
      <c r="AA880"/>
      <c r="AB880"/>
      <c r="AC880"/>
      <c r="AD880"/>
      <c r="AE880"/>
      <c r="AF880"/>
      <c r="AG880"/>
      <c r="AH880"/>
      <c r="AI880"/>
    </row>
    <row r="881" spans="1:35" s="33" customFormat="1" ht="15.75">
      <c r="A881" s="178"/>
      <c r="B881" s="166"/>
      <c r="C881" s="125"/>
      <c r="D881" s="125"/>
      <c r="E881" s="32"/>
      <c r="F881"/>
      <c r="G881"/>
      <c r="H881"/>
      <c r="I881"/>
      <c r="J881"/>
      <c r="K881"/>
      <c r="L881"/>
      <c r="M881"/>
      <c r="N881"/>
      <c r="O881"/>
      <c r="P881"/>
      <c r="Q881"/>
      <c r="R881"/>
      <c r="S881"/>
      <c r="T881"/>
      <c r="U881"/>
      <c r="V881"/>
      <c r="W881"/>
      <c r="X881"/>
      <c r="Y881"/>
      <c r="Z881"/>
      <c r="AA881"/>
      <c r="AB881"/>
      <c r="AC881"/>
      <c r="AD881"/>
      <c r="AE881"/>
      <c r="AF881"/>
      <c r="AG881"/>
      <c r="AH881"/>
      <c r="AI881"/>
    </row>
    <row r="882" spans="1:35" s="33" customFormat="1" ht="15.75">
      <c r="A882" s="178"/>
      <c r="B882" s="166"/>
      <c r="C882" s="125"/>
      <c r="D882" s="125"/>
      <c r="E882" s="32"/>
      <c r="F882"/>
      <c r="G882"/>
      <c r="H882"/>
      <c r="I882"/>
      <c r="J882"/>
      <c r="K882"/>
      <c r="L882"/>
      <c r="M882"/>
      <c r="N882"/>
      <c r="O882"/>
      <c r="P882"/>
      <c r="Q882"/>
      <c r="R882"/>
      <c r="S882"/>
      <c r="T882"/>
      <c r="U882"/>
      <c r="V882"/>
      <c r="W882"/>
      <c r="X882"/>
      <c r="Y882"/>
      <c r="Z882"/>
      <c r="AA882"/>
      <c r="AB882"/>
      <c r="AC882"/>
      <c r="AD882"/>
      <c r="AE882"/>
      <c r="AF882"/>
      <c r="AG882"/>
      <c r="AH882"/>
      <c r="AI882"/>
    </row>
    <row r="883" spans="1:35" s="33" customFormat="1" ht="15.75">
      <c r="A883" s="178"/>
      <c r="B883" s="166"/>
      <c r="C883" s="125"/>
      <c r="D883" s="125"/>
      <c r="E883" s="32"/>
      <c r="F883"/>
      <c r="G883"/>
      <c r="H883"/>
      <c r="I883"/>
      <c r="J883"/>
      <c r="K883"/>
      <c r="L883"/>
      <c r="M883"/>
      <c r="N883"/>
      <c r="O883"/>
      <c r="P883"/>
      <c r="Q883"/>
      <c r="R883"/>
      <c r="S883"/>
      <c r="T883"/>
      <c r="U883"/>
      <c r="V883"/>
      <c r="W883"/>
      <c r="X883"/>
      <c r="Y883"/>
      <c r="Z883"/>
      <c r="AA883"/>
      <c r="AB883"/>
      <c r="AC883"/>
      <c r="AD883"/>
      <c r="AE883"/>
      <c r="AF883"/>
      <c r="AG883"/>
      <c r="AH883"/>
      <c r="AI883"/>
    </row>
    <row r="884" spans="1:35" s="33" customFormat="1" ht="15.75">
      <c r="A884" s="178"/>
      <c r="B884" s="166"/>
      <c r="C884" s="125"/>
      <c r="D884" s="125"/>
      <c r="E884" s="32"/>
      <c r="F884"/>
      <c r="G884"/>
      <c r="H884"/>
      <c r="I884"/>
      <c r="J884"/>
      <c r="K884"/>
      <c r="L884"/>
      <c r="M884"/>
      <c r="N884"/>
      <c r="O884"/>
      <c r="P884"/>
      <c r="Q884"/>
      <c r="R884"/>
      <c r="S884"/>
      <c r="T884"/>
      <c r="U884"/>
      <c r="V884"/>
      <c r="W884"/>
      <c r="X884"/>
      <c r="Y884"/>
      <c r="Z884"/>
      <c r="AA884"/>
      <c r="AB884"/>
      <c r="AC884"/>
      <c r="AD884"/>
      <c r="AE884"/>
      <c r="AF884"/>
      <c r="AG884"/>
      <c r="AH884"/>
      <c r="AI884"/>
    </row>
    <row r="885" spans="1:35" s="33" customFormat="1" ht="15.75">
      <c r="A885" s="178"/>
      <c r="B885" s="166"/>
      <c r="C885" s="125"/>
      <c r="D885" s="125"/>
      <c r="E885" s="32"/>
      <c r="F885"/>
      <c r="G885"/>
      <c r="H885"/>
      <c r="I885"/>
      <c r="J885"/>
      <c r="K885"/>
      <c r="L885"/>
      <c r="M885"/>
      <c r="N885"/>
      <c r="O885"/>
      <c r="P885"/>
      <c r="Q885"/>
      <c r="R885"/>
      <c r="S885"/>
      <c r="T885"/>
      <c r="U885"/>
      <c r="V885"/>
      <c r="W885"/>
      <c r="X885"/>
      <c r="Y885"/>
      <c r="Z885"/>
      <c r="AA885"/>
      <c r="AB885"/>
      <c r="AC885"/>
      <c r="AD885"/>
      <c r="AE885"/>
      <c r="AF885"/>
      <c r="AG885"/>
      <c r="AH885"/>
      <c r="AI885"/>
    </row>
    <row r="886" spans="1:35" s="33" customFormat="1" ht="15.75">
      <c r="A886" s="178"/>
      <c r="B886" s="166"/>
      <c r="C886" s="125"/>
      <c r="D886" s="125"/>
      <c r="E886" s="32"/>
      <c r="F886"/>
      <c r="G886"/>
      <c r="H886"/>
      <c r="I886"/>
      <c r="J886"/>
      <c r="K886"/>
      <c r="L886"/>
      <c r="M886"/>
      <c r="N886"/>
      <c r="O886"/>
      <c r="P886"/>
      <c r="Q886"/>
      <c r="R886"/>
      <c r="S886"/>
      <c r="T886"/>
      <c r="U886"/>
      <c r="V886"/>
      <c r="W886"/>
      <c r="X886"/>
      <c r="Y886"/>
      <c r="Z886"/>
      <c r="AA886"/>
      <c r="AB886"/>
      <c r="AC886"/>
      <c r="AD886"/>
      <c r="AE886"/>
      <c r="AF886"/>
      <c r="AG886"/>
      <c r="AH886"/>
      <c r="AI886"/>
    </row>
    <row r="887" spans="1:35" s="33" customFormat="1" ht="15.75">
      <c r="A887" s="178"/>
      <c r="B887" s="166"/>
      <c r="C887" s="125"/>
      <c r="D887" s="125"/>
      <c r="E887" s="32"/>
      <c r="F887"/>
      <c r="G887"/>
      <c r="H887"/>
      <c r="I887"/>
      <c r="J887"/>
      <c r="K887"/>
      <c r="L887"/>
      <c r="M887"/>
      <c r="N887"/>
      <c r="O887"/>
      <c r="P887"/>
      <c r="Q887"/>
      <c r="R887"/>
      <c r="S887"/>
      <c r="T887"/>
      <c r="U887"/>
      <c r="V887"/>
      <c r="W887"/>
      <c r="X887"/>
      <c r="Y887"/>
      <c r="Z887"/>
      <c r="AA887"/>
      <c r="AB887"/>
      <c r="AC887"/>
      <c r="AD887"/>
      <c r="AE887"/>
      <c r="AF887"/>
      <c r="AG887"/>
      <c r="AH887"/>
      <c r="AI887"/>
    </row>
    <row r="888" spans="1:35" s="33" customFormat="1" ht="15.75">
      <c r="A888" s="178"/>
      <c r="B888" s="166"/>
      <c r="C888" s="125"/>
      <c r="D888" s="125"/>
      <c r="E888" s="32"/>
      <c r="F888"/>
      <c r="G888"/>
      <c r="H888"/>
      <c r="I888"/>
      <c r="J888"/>
      <c r="K888"/>
      <c r="L888"/>
      <c r="M888"/>
      <c r="N888"/>
      <c r="O888"/>
      <c r="P888"/>
      <c r="Q888"/>
      <c r="R888"/>
      <c r="S888"/>
      <c r="T888"/>
      <c r="U888"/>
      <c r="V888"/>
      <c r="W888"/>
      <c r="X888"/>
      <c r="Y888"/>
      <c r="Z888"/>
      <c r="AA888"/>
      <c r="AB888"/>
      <c r="AC888"/>
      <c r="AD888"/>
      <c r="AE888"/>
      <c r="AF888"/>
      <c r="AG888"/>
      <c r="AH888"/>
      <c r="AI888"/>
    </row>
    <row r="889" spans="1:35" s="33" customFormat="1" ht="15.75">
      <c r="A889" s="178"/>
      <c r="B889" s="166"/>
      <c r="C889" s="125"/>
      <c r="D889" s="125"/>
      <c r="E889" s="32"/>
      <c r="F889"/>
      <c r="G889"/>
      <c r="H889"/>
      <c r="I889"/>
      <c r="J889"/>
      <c r="K889"/>
      <c r="L889"/>
      <c r="M889"/>
      <c r="N889"/>
      <c r="O889"/>
      <c r="P889"/>
      <c r="Q889"/>
      <c r="R889"/>
      <c r="S889"/>
      <c r="T889"/>
      <c r="U889"/>
      <c r="V889"/>
      <c r="W889"/>
      <c r="X889"/>
      <c r="Y889"/>
      <c r="Z889"/>
      <c r="AA889"/>
      <c r="AB889"/>
      <c r="AC889"/>
      <c r="AD889"/>
      <c r="AE889"/>
      <c r="AF889"/>
      <c r="AG889"/>
      <c r="AH889"/>
      <c r="AI889"/>
    </row>
    <row r="890" spans="1:35" s="33" customFormat="1" ht="15.75">
      <c r="A890" s="178"/>
      <c r="B890" s="166"/>
      <c r="C890" s="125"/>
      <c r="D890" s="125"/>
      <c r="E890" s="32"/>
      <c r="F890"/>
      <c r="G890"/>
      <c r="H890"/>
      <c r="I890"/>
      <c r="J890"/>
      <c r="K890"/>
      <c r="L890"/>
      <c r="M890"/>
      <c r="N890"/>
      <c r="O890"/>
      <c r="P890"/>
      <c r="Q890"/>
      <c r="R890"/>
      <c r="S890"/>
      <c r="T890"/>
      <c r="U890"/>
      <c r="V890"/>
      <c r="W890"/>
      <c r="X890"/>
      <c r="Y890"/>
      <c r="Z890"/>
      <c r="AA890"/>
      <c r="AB890"/>
      <c r="AC890"/>
      <c r="AD890"/>
      <c r="AE890"/>
      <c r="AF890"/>
      <c r="AG890"/>
      <c r="AH890"/>
      <c r="AI890"/>
    </row>
    <row r="891" spans="1:35" s="33" customFormat="1" ht="15.75">
      <c r="A891" s="178"/>
      <c r="B891" s="166"/>
      <c r="C891" s="125"/>
      <c r="D891" s="125"/>
      <c r="E891" s="32"/>
      <c r="F891"/>
      <c r="G891"/>
      <c r="H891"/>
      <c r="I891"/>
      <c r="J891"/>
      <c r="K891"/>
      <c r="L891"/>
      <c r="M891"/>
      <c r="N891"/>
      <c r="O891"/>
      <c r="P891"/>
      <c r="Q891"/>
      <c r="R891"/>
      <c r="S891"/>
      <c r="T891"/>
      <c r="U891"/>
      <c r="V891"/>
      <c r="W891"/>
      <c r="X891"/>
      <c r="Y891"/>
      <c r="Z891"/>
      <c r="AA891"/>
      <c r="AB891"/>
      <c r="AC891"/>
      <c r="AD891"/>
      <c r="AE891"/>
      <c r="AF891"/>
      <c r="AG891"/>
      <c r="AH891"/>
      <c r="AI891"/>
    </row>
    <row r="892" spans="1:35" s="33" customFormat="1" ht="15.75">
      <c r="A892" s="178"/>
      <c r="B892" s="166"/>
      <c r="C892" s="125"/>
      <c r="D892" s="125"/>
      <c r="E892" s="32"/>
      <c r="F892"/>
      <c r="G892"/>
      <c r="H892"/>
      <c r="I892"/>
      <c r="J892"/>
      <c r="K892"/>
      <c r="L892"/>
      <c r="M892"/>
      <c r="N892"/>
      <c r="O892"/>
      <c r="P892"/>
      <c r="Q892"/>
      <c r="R892"/>
      <c r="S892"/>
      <c r="T892"/>
      <c r="U892"/>
      <c r="V892"/>
      <c r="W892"/>
      <c r="X892"/>
      <c r="Y892"/>
      <c r="Z892"/>
      <c r="AA892"/>
      <c r="AB892"/>
      <c r="AC892"/>
      <c r="AD892"/>
      <c r="AE892"/>
      <c r="AF892"/>
      <c r="AG892"/>
      <c r="AH892"/>
      <c r="AI892"/>
    </row>
    <row r="893" spans="1:35" s="33" customFormat="1" ht="15.75">
      <c r="A893" s="178"/>
      <c r="B893" s="166"/>
      <c r="C893" s="125"/>
      <c r="D893" s="125"/>
      <c r="E893" s="32"/>
      <c r="F893"/>
      <c r="G893"/>
      <c r="H893"/>
      <c r="I893"/>
      <c r="J893"/>
      <c r="K893"/>
      <c r="L893"/>
      <c r="M893"/>
      <c r="N893"/>
      <c r="O893"/>
      <c r="P893"/>
      <c r="Q893"/>
      <c r="R893"/>
      <c r="S893"/>
      <c r="T893"/>
      <c r="U893"/>
      <c r="V893"/>
      <c r="W893"/>
      <c r="X893"/>
      <c r="Y893"/>
      <c r="Z893"/>
      <c r="AA893"/>
      <c r="AB893"/>
      <c r="AC893"/>
      <c r="AD893"/>
      <c r="AE893"/>
      <c r="AF893"/>
      <c r="AG893"/>
      <c r="AH893"/>
      <c r="AI893"/>
    </row>
    <row r="894" spans="1:35" s="33" customFormat="1" ht="15.75">
      <c r="A894" s="178"/>
      <c r="B894" s="166"/>
      <c r="C894" s="125"/>
      <c r="D894" s="125"/>
      <c r="E894" s="32"/>
      <c r="F894"/>
      <c r="G894"/>
      <c r="H894"/>
      <c r="I894"/>
      <c r="J894"/>
      <c r="K894"/>
      <c r="L894"/>
      <c r="M894"/>
      <c r="N894"/>
      <c r="O894"/>
      <c r="P894"/>
      <c r="Q894"/>
      <c r="R894"/>
      <c r="S894"/>
      <c r="T894"/>
      <c r="U894"/>
      <c r="V894"/>
      <c r="W894"/>
      <c r="X894"/>
      <c r="Y894"/>
      <c r="Z894"/>
      <c r="AA894"/>
      <c r="AB894"/>
      <c r="AC894"/>
      <c r="AD894"/>
      <c r="AE894"/>
      <c r="AF894"/>
      <c r="AG894"/>
      <c r="AH894"/>
      <c r="AI894"/>
    </row>
    <row r="895" spans="1:35" s="33" customFormat="1" ht="15.75">
      <c r="A895" s="178"/>
      <c r="B895" s="166"/>
      <c r="C895" s="125"/>
      <c r="D895" s="125"/>
      <c r="E895" s="32"/>
      <c r="F895"/>
      <c r="G895"/>
      <c r="H895"/>
      <c r="I895"/>
      <c r="J895"/>
      <c r="K895"/>
      <c r="L895"/>
      <c r="M895"/>
      <c r="N895"/>
      <c r="O895"/>
      <c r="P895"/>
      <c r="Q895"/>
      <c r="R895"/>
      <c r="S895"/>
      <c r="T895"/>
      <c r="U895"/>
      <c r="V895"/>
      <c r="W895"/>
      <c r="X895"/>
      <c r="Y895"/>
      <c r="Z895"/>
      <c r="AA895"/>
      <c r="AB895"/>
      <c r="AC895"/>
      <c r="AD895"/>
      <c r="AE895"/>
      <c r="AF895"/>
      <c r="AG895"/>
      <c r="AH895"/>
      <c r="AI895"/>
    </row>
    <row r="896" spans="1:35" s="33" customFormat="1" ht="15.75">
      <c r="A896" s="178"/>
      <c r="B896" s="166"/>
      <c r="C896" s="125"/>
      <c r="D896" s="125"/>
      <c r="E896" s="32"/>
      <c r="F896"/>
      <c r="G896"/>
      <c r="H896"/>
      <c r="I896"/>
      <c r="J896"/>
      <c r="K896"/>
      <c r="L896"/>
      <c r="M896"/>
      <c r="N896"/>
      <c r="O896"/>
      <c r="P896"/>
      <c r="Q896"/>
      <c r="R896"/>
      <c r="S896"/>
      <c r="T896"/>
      <c r="U896"/>
      <c r="V896"/>
      <c r="W896"/>
      <c r="X896"/>
      <c r="Y896"/>
      <c r="Z896"/>
      <c r="AA896"/>
      <c r="AB896"/>
      <c r="AC896"/>
      <c r="AD896"/>
      <c r="AE896"/>
      <c r="AF896"/>
      <c r="AG896"/>
      <c r="AH896"/>
      <c r="AI896"/>
    </row>
    <row r="897" spans="1:35" s="33" customFormat="1" ht="15.75">
      <c r="A897" s="178"/>
      <c r="B897" s="166"/>
      <c r="C897" s="125"/>
      <c r="D897" s="125"/>
      <c r="E897" s="32"/>
      <c r="F897"/>
      <c r="G897"/>
      <c r="H897"/>
      <c r="I897"/>
      <c r="J897"/>
      <c r="K897"/>
      <c r="L897"/>
      <c r="M897"/>
      <c r="N897"/>
      <c r="O897"/>
      <c r="P897"/>
      <c r="Q897"/>
      <c r="R897"/>
      <c r="S897"/>
      <c r="T897"/>
      <c r="U897"/>
      <c r="V897"/>
      <c r="W897"/>
      <c r="X897"/>
      <c r="Y897"/>
      <c r="Z897"/>
      <c r="AA897"/>
      <c r="AB897"/>
      <c r="AC897"/>
      <c r="AD897"/>
      <c r="AE897"/>
      <c r="AF897"/>
      <c r="AG897"/>
      <c r="AH897"/>
      <c r="AI897"/>
    </row>
    <row r="898" spans="1:35" s="33" customFormat="1" ht="15.75">
      <c r="A898" s="178"/>
      <c r="B898" s="166"/>
      <c r="C898" s="125"/>
      <c r="D898" s="125"/>
      <c r="E898" s="32"/>
      <c r="F898"/>
      <c r="G898"/>
      <c r="H898"/>
      <c r="I898"/>
      <c r="J898"/>
      <c r="K898"/>
      <c r="L898"/>
      <c r="M898"/>
      <c r="N898"/>
      <c r="O898"/>
      <c r="P898"/>
      <c r="Q898"/>
      <c r="R898"/>
      <c r="S898"/>
      <c r="T898"/>
      <c r="U898"/>
      <c r="V898"/>
      <c r="W898"/>
      <c r="X898"/>
      <c r="Y898"/>
      <c r="Z898"/>
      <c r="AA898"/>
      <c r="AB898"/>
      <c r="AC898"/>
      <c r="AD898"/>
      <c r="AE898"/>
      <c r="AF898"/>
      <c r="AG898"/>
      <c r="AH898"/>
      <c r="AI898"/>
    </row>
    <row r="899" spans="1:35" s="33" customFormat="1" ht="15.75">
      <c r="A899" s="178"/>
      <c r="B899" s="166"/>
      <c r="C899" s="125"/>
      <c r="D899" s="125"/>
      <c r="E899" s="32"/>
      <c r="F899"/>
      <c r="G899"/>
      <c r="H899"/>
      <c r="I899"/>
      <c r="J899"/>
      <c r="K899"/>
      <c r="L899"/>
      <c r="M899"/>
      <c r="N899"/>
      <c r="O899"/>
      <c r="P899"/>
      <c r="Q899"/>
      <c r="R899"/>
      <c r="S899"/>
      <c r="T899"/>
      <c r="U899"/>
      <c r="V899"/>
      <c r="W899"/>
      <c r="X899"/>
      <c r="Y899"/>
      <c r="Z899"/>
      <c r="AA899"/>
      <c r="AB899"/>
      <c r="AC899"/>
      <c r="AD899"/>
      <c r="AE899"/>
      <c r="AF899"/>
      <c r="AG899"/>
      <c r="AH899"/>
      <c r="AI899"/>
    </row>
    <row r="900" spans="1:35" s="33" customFormat="1" ht="15.75">
      <c r="A900" s="178"/>
      <c r="B900" s="166"/>
      <c r="C900" s="125"/>
      <c r="D900" s="125"/>
      <c r="E900" s="32"/>
      <c r="F900"/>
      <c r="G900"/>
      <c r="H900"/>
      <c r="I900"/>
      <c r="J900"/>
      <c r="K900"/>
      <c r="L900"/>
      <c r="M900"/>
      <c r="N900"/>
      <c r="O900"/>
      <c r="P900"/>
      <c r="Q900"/>
      <c r="R900"/>
      <c r="S900"/>
      <c r="T900"/>
      <c r="U900"/>
      <c r="V900"/>
      <c r="W900"/>
      <c r="X900"/>
      <c r="Y900"/>
      <c r="Z900"/>
      <c r="AA900"/>
      <c r="AB900"/>
      <c r="AC900"/>
      <c r="AD900"/>
      <c r="AE900"/>
      <c r="AF900"/>
      <c r="AG900"/>
      <c r="AH900"/>
      <c r="AI900"/>
    </row>
    <row r="901" spans="1:35" s="33" customFormat="1" ht="15.75">
      <c r="A901" s="178"/>
      <c r="B901" s="166"/>
      <c r="C901" s="125"/>
      <c r="D901" s="125"/>
      <c r="E901" s="32"/>
      <c r="F901"/>
      <c r="G901"/>
      <c r="H901"/>
      <c r="I901"/>
      <c r="J901"/>
      <c r="K901"/>
      <c r="L901"/>
      <c r="M901"/>
      <c r="N901"/>
      <c r="O901"/>
      <c r="P901"/>
      <c r="Q901"/>
      <c r="R901"/>
      <c r="S901"/>
      <c r="T901"/>
      <c r="U901"/>
      <c r="V901"/>
      <c r="W901"/>
      <c r="X901"/>
      <c r="Y901"/>
      <c r="Z901"/>
      <c r="AA901"/>
      <c r="AB901"/>
      <c r="AC901"/>
      <c r="AD901"/>
      <c r="AE901"/>
      <c r="AF901"/>
      <c r="AG901"/>
      <c r="AH901"/>
      <c r="AI901"/>
    </row>
    <row r="902" spans="1:35" s="33" customFormat="1" ht="15.75">
      <c r="A902" s="178"/>
      <c r="B902" s="166"/>
      <c r="C902" s="125"/>
      <c r="D902" s="125"/>
      <c r="E902" s="32"/>
      <c r="F902"/>
      <c r="G902"/>
      <c r="H902"/>
      <c r="I902"/>
      <c r="J902"/>
      <c r="K902"/>
      <c r="L902"/>
      <c r="M902"/>
      <c r="N902"/>
      <c r="O902"/>
      <c r="P902"/>
      <c r="Q902"/>
      <c r="R902"/>
      <c r="S902"/>
      <c r="T902"/>
      <c r="U902"/>
      <c r="V902"/>
      <c r="W902"/>
      <c r="X902"/>
      <c r="Y902"/>
      <c r="Z902"/>
      <c r="AA902"/>
      <c r="AB902"/>
      <c r="AC902"/>
      <c r="AD902"/>
      <c r="AE902"/>
      <c r="AF902"/>
      <c r="AG902"/>
      <c r="AH902"/>
      <c r="AI902"/>
    </row>
    <row r="903" spans="1:35" s="33" customFormat="1" ht="15.75">
      <c r="A903" s="178"/>
      <c r="B903" s="166"/>
      <c r="C903" s="125"/>
      <c r="D903" s="125"/>
      <c r="E903" s="32"/>
      <c r="F903"/>
      <c r="G903"/>
      <c r="H903"/>
      <c r="I903"/>
      <c r="J903"/>
      <c r="K903"/>
      <c r="L903"/>
      <c r="M903"/>
      <c r="N903"/>
      <c r="O903"/>
      <c r="P903"/>
      <c r="Q903"/>
      <c r="R903"/>
      <c r="S903"/>
      <c r="T903"/>
      <c r="U903"/>
      <c r="V903"/>
      <c r="W903"/>
      <c r="X903"/>
      <c r="Y903"/>
      <c r="Z903"/>
      <c r="AA903"/>
      <c r="AB903"/>
      <c r="AC903"/>
      <c r="AD903"/>
      <c r="AE903"/>
      <c r="AF903"/>
      <c r="AG903"/>
      <c r="AH903"/>
      <c r="AI903"/>
    </row>
    <row r="904" spans="1:35" s="33" customFormat="1" ht="15.75">
      <c r="A904" s="178"/>
      <c r="B904" s="166"/>
      <c r="C904" s="125"/>
      <c r="D904" s="125"/>
      <c r="E904" s="32"/>
      <c r="F904"/>
      <c r="G904"/>
      <c r="H904"/>
      <c r="I904"/>
      <c r="J904"/>
      <c r="K904"/>
      <c r="L904"/>
      <c r="M904"/>
      <c r="N904"/>
      <c r="O904"/>
      <c r="P904"/>
      <c r="Q904"/>
      <c r="R904"/>
      <c r="S904"/>
      <c r="T904"/>
      <c r="U904"/>
      <c r="V904"/>
      <c r="W904"/>
      <c r="X904"/>
      <c r="Y904"/>
      <c r="Z904"/>
      <c r="AA904"/>
      <c r="AB904"/>
      <c r="AC904"/>
      <c r="AD904"/>
      <c r="AE904"/>
      <c r="AF904"/>
      <c r="AG904"/>
      <c r="AH904"/>
      <c r="AI904"/>
    </row>
    <row r="905" spans="1:35" s="33" customFormat="1" ht="15.75">
      <c r="A905" s="178"/>
      <c r="B905" s="166"/>
      <c r="C905" s="125"/>
      <c r="D905" s="125"/>
      <c r="E905" s="32"/>
      <c r="F905"/>
      <c r="G905"/>
      <c r="H905"/>
      <c r="I905"/>
      <c r="J905"/>
      <c r="K905"/>
      <c r="L905"/>
      <c r="M905"/>
      <c r="N905"/>
      <c r="O905"/>
      <c r="P905"/>
      <c r="Q905"/>
      <c r="R905"/>
      <c r="S905"/>
      <c r="T905"/>
      <c r="U905"/>
      <c r="V905"/>
      <c r="W905"/>
      <c r="X905"/>
      <c r="Y905"/>
      <c r="Z905"/>
      <c r="AA905"/>
      <c r="AB905"/>
      <c r="AC905"/>
      <c r="AD905"/>
      <c r="AE905"/>
      <c r="AF905"/>
      <c r="AG905"/>
      <c r="AH905"/>
      <c r="AI905"/>
    </row>
    <row r="906" spans="1:35" s="33" customFormat="1" ht="15.75">
      <c r="A906" s="178"/>
      <c r="B906" s="166"/>
      <c r="C906" s="125"/>
      <c r="D906" s="125"/>
      <c r="E906" s="32"/>
      <c r="F906"/>
      <c r="G906"/>
      <c r="H906"/>
      <c r="I906"/>
      <c r="J906"/>
      <c r="K906"/>
      <c r="L906"/>
      <c r="M906"/>
      <c r="N906"/>
      <c r="O906"/>
      <c r="P906"/>
      <c r="Q906"/>
      <c r="R906"/>
      <c r="S906"/>
      <c r="T906"/>
      <c r="U906"/>
      <c r="V906"/>
      <c r="W906"/>
      <c r="X906"/>
      <c r="Y906"/>
      <c r="Z906"/>
      <c r="AA906"/>
      <c r="AB906"/>
      <c r="AC906"/>
      <c r="AD906"/>
      <c r="AE906"/>
      <c r="AF906"/>
      <c r="AG906"/>
      <c r="AH906"/>
      <c r="AI906"/>
    </row>
    <row r="907" spans="1:35" s="33" customFormat="1" ht="15.75">
      <c r="A907" s="178"/>
      <c r="B907" s="166"/>
      <c r="C907" s="125"/>
      <c r="D907" s="125"/>
      <c r="E907" s="32"/>
      <c r="F907"/>
      <c r="G907"/>
      <c r="H907"/>
      <c r="I907"/>
      <c r="J907"/>
      <c r="K907"/>
      <c r="L907"/>
      <c r="M907"/>
      <c r="N907"/>
      <c r="O907"/>
      <c r="P907"/>
      <c r="Q907"/>
      <c r="R907"/>
      <c r="S907"/>
      <c r="T907"/>
      <c r="U907"/>
      <c r="V907"/>
      <c r="W907"/>
      <c r="X907"/>
      <c r="Y907"/>
      <c r="Z907"/>
      <c r="AA907"/>
      <c r="AB907"/>
      <c r="AC907"/>
      <c r="AD907"/>
      <c r="AE907"/>
      <c r="AF907"/>
      <c r="AG907"/>
      <c r="AH907"/>
      <c r="AI907"/>
    </row>
    <row r="908" spans="1:35" s="33" customFormat="1" ht="15.75">
      <c r="A908" s="178"/>
      <c r="B908" s="166"/>
      <c r="C908" s="125"/>
      <c r="D908" s="125"/>
      <c r="E908" s="32"/>
      <c r="F908"/>
      <c r="G908"/>
      <c r="H908"/>
      <c r="I908"/>
      <c r="J908"/>
      <c r="K908"/>
      <c r="L908"/>
      <c r="M908"/>
      <c r="N908"/>
      <c r="O908"/>
      <c r="P908"/>
      <c r="Q908"/>
      <c r="R908"/>
      <c r="S908"/>
      <c r="T908"/>
      <c r="U908"/>
      <c r="V908"/>
      <c r="W908"/>
      <c r="X908"/>
      <c r="Y908"/>
      <c r="Z908"/>
      <c r="AA908"/>
      <c r="AB908"/>
      <c r="AC908"/>
      <c r="AD908"/>
      <c r="AE908"/>
      <c r="AF908"/>
      <c r="AG908"/>
      <c r="AH908"/>
      <c r="AI908"/>
    </row>
    <row r="909" spans="1:35" s="33" customFormat="1" ht="15.75">
      <c r="A909" s="178"/>
      <c r="B909" s="166"/>
      <c r="C909" s="125"/>
      <c r="D909" s="125"/>
      <c r="E909" s="32"/>
      <c r="F909"/>
      <c r="G909"/>
      <c r="H909"/>
      <c r="I909"/>
      <c r="J909"/>
      <c r="K909"/>
      <c r="L909"/>
      <c r="M909"/>
      <c r="N909"/>
      <c r="O909"/>
      <c r="P909"/>
      <c r="Q909"/>
      <c r="R909"/>
      <c r="S909"/>
      <c r="T909"/>
      <c r="U909"/>
      <c r="V909"/>
      <c r="W909"/>
      <c r="X909"/>
      <c r="Y909"/>
      <c r="Z909"/>
      <c r="AA909"/>
      <c r="AB909"/>
      <c r="AC909"/>
      <c r="AD909"/>
      <c r="AE909"/>
      <c r="AF909"/>
      <c r="AG909"/>
      <c r="AH909"/>
      <c r="AI909"/>
    </row>
    <row r="910" spans="1:35" s="33" customFormat="1" ht="15.75">
      <c r="A910" s="178"/>
      <c r="B910" s="166"/>
      <c r="C910" s="125"/>
      <c r="D910" s="125"/>
      <c r="E910" s="32"/>
      <c r="F910"/>
      <c r="G910"/>
      <c r="H910"/>
      <c r="I910"/>
      <c r="J910"/>
      <c r="K910"/>
      <c r="L910"/>
      <c r="M910"/>
      <c r="N910"/>
      <c r="O910"/>
      <c r="P910"/>
      <c r="Q910"/>
      <c r="R910"/>
      <c r="S910"/>
      <c r="T910"/>
      <c r="U910"/>
      <c r="V910"/>
      <c r="W910"/>
      <c r="X910"/>
      <c r="Y910"/>
      <c r="Z910"/>
      <c r="AA910"/>
      <c r="AB910"/>
      <c r="AC910"/>
      <c r="AD910"/>
      <c r="AE910"/>
      <c r="AF910"/>
      <c r="AG910"/>
      <c r="AH910"/>
      <c r="AI910"/>
    </row>
    <row r="911" spans="1:35" s="33" customFormat="1" ht="15.75">
      <c r="A911" s="178"/>
      <c r="B911" s="166"/>
      <c r="C911" s="125"/>
      <c r="D911" s="125"/>
      <c r="E911" s="32"/>
      <c r="F911"/>
      <c r="G911"/>
      <c r="H911"/>
      <c r="I911"/>
      <c r="J911"/>
      <c r="K911"/>
      <c r="L911"/>
      <c r="M911"/>
      <c r="N911"/>
      <c r="O911"/>
      <c r="P911"/>
      <c r="Q911"/>
      <c r="R911"/>
      <c r="S911"/>
      <c r="T911"/>
      <c r="U911"/>
      <c r="V911"/>
      <c r="W911"/>
      <c r="X911"/>
      <c r="Y911"/>
      <c r="Z911"/>
      <c r="AA911"/>
      <c r="AB911"/>
      <c r="AC911"/>
      <c r="AD911"/>
      <c r="AE911"/>
      <c r="AF911"/>
      <c r="AG911"/>
      <c r="AH911"/>
      <c r="AI911"/>
    </row>
    <row r="912" spans="1:35" s="33" customFormat="1" ht="15.75">
      <c r="A912" s="178"/>
      <c r="B912" s="166"/>
      <c r="C912" s="125"/>
      <c r="D912" s="125"/>
      <c r="E912" s="32"/>
      <c r="F912"/>
      <c r="G912"/>
      <c r="H912"/>
      <c r="I912"/>
      <c r="J912"/>
      <c r="K912"/>
      <c r="L912"/>
      <c r="M912"/>
      <c r="N912"/>
      <c r="O912"/>
      <c r="P912"/>
      <c r="Q912"/>
      <c r="R912"/>
      <c r="S912"/>
      <c r="T912"/>
      <c r="U912"/>
      <c r="V912"/>
      <c r="W912"/>
      <c r="X912"/>
      <c r="Y912"/>
      <c r="Z912"/>
      <c r="AA912"/>
      <c r="AB912"/>
      <c r="AC912"/>
      <c r="AD912"/>
      <c r="AE912"/>
      <c r="AF912"/>
      <c r="AG912"/>
      <c r="AH912"/>
      <c r="AI912"/>
    </row>
    <row r="913" spans="1:35" s="33" customFormat="1" ht="15.75">
      <c r="A913" s="178"/>
      <c r="B913" s="166"/>
      <c r="C913" s="125"/>
      <c r="D913" s="125"/>
      <c r="E913" s="32"/>
      <c r="F913"/>
      <c r="G913"/>
      <c r="H913"/>
      <c r="I913"/>
      <c r="J913"/>
      <c r="K913"/>
      <c r="L913"/>
      <c r="M913"/>
      <c r="N913"/>
      <c r="O913"/>
      <c r="P913"/>
      <c r="Q913"/>
      <c r="R913"/>
      <c r="S913"/>
      <c r="T913"/>
      <c r="U913"/>
      <c r="V913"/>
      <c r="W913"/>
      <c r="X913"/>
      <c r="Y913"/>
      <c r="Z913"/>
      <c r="AA913"/>
      <c r="AB913"/>
      <c r="AC913"/>
      <c r="AD913"/>
      <c r="AE913"/>
      <c r="AF913"/>
      <c r="AG913"/>
      <c r="AH913"/>
      <c r="AI913"/>
    </row>
    <row r="914" spans="1:35" s="33" customFormat="1" ht="15.75">
      <c r="A914" s="178"/>
      <c r="B914" s="166"/>
      <c r="C914" s="125"/>
      <c r="D914" s="125"/>
      <c r="E914" s="32"/>
      <c r="F914"/>
      <c r="G914"/>
      <c r="H914"/>
      <c r="I914"/>
      <c r="J914"/>
      <c r="K914"/>
      <c r="L914"/>
      <c r="M914"/>
      <c r="N914"/>
      <c r="O914"/>
      <c r="P914"/>
      <c r="Q914"/>
      <c r="R914"/>
      <c r="S914"/>
      <c r="T914"/>
      <c r="U914"/>
      <c r="V914"/>
      <c r="W914"/>
      <c r="X914"/>
      <c r="Y914"/>
      <c r="Z914"/>
      <c r="AA914"/>
      <c r="AB914"/>
      <c r="AC914"/>
      <c r="AD914"/>
      <c r="AE914"/>
      <c r="AF914"/>
      <c r="AG914"/>
      <c r="AH914"/>
      <c r="AI914"/>
    </row>
    <row r="915" spans="1:35" s="33" customFormat="1" ht="15.75">
      <c r="A915" s="178"/>
      <c r="B915" s="166"/>
      <c r="C915" s="125"/>
      <c r="D915" s="125"/>
      <c r="E915" s="32"/>
      <c r="F915"/>
      <c r="G915"/>
      <c r="H915"/>
      <c r="I915"/>
      <c r="J915"/>
      <c r="K915"/>
      <c r="L915"/>
      <c r="M915"/>
      <c r="N915"/>
      <c r="O915"/>
      <c r="P915"/>
      <c r="Q915"/>
      <c r="R915"/>
      <c r="S915"/>
      <c r="T915"/>
      <c r="U915"/>
      <c r="V915"/>
      <c r="W915"/>
      <c r="X915"/>
      <c r="Y915"/>
      <c r="Z915"/>
      <c r="AA915"/>
      <c r="AB915"/>
      <c r="AC915"/>
      <c r="AD915"/>
      <c r="AE915"/>
      <c r="AF915"/>
      <c r="AG915"/>
      <c r="AH915"/>
      <c r="AI915"/>
    </row>
    <row r="916" spans="1:35" s="33" customFormat="1" ht="15.75">
      <c r="A916" s="178"/>
      <c r="B916" s="166"/>
      <c r="C916" s="125"/>
      <c r="D916" s="125"/>
      <c r="E916" s="32"/>
      <c r="F916"/>
      <c r="G916"/>
      <c r="H916"/>
      <c r="I916"/>
      <c r="J916"/>
      <c r="K916"/>
      <c r="L916"/>
      <c r="M916"/>
      <c r="N916"/>
      <c r="O916"/>
      <c r="P916"/>
      <c r="Q916"/>
      <c r="R916"/>
      <c r="S916"/>
      <c r="T916"/>
      <c r="U916"/>
      <c r="V916"/>
      <c r="W916"/>
      <c r="X916"/>
      <c r="Y916"/>
      <c r="Z916"/>
      <c r="AA916"/>
      <c r="AB916"/>
      <c r="AC916"/>
      <c r="AD916"/>
      <c r="AE916"/>
      <c r="AF916"/>
      <c r="AG916"/>
      <c r="AH916"/>
      <c r="AI916"/>
    </row>
    <row r="917" spans="1:35" s="33" customFormat="1" ht="15.75">
      <c r="A917" s="178"/>
      <c r="B917" s="166"/>
      <c r="C917" s="125"/>
      <c r="D917" s="125"/>
      <c r="E917" s="32"/>
      <c r="F917"/>
      <c r="G917"/>
      <c r="H917"/>
      <c r="I917"/>
      <c r="J917"/>
      <c r="K917"/>
      <c r="L917"/>
      <c r="M917"/>
      <c r="N917"/>
      <c r="O917"/>
      <c r="P917"/>
      <c r="Q917"/>
      <c r="R917"/>
      <c r="S917"/>
      <c r="T917"/>
      <c r="U917"/>
      <c r="V917"/>
      <c r="W917"/>
      <c r="X917"/>
      <c r="Y917"/>
      <c r="Z917"/>
      <c r="AA917"/>
      <c r="AB917"/>
      <c r="AC917"/>
      <c r="AD917"/>
      <c r="AE917"/>
      <c r="AF917"/>
      <c r="AG917"/>
      <c r="AH917"/>
      <c r="AI917"/>
    </row>
    <row r="918" spans="1:35" s="33" customFormat="1" ht="15.75">
      <c r="A918" s="178"/>
      <c r="B918" s="166"/>
      <c r="C918" s="125"/>
      <c r="D918" s="125"/>
      <c r="E918" s="32"/>
      <c r="F918"/>
      <c r="G918"/>
      <c r="H918"/>
      <c r="I918"/>
      <c r="J918"/>
      <c r="K918"/>
      <c r="L918"/>
      <c r="M918"/>
      <c r="N918"/>
      <c r="O918"/>
      <c r="P918"/>
      <c r="Q918"/>
      <c r="R918"/>
      <c r="S918"/>
      <c r="T918"/>
      <c r="U918"/>
      <c r="V918"/>
      <c r="W918"/>
      <c r="X918"/>
      <c r="Y918"/>
      <c r="Z918"/>
      <c r="AA918"/>
      <c r="AB918"/>
      <c r="AC918"/>
      <c r="AD918"/>
      <c r="AE918"/>
      <c r="AF918"/>
      <c r="AG918"/>
      <c r="AH918"/>
      <c r="AI918"/>
    </row>
    <row r="919" spans="1:35" s="33" customFormat="1" ht="15.75">
      <c r="A919" s="178"/>
      <c r="B919" s="166"/>
      <c r="C919" s="125"/>
      <c r="D919" s="125"/>
      <c r="E919" s="32"/>
      <c r="F919"/>
      <c r="G919"/>
      <c r="H919"/>
      <c r="I919"/>
      <c r="J919"/>
      <c r="K919"/>
      <c r="L919"/>
      <c r="M919"/>
      <c r="N919"/>
      <c r="O919"/>
      <c r="P919"/>
      <c r="Q919"/>
      <c r="R919"/>
      <c r="S919"/>
      <c r="T919"/>
      <c r="U919"/>
      <c r="V919"/>
      <c r="W919"/>
      <c r="X919"/>
      <c r="Y919"/>
      <c r="Z919"/>
      <c r="AA919"/>
      <c r="AB919"/>
      <c r="AC919"/>
      <c r="AD919"/>
      <c r="AE919"/>
      <c r="AF919"/>
      <c r="AG919"/>
      <c r="AH919"/>
      <c r="AI919"/>
    </row>
    <row r="920" spans="1:35" s="33" customFormat="1" ht="15.75">
      <c r="A920" s="178"/>
      <c r="B920" s="166"/>
      <c r="C920" s="125"/>
      <c r="D920" s="125"/>
      <c r="E920" s="32"/>
      <c r="F920"/>
      <c r="G920"/>
      <c r="H920"/>
      <c r="I920"/>
      <c r="J920"/>
      <c r="K920"/>
      <c r="L920"/>
      <c r="M920"/>
      <c r="N920"/>
      <c r="O920"/>
      <c r="P920"/>
      <c r="Q920"/>
      <c r="R920"/>
      <c r="S920"/>
      <c r="T920"/>
      <c r="U920"/>
      <c r="V920"/>
      <c r="W920"/>
      <c r="X920"/>
      <c r="Y920"/>
      <c r="Z920"/>
      <c r="AA920"/>
      <c r="AB920"/>
      <c r="AC920"/>
      <c r="AD920"/>
      <c r="AE920"/>
      <c r="AF920"/>
      <c r="AG920"/>
      <c r="AH920"/>
      <c r="AI920"/>
    </row>
    <row r="921" spans="1:35" s="33" customFormat="1" ht="15.75">
      <c r="A921" s="178"/>
      <c r="B921" s="166"/>
      <c r="C921" s="125"/>
      <c r="D921" s="125"/>
      <c r="E921" s="32"/>
      <c r="F921"/>
      <c r="G921"/>
      <c r="H921"/>
      <c r="I921"/>
      <c r="J921"/>
      <c r="K921"/>
      <c r="L921"/>
      <c r="M921"/>
      <c r="N921"/>
      <c r="O921"/>
      <c r="P921"/>
      <c r="Q921"/>
      <c r="R921"/>
      <c r="S921"/>
      <c r="T921"/>
      <c r="U921"/>
      <c r="V921"/>
      <c r="W921"/>
      <c r="X921"/>
      <c r="Y921"/>
      <c r="Z921"/>
      <c r="AA921"/>
      <c r="AB921"/>
      <c r="AC921"/>
      <c r="AD921"/>
      <c r="AE921"/>
      <c r="AF921"/>
      <c r="AG921"/>
      <c r="AH921"/>
      <c r="AI921"/>
    </row>
    <row r="922" spans="1:35" s="33" customFormat="1" ht="15.75">
      <c r="A922" s="178"/>
      <c r="B922" s="166"/>
      <c r="C922" s="125"/>
      <c r="D922" s="125"/>
      <c r="E922" s="32"/>
      <c r="F922"/>
      <c r="G922"/>
      <c r="H922"/>
      <c r="I922"/>
      <c r="J922"/>
      <c r="K922"/>
      <c r="L922"/>
      <c r="M922"/>
      <c r="N922"/>
      <c r="O922"/>
      <c r="P922"/>
      <c r="Q922"/>
      <c r="R922"/>
      <c r="S922"/>
      <c r="T922"/>
      <c r="U922"/>
      <c r="V922"/>
      <c r="W922"/>
      <c r="X922"/>
      <c r="Y922"/>
      <c r="Z922"/>
      <c r="AA922"/>
      <c r="AB922"/>
      <c r="AC922"/>
      <c r="AD922"/>
      <c r="AE922"/>
      <c r="AF922"/>
      <c r="AG922"/>
      <c r="AH922"/>
      <c r="AI922"/>
    </row>
    <row r="923" spans="1:35" s="33" customFormat="1" ht="15.75">
      <c r="A923" s="178"/>
      <c r="B923" s="166"/>
      <c r="C923" s="125"/>
      <c r="D923" s="125"/>
      <c r="E923" s="32"/>
      <c r="F923"/>
      <c r="G923"/>
      <c r="H923"/>
      <c r="I923"/>
      <c r="J923"/>
      <c r="K923"/>
      <c r="L923"/>
      <c r="M923"/>
      <c r="N923"/>
      <c r="O923"/>
      <c r="P923"/>
      <c r="Q923"/>
      <c r="R923"/>
      <c r="S923"/>
      <c r="T923"/>
      <c r="U923"/>
      <c r="V923"/>
      <c r="W923"/>
      <c r="X923"/>
      <c r="Y923"/>
      <c r="Z923"/>
      <c r="AA923"/>
      <c r="AB923"/>
      <c r="AC923"/>
      <c r="AD923"/>
      <c r="AE923"/>
      <c r="AF923"/>
      <c r="AG923"/>
      <c r="AH923"/>
      <c r="AI923"/>
    </row>
    <row r="924" spans="1:35" s="33" customFormat="1" ht="15.75">
      <c r="A924" s="178"/>
      <c r="B924" s="166"/>
      <c r="C924" s="125"/>
      <c r="D924" s="125"/>
      <c r="E924" s="32"/>
      <c r="F924"/>
      <c r="G924"/>
      <c r="H924"/>
      <c r="I924"/>
      <c r="J924"/>
      <c r="K924"/>
      <c r="L924"/>
      <c r="M924"/>
      <c r="N924"/>
      <c r="O924"/>
      <c r="P924"/>
      <c r="Q924"/>
      <c r="R924"/>
      <c r="S924"/>
      <c r="T924"/>
      <c r="U924"/>
      <c r="V924"/>
      <c r="W924"/>
      <c r="X924"/>
      <c r="Y924"/>
      <c r="Z924"/>
      <c r="AA924"/>
      <c r="AB924"/>
      <c r="AC924"/>
      <c r="AD924"/>
      <c r="AE924"/>
      <c r="AF924"/>
      <c r="AG924"/>
      <c r="AH924"/>
      <c r="AI924"/>
    </row>
    <row r="925" spans="1:35" s="33" customFormat="1" ht="15.75">
      <c r="A925" s="178"/>
      <c r="B925" s="166"/>
      <c r="C925" s="125"/>
      <c r="D925" s="125"/>
      <c r="E925" s="32"/>
      <c r="F925"/>
      <c r="G925"/>
      <c r="H925"/>
      <c r="I925"/>
      <c r="J925"/>
      <c r="K925"/>
      <c r="L925"/>
      <c r="M925"/>
      <c r="N925"/>
      <c r="O925"/>
      <c r="P925"/>
      <c r="Q925"/>
      <c r="R925"/>
      <c r="S925"/>
      <c r="T925"/>
      <c r="U925"/>
      <c r="V925"/>
      <c r="W925"/>
      <c r="X925"/>
      <c r="Y925"/>
      <c r="Z925"/>
      <c r="AA925"/>
      <c r="AB925"/>
      <c r="AC925"/>
      <c r="AD925"/>
      <c r="AE925"/>
      <c r="AF925"/>
      <c r="AG925"/>
      <c r="AH925"/>
      <c r="AI925"/>
    </row>
    <row r="926" spans="1:35" s="33" customFormat="1" ht="15.75">
      <c r="A926" s="178"/>
      <c r="B926" s="166"/>
      <c r="C926" s="125"/>
      <c r="D926" s="125"/>
      <c r="E926" s="32"/>
      <c r="F926"/>
      <c r="G926"/>
      <c r="H926"/>
      <c r="I926"/>
      <c r="J926"/>
      <c r="K926"/>
      <c r="L926"/>
      <c r="M926"/>
      <c r="N926"/>
      <c r="O926"/>
      <c r="P926"/>
      <c r="Q926"/>
      <c r="R926"/>
      <c r="S926"/>
      <c r="T926"/>
      <c r="U926"/>
      <c r="V926"/>
      <c r="W926"/>
      <c r="X926"/>
      <c r="Y926"/>
      <c r="Z926"/>
      <c r="AA926"/>
      <c r="AB926"/>
      <c r="AC926"/>
      <c r="AD926"/>
      <c r="AE926"/>
      <c r="AF926"/>
      <c r="AG926"/>
      <c r="AH926"/>
      <c r="AI926"/>
    </row>
    <row r="927" spans="1:35" s="33" customFormat="1" ht="15.75">
      <c r="A927" s="178"/>
      <c r="B927" s="166"/>
      <c r="C927" s="125"/>
      <c r="D927" s="125"/>
      <c r="E927" s="32"/>
      <c r="F927"/>
      <c r="G927"/>
      <c r="H927"/>
      <c r="I927"/>
      <c r="J927"/>
      <c r="K927"/>
      <c r="L927"/>
      <c r="M927"/>
      <c r="N927"/>
      <c r="O927"/>
      <c r="P927"/>
      <c r="Q927"/>
      <c r="R927"/>
      <c r="S927"/>
      <c r="T927"/>
      <c r="U927"/>
      <c r="V927"/>
      <c r="W927"/>
      <c r="X927"/>
      <c r="Y927"/>
      <c r="Z927"/>
      <c r="AA927"/>
      <c r="AB927"/>
      <c r="AC927"/>
      <c r="AD927"/>
      <c r="AE927"/>
      <c r="AF927"/>
      <c r="AG927"/>
      <c r="AH927"/>
      <c r="AI927"/>
    </row>
    <row r="928" spans="1:35" s="33" customFormat="1" ht="15.75">
      <c r="A928" s="178"/>
      <c r="B928" s="166"/>
      <c r="C928" s="125"/>
      <c r="D928" s="125"/>
      <c r="E928" s="32"/>
      <c r="F928"/>
      <c r="G928"/>
      <c r="H928"/>
      <c r="I928"/>
      <c r="J928"/>
      <c r="K928"/>
      <c r="L928"/>
      <c r="M928"/>
      <c r="N928"/>
      <c r="O928"/>
      <c r="P928"/>
      <c r="Q928"/>
      <c r="R928"/>
      <c r="S928"/>
      <c r="T928"/>
      <c r="U928"/>
      <c r="V928"/>
      <c r="W928"/>
      <c r="X928"/>
      <c r="Y928"/>
      <c r="Z928"/>
      <c r="AA928"/>
      <c r="AB928"/>
      <c r="AC928"/>
      <c r="AD928"/>
      <c r="AE928"/>
      <c r="AF928"/>
      <c r="AG928"/>
      <c r="AH928"/>
      <c r="AI928"/>
    </row>
    <row r="929" spans="1:35" s="33" customFormat="1" ht="15.75">
      <c r="A929" s="178"/>
      <c r="B929" s="166"/>
      <c r="C929" s="125"/>
      <c r="D929" s="125"/>
      <c r="E929" s="32"/>
      <c r="F929"/>
      <c r="G929"/>
      <c r="H929"/>
      <c r="I929"/>
      <c r="J929"/>
      <c r="K929"/>
      <c r="L929"/>
      <c r="M929"/>
      <c r="N929"/>
      <c r="O929"/>
      <c r="P929"/>
      <c r="Q929"/>
      <c r="R929"/>
      <c r="S929"/>
      <c r="T929"/>
      <c r="U929"/>
      <c r="V929"/>
      <c r="W929"/>
      <c r="X929"/>
      <c r="Y929"/>
      <c r="Z929"/>
      <c r="AA929"/>
      <c r="AB929"/>
      <c r="AC929"/>
      <c r="AD929"/>
      <c r="AE929"/>
      <c r="AF929"/>
      <c r="AG929"/>
      <c r="AH929"/>
      <c r="AI929"/>
    </row>
    <row r="930" spans="1:35" s="33" customFormat="1" ht="15.75">
      <c r="A930" s="178"/>
      <c r="B930" s="166"/>
      <c r="C930" s="125"/>
      <c r="D930" s="125"/>
      <c r="E930" s="32"/>
      <c r="F930"/>
      <c r="G930"/>
      <c r="H930"/>
      <c r="I930"/>
      <c r="J930"/>
      <c r="K930"/>
      <c r="L930"/>
      <c r="M930"/>
      <c r="N930"/>
      <c r="O930"/>
      <c r="P930"/>
      <c r="Q930"/>
      <c r="R930"/>
      <c r="S930"/>
      <c r="T930"/>
      <c r="U930"/>
      <c r="V930"/>
      <c r="W930"/>
      <c r="X930"/>
      <c r="Y930"/>
      <c r="Z930"/>
      <c r="AA930"/>
      <c r="AB930"/>
      <c r="AC930"/>
      <c r="AD930"/>
      <c r="AE930"/>
      <c r="AF930"/>
      <c r="AG930"/>
      <c r="AH930"/>
      <c r="AI930"/>
    </row>
    <row r="931" spans="1:35" s="33" customFormat="1" ht="15.75">
      <c r="A931" s="178"/>
      <c r="B931" s="166"/>
      <c r="C931" s="125"/>
      <c r="D931" s="125"/>
      <c r="E931" s="32"/>
      <c r="F931"/>
      <c r="G931"/>
      <c r="H931"/>
      <c r="I931"/>
      <c r="J931"/>
      <c r="K931"/>
      <c r="L931"/>
      <c r="M931"/>
      <c r="N931"/>
      <c r="O931"/>
      <c r="P931"/>
      <c r="Q931"/>
      <c r="R931"/>
      <c r="S931"/>
      <c r="T931"/>
      <c r="U931"/>
      <c r="V931"/>
      <c r="W931"/>
      <c r="X931"/>
      <c r="Y931"/>
      <c r="Z931"/>
      <c r="AA931"/>
      <c r="AB931"/>
      <c r="AC931"/>
      <c r="AD931"/>
      <c r="AE931"/>
      <c r="AF931"/>
      <c r="AG931"/>
      <c r="AH931"/>
      <c r="AI931"/>
    </row>
    <row r="932" spans="1:35" s="33" customFormat="1" ht="15.75">
      <c r="A932" s="178"/>
      <c r="B932" s="166"/>
      <c r="C932" s="125"/>
      <c r="D932" s="125"/>
      <c r="E932" s="32"/>
      <c r="F932"/>
      <c r="G932"/>
      <c r="H932"/>
      <c r="I932"/>
      <c r="J932"/>
      <c r="K932"/>
      <c r="L932"/>
      <c r="M932"/>
      <c r="N932"/>
      <c r="O932"/>
      <c r="P932"/>
      <c r="Q932"/>
      <c r="R932"/>
      <c r="S932"/>
      <c r="T932"/>
      <c r="U932"/>
      <c r="V932"/>
      <c r="W932"/>
      <c r="X932"/>
      <c r="Y932"/>
      <c r="Z932"/>
      <c r="AA932"/>
      <c r="AB932"/>
      <c r="AC932"/>
      <c r="AD932"/>
      <c r="AE932"/>
      <c r="AF932"/>
      <c r="AG932"/>
      <c r="AH932"/>
      <c r="AI932"/>
    </row>
    <row r="933" spans="1:35" s="33" customFormat="1" ht="15.75">
      <c r="A933" s="178"/>
      <c r="B933" s="166"/>
      <c r="C933" s="125"/>
      <c r="D933" s="125"/>
      <c r="E933" s="32"/>
      <c r="F933"/>
      <c r="G933"/>
      <c r="H933"/>
      <c r="I933"/>
      <c r="J933"/>
      <c r="K933"/>
      <c r="L933"/>
      <c r="M933"/>
      <c r="N933"/>
      <c r="O933"/>
      <c r="P933"/>
      <c r="Q933"/>
      <c r="R933"/>
      <c r="S933"/>
      <c r="T933"/>
      <c r="U933"/>
      <c r="V933"/>
      <c r="W933"/>
      <c r="X933"/>
      <c r="Y933"/>
      <c r="Z933"/>
      <c r="AA933"/>
      <c r="AB933"/>
      <c r="AC933"/>
      <c r="AD933"/>
      <c r="AE933"/>
      <c r="AF933"/>
      <c r="AG933"/>
      <c r="AH933"/>
      <c r="AI933"/>
    </row>
    <row r="934" spans="1:35" s="33" customFormat="1" ht="15.75">
      <c r="A934" s="178"/>
      <c r="B934" s="166"/>
      <c r="C934" s="125"/>
      <c r="D934" s="125"/>
      <c r="E934" s="32"/>
      <c r="F934"/>
      <c r="G934"/>
      <c r="H934"/>
      <c r="I934"/>
      <c r="J934"/>
      <c r="K934"/>
      <c r="L934"/>
      <c r="M934"/>
      <c r="N934"/>
      <c r="O934"/>
      <c r="P934"/>
      <c r="Q934"/>
      <c r="R934"/>
      <c r="S934"/>
      <c r="T934"/>
      <c r="U934"/>
      <c r="V934"/>
      <c r="W934"/>
      <c r="X934"/>
      <c r="Y934"/>
      <c r="Z934"/>
      <c r="AA934"/>
      <c r="AB934"/>
      <c r="AC934"/>
      <c r="AD934"/>
      <c r="AE934"/>
      <c r="AF934"/>
      <c r="AG934"/>
      <c r="AH934"/>
      <c r="AI934"/>
    </row>
    <row r="935" spans="1:35" s="33" customFormat="1" ht="15.75">
      <c r="A935" s="178"/>
      <c r="B935" s="166"/>
      <c r="C935" s="125"/>
      <c r="D935" s="125"/>
      <c r="E935" s="32"/>
      <c r="F935"/>
      <c r="G935"/>
      <c r="H935"/>
      <c r="I935"/>
      <c r="J935"/>
      <c r="K935"/>
      <c r="L935"/>
      <c r="M935"/>
      <c r="N935"/>
      <c r="O935"/>
      <c r="P935"/>
      <c r="Q935"/>
      <c r="R935"/>
      <c r="S935"/>
      <c r="T935"/>
      <c r="U935"/>
      <c r="V935"/>
      <c r="W935"/>
      <c r="X935"/>
      <c r="Y935"/>
      <c r="Z935"/>
      <c r="AA935"/>
      <c r="AB935"/>
      <c r="AC935"/>
      <c r="AD935"/>
      <c r="AE935"/>
      <c r="AF935"/>
      <c r="AG935"/>
      <c r="AH935"/>
      <c r="AI935"/>
    </row>
    <row r="936" spans="1:35" s="33" customFormat="1" ht="15.75">
      <c r="A936" s="178"/>
      <c r="B936" s="166"/>
      <c r="C936" s="125"/>
      <c r="D936" s="125"/>
      <c r="E936" s="32"/>
      <c r="F936"/>
      <c r="G936"/>
      <c r="H936"/>
      <c r="I936"/>
      <c r="J936"/>
      <c r="K936"/>
      <c r="L936"/>
      <c r="M936"/>
      <c r="N936"/>
      <c r="O936"/>
      <c r="P936"/>
      <c r="Q936"/>
      <c r="R936"/>
      <c r="S936"/>
      <c r="T936"/>
      <c r="U936"/>
      <c r="V936"/>
      <c r="W936"/>
      <c r="X936"/>
      <c r="Y936"/>
      <c r="Z936"/>
      <c r="AA936"/>
      <c r="AB936"/>
      <c r="AC936"/>
      <c r="AD936"/>
      <c r="AE936"/>
      <c r="AF936"/>
      <c r="AG936"/>
      <c r="AH936"/>
      <c r="AI936"/>
    </row>
    <row r="937" spans="1:35" s="33" customFormat="1" ht="15.75">
      <c r="A937" s="178"/>
      <c r="B937" s="166"/>
      <c r="C937" s="125"/>
      <c r="D937" s="125"/>
      <c r="E937" s="32"/>
      <c r="F937"/>
      <c r="G937"/>
      <c r="H937"/>
      <c r="I937"/>
      <c r="J937"/>
      <c r="K937"/>
      <c r="L937"/>
      <c r="M937"/>
      <c r="N937"/>
      <c r="O937"/>
      <c r="P937"/>
      <c r="Q937"/>
      <c r="R937"/>
      <c r="S937"/>
      <c r="T937"/>
      <c r="U937"/>
      <c r="V937"/>
      <c r="W937"/>
      <c r="X937"/>
      <c r="Y937"/>
      <c r="Z937"/>
      <c r="AA937"/>
      <c r="AB937"/>
      <c r="AC937"/>
      <c r="AD937"/>
      <c r="AE937"/>
      <c r="AF937"/>
      <c r="AG937"/>
      <c r="AH937"/>
      <c r="AI937"/>
    </row>
    <row r="938" spans="1:35" s="33" customFormat="1" ht="15.75">
      <c r="A938" s="178"/>
      <c r="B938" s="166"/>
      <c r="C938" s="125"/>
      <c r="D938" s="125"/>
      <c r="E938" s="32"/>
      <c r="F938"/>
      <c r="G938"/>
      <c r="H938"/>
      <c r="I938"/>
      <c r="J938"/>
      <c r="K938"/>
      <c r="L938"/>
      <c r="M938"/>
      <c r="N938"/>
      <c r="O938"/>
      <c r="P938"/>
      <c r="Q938"/>
      <c r="R938"/>
      <c r="S938"/>
      <c r="T938"/>
      <c r="U938"/>
      <c r="V938"/>
      <c r="W938"/>
      <c r="X938"/>
      <c r="Y938"/>
      <c r="Z938"/>
      <c r="AA938"/>
      <c r="AB938"/>
      <c r="AC938"/>
      <c r="AD938"/>
      <c r="AE938"/>
      <c r="AF938"/>
      <c r="AG938"/>
      <c r="AH938"/>
      <c r="AI938"/>
    </row>
    <row r="939" spans="1:35" s="33" customFormat="1" ht="15.75">
      <c r="A939" s="178"/>
      <c r="B939" s="166"/>
      <c r="C939" s="125"/>
      <c r="D939" s="125"/>
      <c r="E939" s="32"/>
      <c r="F939"/>
      <c r="G939"/>
      <c r="H939"/>
      <c r="I939"/>
      <c r="J939"/>
      <c r="K939"/>
      <c r="L939"/>
      <c r="M939"/>
      <c r="N939"/>
      <c r="O939"/>
      <c r="P939"/>
      <c r="Q939"/>
      <c r="R939"/>
      <c r="S939"/>
      <c r="T939"/>
      <c r="U939"/>
      <c r="V939"/>
      <c r="W939"/>
      <c r="X939"/>
      <c r="Y939"/>
      <c r="Z939"/>
      <c r="AA939"/>
      <c r="AB939"/>
      <c r="AC939"/>
      <c r="AD939"/>
      <c r="AE939"/>
      <c r="AF939"/>
      <c r="AG939"/>
      <c r="AH939"/>
      <c r="AI939"/>
    </row>
    <row r="940" spans="1:35" s="33" customFormat="1" ht="15.75">
      <c r="A940" s="178"/>
      <c r="B940" s="166"/>
      <c r="C940" s="125"/>
      <c r="D940" s="125"/>
      <c r="E940" s="32"/>
      <c r="F940"/>
      <c r="G940"/>
      <c r="H940"/>
      <c r="I940"/>
      <c r="J940"/>
      <c r="K940"/>
      <c r="L940"/>
      <c r="M940"/>
      <c r="N940"/>
      <c r="O940"/>
      <c r="P940"/>
      <c r="Q940"/>
      <c r="R940"/>
      <c r="S940"/>
      <c r="T940"/>
      <c r="U940"/>
      <c r="V940"/>
      <c r="W940"/>
      <c r="X940"/>
      <c r="Y940"/>
      <c r="Z940"/>
      <c r="AA940"/>
      <c r="AB940"/>
      <c r="AC940"/>
      <c r="AD940"/>
      <c r="AE940"/>
      <c r="AF940"/>
      <c r="AG940"/>
      <c r="AH940"/>
      <c r="AI940"/>
    </row>
    <row r="941" spans="1:35" s="33" customFormat="1" ht="15.75">
      <c r="A941" s="178"/>
      <c r="B941" s="166"/>
      <c r="C941" s="125"/>
      <c r="D941" s="125"/>
      <c r="E941" s="32"/>
      <c r="F941"/>
      <c r="G941"/>
      <c r="H941"/>
      <c r="I941"/>
      <c r="J941"/>
      <c r="K941"/>
      <c r="L941"/>
      <c r="M941"/>
      <c r="N941"/>
      <c r="O941"/>
      <c r="P941"/>
      <c r="Q941"/>
      <c r="R941"/>
      <c r="S941"/>
      <c r="T941"/>
      <c r="U941"/>
      <c r="V941"/>
      <c r="W941"/>
      <c r="X941"/>
      <c r="Y941"/>
      <c r="Z941"/>
      <c r="AA941"/>
      <c r="AB941"/>
      <c r="AC941"/>
      <c r="AD941"/>
      <c r="AE941"/>
      <c r="AF941"/>
      <c r="AG941"/>
      <c r="AH941"/>
      <c r="AI941"/>
    </row>
    <row r="942" spans="1:35" s="33" customFormat="1" ht="15.75">
      <c r="A942" s="178"/>
      <c r="B942" s="166"/>
      <c r="C942" s="125"/>
      <c r="D942" s="125"/>
      <c r="E942" s="32"/>
      <c r="F942"/>
      <c r="G942"/>
      <c r="H942"/>
      <c r="I942"/>
      <c r="J942"/>
      <c r="K942"/>
      <c r="L942"/>
      <c r="M942"/>
      <c r="N942"/>
      <c r="O942"/>
      <c r="P942"/>
      <c r="Q942"/>
      <c r="R942"/>
      <c r="S942"/>
      <c r="T942"/>
      <c r="U942"/>
      <c r="V942"/>
      <c r="W942"/>
      <c r="X942"/>
      <c r="Y942"/>
      <c r="Z942"/>
      <c r="AA942"/>
      <c r="AB942"/>
      <c r="AC942"/>
      <c r="AD942"/>
      <c r="AE942"/>
      <c r="AF942"/>
      <c r="AG942"/>
      <c r="AH942"/>
      <c r="AI942"/>
    </row>
    <row r="943" spans="1:35" s="33" customFormat="1" ht="15.75">
      <c r="A943" s="178"/>
      <c r="B943" s="166"/>
      <c r="C943" s="125"/>
      <c r="D943" s="125"/>
      <c r="E943" s="32"/>
      <c r="F943"/>
      <c r="G943"/>
      <c r="H943"/>
      <c r="I943"/>
      <c r="J943"/>
      <c r="K943"/>
      <c r="L943"/>
      <c r="M943"/>
      <c r="N943"/>
      <c r="O943"/>
      <c r="P943"/>
      <c r="Q943"/>
      <c r="R943"/>
      <c r="S943"/>
      <c r="T943"/>
      <c r="U943"/>
      <c r="V943"/>
      <c r="W943"/>
      <c r="X943"/>
      <c r="Y943"/>
      <c r="Z943"/>
      <c r="AA943"/>
      <c r="AB943"/>
      <c r="AC943"/>
      <c r="AD943"/>
      <c r="AE943"/>
      <c r="AF943"/>
      <c r="AG943"/>
      <c r="AH943"/>
      <c r="AI943"/>
    </row>
    <row r="944" spans="1:35" s="33" customFormat="1" ht="15.75">
      <c r="A944" s="178"/>
      <c r="B944" s="166"/>
      <c r="C944" s="125"/>
      <c r="D944" s="125"/>
      <c r="E944" s="32"/>
      <c r="F944"/>
      <c r="G944"/>
      <c r="H944"/>
      <c r="I944"/>
      <c r="J944"/>
      <c r="K944"/>
      <c r="L944"/>
      <c r="M944"/>
      <c r="N944"/>
      <c r="O944"/>
      <c r="P944"/>
      <c r="Q944"/>
      <c r="R944"/>
      <c r="S944"/>
      <c r="T944"/>
      <c r="U944"/>
      <c r="V944"/>
      <c r="W944"/>
      <c r="X944"/>
      <c r="Y944"/>
      <c r="Z944"/>
      <c r="AA944"/>
      <c r="AB944"/>
      <c r="AC944"/>
      <c r="AD944"/>
      <c r="AE944"/>
      <c r="AF944"/>
      <c r="AG944"/>
      <c r="AH944"/>
      <c r="AI944"/>
    </row>
    <row r="945" spans="1:35" s="33" customFormat="1" ht="15.75">
      <c r="A945" s="178"/>
      <c r="B945" s="166"/>
      <c r="C945" s="125"/>
      <c r="D945" s="125"/>
      <c r="E945" s="32"/>
      <c r="F945"/>
      <c r="G945"/>
      <c r="H945"/>
      <c r="I945"/>
      <c r="J945"/>
      <c r="K945"/>
      <c r="L945"/>
      <c r="M945"/>
      <c r="N945"/>
      <c r="O945"/>
      <c r="P945"/>
      <c r="Q945"/>
      <c r="R945"/>
      <c r="S945"/>
      <c r="T945"/>
      <c r="U945"/>
      <c r="V945"/>
      <c r="W945"/>
      <c r="X945"/>
      <c r="Y945"/>
      <c r="Z945"/>
      <c r="AA945"/>
      <c r="AB945"/>
      <c r="AC945"/>
      <c r="AD945"/>
      <c r="AE945"/>
      <c r="AF945"/>
      <c r="AG945"/>
      <c r="AH945"/>
      <c r="AI945"/>
    </row>
    <row r="946" spans="1:35" s="33" customFormat="1" ht="15.75">
      <c r="A946" s="178"/>
      <c r="B946" s="166"/>
      <c r="C946" s="125"/>
      <c r="D946" s="125"/>
      <c r="E946" s="32"/>
      <c r="F946"/>
      <c r="G946"/>
      <c r="H946"/>
      <c r="I946"/>
      <c r="J946"/>
      <c r="K946"/>
      <c r="L946"/>
      <c r="M946"/>
      <c r="N946"/>
      <c r="O946"/>
      <c r="P946"/>
      <c r="Q946"/>
      <c r="R946"/>
      <c r="S946"/>
      <c r="T946"/>
      <c r="U946"/>
      <c r="V946"/>
      <c r="W946"/>
      <c r="X946"/>
      <c r="Y946"/>
      <c r="Z946"/>
      <c r="AA946"/>
      <c r="AB946"/>
      <c r="AC946"/>
      <c r="AD946"/>
      <c r="AE946"/>
      <c r="AF946"/>
      <c r="AG946"/>
      <c r="AH946"/>
      <c r="AI946"/>
    </row>
    <row r="947" spans="1:35" s="33" customFormat="1" ht="15.75">
      <c r="A947" s="178"/>
      <c r="B947" s="166"/>
      <c r="C947" s="125"/>
      <c r="D947" s="125"/>
      <c r="E947" s="32"/>
      <c r="F947"/>
      <c r="G947"/>
      <c r="H947"/>
      <c r="I947"/>
      <c r="J947"/>
      <c r="K947"/>
      <c r="L947"/>
      <c r="M947"/>
      <c r="N947"/>
      <c r="O947"/>
      <c r="P947"/>
      <c r="Q947"/>
      <c r="R947"/>
      <c r="S947"/>
      <c r="T947"/>
      <c r="U947"/>
      <c r="V947"/>
      <c r="W947"/>
      <c r="X947"/>
      <c r="Y947"/>
      <c r="Z947"/>
      <c r="AA947"/>
      <c r="AB947"/>
      <c r="AC947"/>
      <c r="AD947"/>
      <c r="AE947"/>
      <c r="AF947"/>
      <c r="AG947"/>
      <c r="AH947"/>
      <c r="AI947"/>
    </row>
    <row r="948" spans="1:35" s="33" customFormat="1" ht="15.75">
      <c r="A948" s="178"/>
      <c r="B948" s="166"/>
      <c r="C948" s="125"/>
      <c r="D948" s="125"/>
      <c r="E948" s="32"/>
      <c r="F948"/>
      <c r="G948"/>
      <c r="H948"/>
      <c r="I948"/>
      <c r="J948"/>
      <c r="K948"/>
      <c r="L948"/>
      <c r="M948"/>
      <c r="N948"/>
      <c r="O948"/>
      <c r="P948"/>
      <c r="Q948"/>
      <c r="R948"/>
      <c r="S948"/>
      <c r="T948"/>
      <c r="U948"/>
      <c r="V948"/>
      <c r="W948"/>
      <c r="X948"/>
      <c r="Y948"/>
      <c r="Z948"/>
      <c r="AA948"/>
      <c r="AB948"/>
      <c r="AC948"/>
      <c r="AD948"/>
      <c r="AE948"/>
      <c r="AF948"/>
      <c r="AG948"/>
      <c r="AH948"/>
      <c r="AI948"/>
    </row>
    <row r="949" spans="1:35" s="33" customFormat="1" ht="15.75">
      <c r="A949" s="178"/>
      <c r="B949" s="166"/>
      <c r="C949" s="125"/>
      <c r="D949" s="125"/>
      <c r="E949" s="32"/>
      <c r="F949"/>
      <c r="G949"/>
      <c r="H949"/>
      <c r="I949"/>
      <c r="J949"/>
      <c r="K949"/>
      <c r="L949"/>
      <c r="M949"/>
      <c r="N949"/>
      <c r="O949"/>
      <c r="P949"/>
      <c r="Q949"/>
      <c r="R949"/>
      <c r="S949"/>
      <c r="T949"/>
      <c r="U949"/>
      <c r="V949"/>
      <c r="W949"/>
      <c r="X949"/>
      <c r="Y949"/>
      <c r="Z949"/>
      <c r="AA949"/>
      <c r="AB949"/>
      <c r="AC949"/>
      <c r="AD949"/>
      <c r="AE949"/>
      <c r="AF949"/>
      <c r="AG949"/>
      <c r="AH949"/>
      <c r="AI949"/>
    </row>
    <row r="950" spans="1:35" s="33" customFormat="1" ht="15.75">
      <c r="A950" s="178"/>
      <c r="B950" s="166"/>
      <c r="C950" s="125"/>
      <c r="D950" s="125"/>
      <c r="E950" s="32"/>
      <c r="F950"/>
      <c r="G950"/>
      <c r="H950"/>
      <c r="I950"/>
      <c r="J950"/>
      <c r="K950"/>
      <c r="L950"/>
      <c r="M950"/>
      <c r="N950"/>
      <c r="O950"/>
      <c r="P950"/>
      <c r="Q950"/>
      <c r="R950"/>
      <c r="S950"/>
      <c r="T950"/>
      <c r="U950"/>
      <c r="V950"/>
      <c r="W950"/>
      <c r="X950"/>
      <c r="Y950"/>
      <c r="Z950"/>
      <c r="AA950"/>
      <c r="AB950"/>
      <c r="AC950"/>
      <c r="AD950"/>
      <c r="AE950"/>
      <c r="AF950"/>
      <c r="AG950"/>
      <c r="AH950"/>
      <c r="AI950"/>
    </row>
    <row r="951" spans="1:35" s="33" customFormat="1" ht="15.75">
      <c r="A951" s="178"/>
      <c r="B951" s="166"/>
      <c r="C951" s="125"/>
      <c r="D951" s="125"/>
      <c r="E951" s="32"/>
      <c r="F951"/>
      <c r="G951"/>
      <c r="H951"/>
      <c r="I951"/>
      <c r="J951"/>
      <c r="K951"/>
      <c r="L951"/>
      <c r="M951"/>
      <c r="N951"/>
      <c r="O951"/>
      <c r="P951"/>
      <c r="Q951"/>
      <c r="R951"/>
      <c r="S951"/>
      <c r="T951"/>
      <c r="U951"/>
      <c r="V951"/>
      <c r="W951"/>
      <c r="X951"/>
      <c r="Y951"/>
      <c r="Z951"/>
      <c r="AA951"/>
      <c r="AB951"/>
      <c r="AC951"/>
      <c r="AD951"/>
      <c r="AE951"/>
      <c r="AF951"/>
      <c r="AG951"/>
      <c r="AH951"/>
      <c r="AI951"/>
    </row>
    <row r="952" spans="1:35" s="33" customFormat="1" ht="15.75">
      <c r="A952" s="178"/>
      <c r="B952" s="166"/>
      <c r="C952" s="125"/>
      <c r="D952" s="125"/>
      <c r="E952" s="32"/>
      <c r="F952"/>
      <c r="G952"/>
      <c r="H952"/>
      <c r="I952"/>
      <c r="J952"/>
      <c r="K952"/>
      <c r="L952"/>
      <c r="M952"/>
      <c r="N952"/>
      <c r="O952"/>
      <c r="P952"/>
      <c r="Q952"/>
      <c r="R952"/>
      <c r="S952"/>
      <c r="T952"/>
      <c r="U952"/>
      <c r="V952"/>
      <c r="W952"/>
      <c r="X952"/>
      <c r="Y952"/>
      <c r="Z952"/>
      <c r="AA952"/>
      <c r="AB952"/>
      <c r="AC952"/>
      <c r="AD952"/>
      <c r="AE952"/>
      <c r="AF952"/>
      <c r="AG952"/>
      <c r="AH952"/>
      <c r="AI952"/>
    </row>
    <row r="953" spans="1:35" s="33" customFormat="1" ht="15.75">
      <c r="A953" s="178"/>
      <c r="B953" s="166"/>
      <c r="C953" s="125"/>
      <c r="D953" s="125"/>
      <c r="E953" s="32"/>
      <c r="F953"/>
      <c r="G953"/>
      <c r="H953"/>
      <c r="I953"/>
      <c r="J953"/>
      <c r="K953"/>
      <c r="L953"/>
      <c r="M953"/>
      <c r="N953"/>
      <c r="O953"/>
      <c r="P953"/>
      <c r="Q953"/>
      <c r="R953"/>
      <c r="S953"/>
      <c r="T953"/>
      <c r="U953"/>
      <c r="V953"/>
      <c r="W953"/>
      <c r="X953"/>
      <c r="Y953"/>
      <c r="Z953"/>
      <c r="AA953"/>
      <c r="AB953"/>
      <c r="AC953"/>
      <c r="AD953"/>
      <c r="AE953"/>
      <c r="AF953"/>
      <c r="AG953"/>
      <c r="AH953"/>
      <c r="AI953"/>
    </row>
    <row r="954" spans="1:35" s="33" customFormat="1" ht="15.75">
      <c r="A954" s="178"/>
      <c r="B954" s="166"/>
      <c r="C954" s="125"/>
      <c r="D954" s="125"/>
      <c r="E954" s="32"/>
      <c r="F954"/>
      <c r="G954"/>
      <c r="H954"/>
      <c r="I954"/>
      <c r="J954"/>
      <c r="K954"/>
      <c r="L954"/>
      <c r="M954"/>
      <c r="N954"/>
      <c r="O954"/>
      <c r="P954"/>
      <c r="Q954"/>
      <c r="R954"/>
      <c r="S954"/>
      <c r="T954"/>
      <c r="U954"/>
      <c r="V954"/>
      <c r="W954"/>
      <c r="X954"/>
      <c r="Y954"/>
      <c r="Z954"/>
      <c r="AA954"/>
      <c r="AB954"/>
      <c r="AC954"/>
      <c r="AD954"/>
      <c r="AE954"/>
      <c r="AF954"/>
      <c r="AG954"/>
      <c r="AH954"/>
      <c r="AI954"/>
    </row>
    <row r="955" spans="1:35" s="33" customFormat="1" ht="15.75">
      <c r="A955" s="178"/>
      <c r="B955" s="166"/>
      <c r="C955" s="125"/>
      <c r="D955" s="125"/>
      <c r="E955" s="32"/>
      <c r="F955"/>
      <c r="G955"/>
      <c r="H955"/>
      <c r="I955"/>
      <c r="J955"/>
      <c r="K955"/>
      <c r="L955"/>
      <c r="M955"/>
      <c r="N955"/>
      <c r="O955"/>
      <c r="P955"/>
      <c r="Q955"/>
      <c r="R955"/>
      <c r="S955"/>
      <c r="T955"/>
      <c r="U955"/>
      <c r="V955"/>
      <c r="W955"/>
      <c r="X955"/>
      <c r="Y955"/>
      <c r="Z955"/>
      <c r="AA955"/>
      <c r="AB955"/>
      <c r="AC955"/>
      <c r="AD955"/>
      <c r="AE955"/>
      <c r="AF955"/>
      <c r="AG955"/>
      <c r="AH955"/>
      <c r="AI955"/>
    </row>
    <row r="956" spans="1:35" s="33" customFormat="1" ht="15.75">
      <c r="A956" s="178"/>
      <c r="B956" s="166"/>
      <c r="C956" s="125"/>
      <c r="D956" s="125"/>
      <c r="E956" s="32"/>
      <c r="F956"/>
      <c r="G956"/>
      <c r="H956"/>
      <c r="I956"/>
      <c r="J956"/>
      <c r="K956"/>
      <c r="L956"/>
      <c r="M956"/>
      <c r="N956"/>
      <c r="O956"/>
      <c r="P956"/>
      <c r="Q956"/>
      <c r="R956"/>
      <c r="S956"/>
      <c r="T956"/>
      <c r="U956"/>
      <c r="V956"/>
      <c r="W956"/>
      <c r="X956"/>
      <c r="Y956"/>
      <c r="Z956"/>
      <c r="AA956"/>
      <c r="AB956"/>
      <c r="AC956"/>
      <c r="AD956"/>
      <c r="AE956"/>
      <c r="AF956"/>
      <c r="AG956"/>
      <c r="AH956"/>
      <c r="AI956"/>
    </row>
    <row r="957" spans="1:35" s="33" customFormat="1" ht="15.75">
      <c r="A957" s="178"/>
      <c r="B957" s="166"/>
      <c r="C957" s="125"/>
      <c r="D957" s="125"/>
      <c r="E957" s="32"/>
      <c r="F957"/>
      <c r="G957"/>
      <c r="H957"/>
      <c r="I957"/>
      <c r="J957"/>
      <c r="K957"/>
      <c r="L957"/>
      <c r="M957"/>
      <c r="N957"/>
      <c r="O957"/>
      <c r="P957"/>
      <c r="Q957"/>
      <c r="R957"/>
      <c r="S957"/>
      <c r="T957"/>
      <c r="U957"/>
      <c r="V957"/>
      <c r="W957"/>
      <c r="X957"/>
      <c r="Y957"/>
      <c r="Z957"/>
      <c r="AA957"/>
      <c r="AB957"/>
      <c r="AC957"/>
      <c r="AD957"/>
      <c r="AE957"/>
      <c r="AF957"/>
      <c r="AG957"/>
      <c r="AH957"/>
      <c r="AI957"/>
    </row>
    <row r="958" spans="1:35" s="33" customFormat="1" ht="15.75">
      <c r="A958" s="178"/>
      <c r="B958" s="166"/>
      <c r="C958" s="125"/>
      <c r="D958" s="125"/>
      <c r="E958" s="32"/>
      <c r="F958"/>
      <c r="G958"/>
      <c r="H958"/>
      <c r="I958"/>
      <c r="J958"/>
      <c r="K958"/>
      <c r="L958"/>
      <c r="M958"/>
      <c r="N958"/>
      <c r="O958"/>
      <c r="P958"/>
      <c r="Q958"/>
      <c r="R958"/>
      <c r="S958"/>
      <c r="T958"/>
      <c r="U958"/>
      <c r="V958"/>
      <c r="W958"/>
      <c r="X958"/>
      <c r="Y958"/>
      <c r="Z958"/>
      <c r="AA958"/>
      <c r="AB958"/>
      <c r="AC958"/>
      <c r="AD958"/>
      <c r="AE958"/>
      <c r="AF958"/>
      <c r="AG958"/>
      <c r="AH958"/>
      <c r="AI958"/>
    </row>
    <row r="959" spans="1:35" s="33" customFormat="1" ht="15.75">
      <c r="A959" s="178"/>
      <c r="B959" s="166"/>
      <c r="C959" s="125"/>
      <c r="D959" s="125"/>
      <c r="E959" s="32"/>
      <c r="F959"/>
      <c r="G959"/>
      <c r="H959"/>
      <c r="I959"/>
      <c r="J959"/>
      <c r="K959"/>
      <c r="L959"/>
      <c r="M959"/>
      <c r="N959"/>
      <c r="O959"/>
      <c r="P959"/>
      <c r="Q959"/>
      <c r="R959"/>
      <c r="S959"/>
      <c r="T959"/>
      <c r="U959"/>
      <c r="V959"/>
      <c r="W959"/>
      <c r="X959"/>
      <c r="Y959"/>
      <c r="Z959"/>
      <c r="AA959"/>
      <c r="AB959"/>
      <c r="AC959"/>
      <c r="AD959"/>
      <c r="AE959"/>
      <c r="AF959"/>
      <c r="AG959"/>
      <c r="AH959"/>
      <c r="AI959"/>
    </row>
    <row r="960" spans="1:35" s="33" customFormat="1" ht="15.75">
      <c r="A960" s="178"/>
      <c r="B960" s="166"/>
      <c r="C960" s="125"/>
      <c r="D960" s="125"/>
      <c r="E960" s="32"/>
      <c r="F960"/>
      <c r="G960"/>
      <c r="H960"/>
      <c r="I960"/>
      <c r="J960"/>
      <c r="K960"/>
      <c r="L960"/>
      <c r="M960"/>
      <c r="N960"/>
      <c r="O960"/>
      <c r="P960"/>
      <c r="Q960"/>
      <c r="R960"/>
      <c r="S960"/>
      <c r="T960"/>
      <c r="U960"/>
      <c r="V960"/>
      <c r="W960"/>
      <c r="X960"/>
      <c r="Y960"/>
      <c r="Z960"/>
      <c r="AA960"/>
      <c r="AB960"/>
      <c r="AC960"/>
      <c r="AD960"/>
      <c r="AE960"/>
      <c r="AF960"/>
      <c r="AG960"/>
      <c r="AH960"/>
      <c r="AI960"/>
    </row>
    <row r="961" spans="1:35" s="33" customFormat="1" ht="15.75">
      <c r="A961" s="178"/>
      <c r="B961" s="166"/>
      <c r="C961" s="125"/>
      <c r="D961" s="125"/>
      <c r="E961" s="32"/>
      <c r="F961"/>
      <c r="G961"/>
      <c r="H961"/>
      <c r="I961"/>
      <c r="J961"/>
      <c r="K961"/>
      <c r="L961"/>
      <c r="M961"/>
      <c r="N961"/>
      <c r="O961"/>
      <c r="P961"/>
      <c r="Q961"/>
      <c r="R961"/>
      <c r="S961"/>
      <c r="T961"/>
      <c r="U961"/>
      <c r="V961"/>
      <c r="W961"/>
      <c r="X961"/>
      <c r="Y961"/>
      <c r="Z961"/>
      <c r="AA961"/>
      <c r="AB961"/>
      <c r="AC961"/>
      <c r="AD961"/>
      <c r="AE961"/>
      <c r="AF961"/>
      <c r="AG961"/>
      <c r="AH961"/>
      <c r="AI961"/>
    </row>
    <row r="962" spans="1:35" s="33" customFormat="1" ht="15.75">
      <c r="A962" s="178"/>
      <c r="B962" s="166"/>
      <c r="C962" s="125"/>
      <c r="D962" s="125"/>
      <c r="E962" s="32"/>
      <c r="F962"/>
      <c r="G962"/>
      <c r="H962"/>
      <c r="I962"/>
      <c r="J962"/>
      <c r="K962"/>
      <c r="L962"/>
      <c r="M962"/>
      <c r="N962"/>
      <c r="O962"/>
      <c r="P962"/>
      <c r="Q962"/>
      <c r="R962"/>
      <c r="S962"/>
      <c r="T962"/>
      <c r="U962"/>
      <c r="V962"/>
      <c r="W962"/>
      <c r="X962"/>
      <c r="Y962"/>
      <c r="Z962"/>
      <c r="AA962"/>
      <c r="AB962"/>
      <c r="AC962"/>
      <c r="AD962"/>
      <c r="AE962"/>
      <c r="AF962"/>
      <c r="AG962"/>
      <c r="AH962"/>
      <c r="AI962"/>
    </row>
    <row r="963" spans="1:35" s="33" customFormat="1" ht="15.75">
      <c r="A963" s="178"/>
      <c r="B963" s="166"/>
      <c r="C963" s="125"/>
      <c r="D963" s="125"/>
      <c r="E963" s="32"/>
      <c r="F963"/>
      <c r="G963"/>
      <c r="H963"/>
      <c r="I963"/>
      <c r="J963"/>
      <c r="K963"/>
      <c r="L963"/>
      <c r="M963"/>
      <c r="N963"/>
      <c r="O963"/>
      <c r="P963"/>
      <c r="Q963"/>
      <c r="R963"/>
      <c r="S963"/>
      <c r="T963"/>
      <c r="U963"/>
      <c r="V963"/>
      <c r="W963"/>
      <c r="X963"/>
      <c r="Y963"/>
      <c r="Z963"/>
      <c r="AA963"/>
      <c r="AB963"/>
      <c r="AC963"/>
      <c r="AD963"/>
      <c r="AE963"/>
      <c r="AF963"/>
      <c r="AG963"/>
      <c r="AH963"/>
      <c r="AI963"/>
    </row>
    <row r="964" spans="1:35" s="33" customFormat="1" ht="15.75">
      <c r="A964" s="178"/>
      <c r="B964" s="166"/>
      <c r="C964" s="125"/>
      <c r="D964" s="125"/>
      <c r="E964" s="32"/>
      <c r="F964"/>
      <c r="G964"/>
      <c r="H964"/>
      <c r="I964"/>
      <c r="J964"/>
      <c r="K964"/>
      <c r="L964"/>
      <c r="M964"/>
      <c r="N964"/>
      <c r="O964"/>
      <c r="P964"/>
      <c r="Q964"/>
      <c r="R964"/>
      <c r="S964"/>
      <c r="T964"/>
      <c r="U964"/>
      <c r="V964"/>
      <c r="W964"/>
      <c r="X964"/>
      <c r="Y964"/>
      <c r="Z964"/>
      <c r="AA964"/>
      <c r="AB964"/>
      <c r="AC964"/>
      <c r="AD964"/>
      <c r="AE964"/>
      <c r="AF964"/>
      <c r="AG964"/>
      <c r="AH964"/>
      <c r="AI964"/>
    </row>
    <row r="965" spans="1:35" s="33" customFormat="1" ht="15.75">
      <c r="A965" s="178"/>
      <c r="B965" s="166"/>
      <c r="C965" s="125"/>
      <c r="D965" s="125"/>
      <c r="E965" s="32"/>
      <c r="F965"/>
      <c r="G965"/>
      <c r="H965"/>
      <c r="I965"/>
      <c r="J965"/>
      <c r="K965"/>
      <c r="L965"/>
      <c r="M965"/>
      <c r="N965"/>
      <c r="O965"/>
      <c r="P965"/>
      <c r="Q965"/>
      <c r="R965"/>
      <c r="S965"/>
      <c r="T965"/>
      <c r="U965"/>
      <c r="V965"/>
      <c r="W965"/>
      <c r="X965"/>
      <c r="Y965"/>
      <c r="Z965"/>
      <c r="AA965"/>
      <c r="AB965"/>
      <c r="AC965"/>
      <c r="AD965"/>
      <c r="AE965"/>
      <c r="AF965"/>
      <c r="AG965"/>
      <c r="AH965"/>
      <c r="AI965"/>
    </row>
    <row r="966" spans="1:35" s="33" customFormat="1" ht="15.75">
      <c r="A966" s="178"/>
      <c r="B966" s="166"/>
      <c r="C966" s="125"/>
      <c r="D966" s="125"/>
      <c r="E966" s="32"/>
      <c r="F966"/>
      <c r="G966"/>
      <c r="H966"/>
      <c r="I966"/>
      <c r="J966"/>
      <c r="K966"/>
      <c r="L966"/>
      <c r="M966"/>
      <c r="N966"/>
      <c r="O966"/>
      <c r="P966"/>
      <c r="Q966"/>
      <c r="R966"/>
      <c r="S966"/>
      <c r="T966"/>
      <c r="U966"/>
      <c r="V966"/>
      <c r="W966"/>
      <c r="X966"/>
      <c r="Y966"/>
      <c r="Z966"/>
      <c r="AA966"/>
      <c r="AB966"/>
      <c r="AC966"/>
      <c r="AD966"/>
      <c r="AE966"/>
      <c r="AF966"/>
      <c r="AG966"/>
      <c r="AH966"/>
      <c r="AI966"/>
    </row>
    <row r="967" spans="1:35" s="33" customFormat="1" ht="15.75">
      <c r="A967" s="178"/>
      <c r="B967" s="166"/>
      <c r="C967" s="125"/>
      <c r="D967" s="125"/>
      <c r="E967" s="32"/>
      <c r="F967"/>
      <c r="G967"/>
      <c r="H967"/>
      <c r="I967"/>
      <c r="J967"/>
      <c r="K967"/>
      <c r="L967"/>
      <c r="M967"/>
      <c r="N967"/>
      <c r="O967"/>
      <c r="P967"/>
      <c r="Q967"/>
      <c r="R967"/>
      <c r="S967"/>
      <c r="T967"/>
      <c r="U967"/>
      <c r="V967"/>
      <c r="W967"/>
      <c r="X967"/>
      <c r="Y967"/>
      <c r="Z967"/>
      <c r="AA967"/>
      <c r="AB967"/>
      <c r="AC967"/>
      <c r="AD967"/>
      <c r="AE967"/>
      <c r="AF967"/>
      <c r="AG967"/>
      <c r="AH967"/>
      <c r="AI967"/>
    </row>
    <row r="968" spans="1:35" s="33" customFormat="1" ht="15.75">
      <c r="A968" s="178"/>
      <c r="B968" s="166"/>
      <c r="C968" s="125"/>
      <c r="D968" s="125"/>
      <c r="E968" s="32"/>
      <c r="F968"/>
      <c r="G968"/>
      <c r="H968"/>
      <c r="I968"/>
      <c r="J968"/>
      <c r="K968"/>
      <c r="L968"/>
      <c r="M968"/>
      <c r="N968"/>
      <c r="O968"/>
      <c r="P968"/>
      <c r="Q968"/>
      <c r="R968"/>
      <c r="S968"/>
      <c r="T968"/>
      <c r="U968"/>
      <c r="V968"/>
      <c r="W968"/>
      <c r="X968"/>
      <c r="Y968"/>
      <c r="Z968"/>
      <c r="AA968"/>
      <c r="AB968"/>
      <c r="AC968"/>
      <c r="AD968"/>
      <c r="AE968"/>
      <c r="AF968"/>
      <c r="AG968"/>
      <c r="AH968"/>
      <c r="AI968"/>
    </row>
    <row r="969" spans="1:35" s="33" customFormat="1" ht="15.75">
      <c r="A969" s="178"/>
      <c r="B969" s="166"/>
      <c r="C969" s="125"/>
      <c r="D969" s="125"/>
      <c r="E969" s="32"/>
      <c r="F969"/>
      <c r="G969"/>
      <c r="H969"/>
      <c r="I969"/>
      <c r="J969"/>
      <c r="K969"/>
      <c r="L969"/>
      <c r="M969"/>
      <c r="N969"/>
      <c r="O969"/>
      <c r="P969"/>
      <c r="Q969"/>
      <c r="R969"/>
      <c r="S969"/>
      <c r="T969"/>
      <c r="U969"/>
      <c r="V969"/>
      <c r="W969"/>
      <c r="X969"/>
      <c r="Y969"/>
      <c r="Z969"/>
      <c r="AA969"/>
      <c r="AB969"/>
      <c r="AC969"/>
      <c r="AD969"/>
      <c r="AE969"/>
      <c r="AF969"/>
      <c r="AG969"/>
      <c r="AH969"/>
      <c r="AI969"/>
    </row>
    <row r="970" spans="1:35" s="33" customFormat="1" ht="15.75">
      <c r="A970" s="178"/>
      <c r="B970" s="166"/>
      <c r="C970" s="125"/>
      <c r="D970" s="125"/>
      <c r="E970" s="32"/>
      <c r="F970"/>
      <c r="G970"/>
      <c r="H970"/>
      <c r="I970"/>
      <c r="J970"/>
      <c r="K970"/>
      <c r="L970"/>
      <c r="M970"/>
      <c r="N970"/>
      <c r="O970"/>
      <c r="P970"/>
      <c r="Q970"/>
      <c r="R970"/>
      <c r="S970"/>
      <c r="T970"/>
      <c r="U970"/>
      <c r="V970"/>
      <c r="W970"/>
      <c r="X970"/>
      <c r="Y970"/>
      <c r="Z970"/>
      <c r="AA970"/>
      <c r="AB970"/>
      <c r="AC970"/>
      <c r="AD970"/>
      <c r="AE970"/>
      <c r="AF970"/>
      <c r="AG970"/>
      <c r="AH970"/>
      <c r="AI970"/>
    </row>
    <row r="971" spans="1:35" s="33" customFormat="1" ht="15.75">
      <c r="A971" s="178"/>
      <c r="B971" s="166"/>
      <c r="C971" s="125"/>
      <c r="D971" s="125"/>
      <c r="E971" s="32"/>
      <c r="F971"/>
      <c r="G971"/>
      <c r="H971"/>
      <c r="I971"/>
      <c r="J971"/>
      <c r="K971"/>
      <c r="L971"/>
      <c r="M971"/>
      <c r="N971"/>
      <c r="O971"/>
      <c r="P971"/>
      <c r="Q971"/>
      <c r="R971"/>
      <c r="S971"/>
      <c r="T971"/>
      <c r="U971"/>
      <c r="V971"/>
      <c r="W971"/>
      <c r="X971"/>
      <c r="Y971"/>
      <c r="Z971"/>
      <c r="AA971"/>
      <c r="AB971"/>
      <c r="AC971"/>
      <c r="AD971"/>
      <c r="AE971"/>
      <c r="AF971"/>
      <c r="AG971"/>
      <c r="AH971"/>
      <c r="AI971"/>
    </row>
    <row r="972" spans="1:35" s="33" customFormat="1" ht="15.75">
      <c r="A972" s="178"/>
      <c r="B972" s="166"/>
      <c r="C972" s="125"/>
      <c r="D972" s="125"/>
      <c r="E972" s="32"/>
      <c r="F972"/>
      <c r="G972"/>
      <c r="H972"/>
      <c r="I972"/>
      <c r="J972"/>
      <c r="K972"/>
      <c r="L972"/>
      <c r="M972"/>
      <c r="N972"/>
      <c r="O972"/>
      <c r="P972"/>
      <c r="Q972"/>
      <c r="R972"/>
      <c r="S972"/>
      <c r="T972"/>
      <c r="U972"/>
      <c r="V972"/>
      <c r="W972"/>
      <c r="X972"/>
      <c r="Y972"/>
      <c r="Z972"/>
      <c r="AA972"/>
      <c r="AB972"/>
      <c r="AC972"/>
      <c r="AD972"/>
      <c r="AE972"/>
      <c r="AF972"/>
      <c r="AG972"/>
      <c r="AH972"/>
      <c r="AI972"/>
    </row>
    <row r="973" spans="1:35" s="33" customFormat="1" ht="15.75">
      <c r="A973" s="178"/>
      <c r="B973" s="166"/>
      <c r="C973" s="125"/>
      <c r="D973" s="125"/>
      <c r="E973" s="32"/>
      <c r="F973"/>
      <c r="G973"/>
      <c r="H973"/>
      <c r="I973"/>
      <c r="J973"/>
      <c r="K973"/>
      <c r="L973"/>
      <c r="M973"/>
      <c r="N973"/>
      <c r="O973"/>
      <c r="P973"/>
      <c r="Q973"/>
      <c r="R973"/>
      <c r="S973"/>
      <c r="T973"/>
      <c r="U973"/>
      <c r="V973"/>
      <c r="W973"/>
      <c r="X973"/>
      <c r="Y973"/>
      <c r="Z973"/>
      <c r="AA973"/>
      <c r="AB973"/>
      <c r="AC973"/>
      <c r="AD973"/>
      <c r="AE973"/>
      <c r="AF973"/>
      <c r="AG973"/>
      <c r="AH973"/>
      <c r="AI973"/>
    </row>
    <row r="974" spans="1:35" s="33" customFormat="1" ht="15.75">
      <c r="A974" s="178"/>
      <c r="B974" s="166"/>
      <c r="C974" s="125"/>
      <c r="D974" s="125"/>
      <c r="E974" s="32"/>
      <c r="F974"/>
      <c r="G974"/>
      <c r="H974"/>
      <c r="I974"/>
      <c r="J974"/>
      <c r="K974"/>
      <c r="L974"/>
      <c r="M974"/>
      <c r="N974"/>
      <c r="O974"/>
      <c r="P974"/>
      <c r="Q974"/>
      <c r="R974"/>
      <c r="S974"/>
      <c r="T974"/>
      <c r="U974"/>
      <c r="V974"/>
      <c r="W974"/>
      <c r="X974"/>
      <c r="Y974"/>
      <c r="Z974"/>
      <c r="AA974"/>
      <c r="AB974"/>
      <c r="AC974"/>
      <c r="AD974"/>
      <c r="AE974"/>
      <c r="AF974"/>
      <c r="AG974"/>
      <c r="AH974"/>
      <c r="AI974"/>
    </row>
    <row r="975" spans="1:35" s="33" customFormat="1" ht="15.75">
      <c r="A975" s="178"/>
      <c r="B975" s="166"/>
      <c r="C975" s="125"/>
      <c r="D975" s="125"/>
      <c r="E975" s="32"/>
      <c r="F975"/>
      <c r="G975"/>
      <c r="H975"/>
      <c r="I975"/>
      <c r="J975"/>
      <c r="K975"/>
      <c r="L975"/>
      <c r="M975"/>
      <c r="N975"/>
      <c r="O975"/>
      <c r="P975"/>
      <c r="Q975"/>
      <c r="R975"/>
      <c r="S975"/>
      <c r="T975"/>
      <c r="U975"/>
      <c r="V975"/>
      <c r="W975"/>
      <c r="X975"/>
      <c r="Y975"/>
      <c r="Z975"/>
      <c r="AA975"/>
      <c r="AB975"/>
      <c r="AC975"/>
      <c r="AD975"/>
      <c r="AE975"/>
      <c r="AF975"/>
      <c r="AG975"/>
      <c r="AH975"/>
      <c r="AI975"/>
    </row>
    <row r="976" spans="1:35" s="33" customFormat="1" ht="15.75">
      <c r="A976" s="178"/>
      <c r="B976" s="166"/>
      <c r="C976" s="125"/>
      <c r="D976" s="125"/>
      <c r="E976" s="32"/>
      <c r="F976"/>
      <c r="G976"/>
      <c r="H976"/>
      <c r="I976"/>
      <c r="J976"/>
      <c r="K976"/>
      <c r="L976"/>
      <c r="M976"/>
      <c r="N976"/>
      <c r="O976"/>
      <c r="P976"/>
      <c r="Q976"/>
      <c r="R976"/>
      <c r="S976"/>
      <c r="T976"/>
      <c r="U976"/>
      <c r="V976"/>
      <c r="W976"/>
      <c r="X976"/>
      <c r="Y976"/>
      <c r="Z976"/>
      <c r="AA976"/>
      <c r="AB976"/>
      <c r="AC976"/>
      <c r="AD976"/>
      <c r="AE976"/>
      <c r="AF976"/>
      <c r="AG976"/>
      <c r="AH976"/>
      <c r="AI976"/>
    </row>
    <row r="977" spans="1:35" s="33" customFormat="1" ht="15.75">
      <c r="A977" s="178"/>
      <c r="B977" s="166"/>
      <c r="C977" s="125"/>
      <c r="D977" s="125"/>
      <c r="E977" s="32"/>
      <c r="F977"/>
      <c r="G977"/>
      <c r="H977"/>
      <c r="I977"/>
      <c r="J977"/>
      <c r="K977"/>
      <c r="L977"/>
      <c r="M977"/>
      <c r="N977"/>
      <c r="O977"/>
      <c r="P977"/>
      <c r="Q977"/>
      <c r="R977"/>
      <c r="S977"/>
      <c r="T977"/>
      <c r="U977"/>
      <c r="V977"/>
      <c r="W977"/>
      <c r="X977"/>
      <c r="Y977"/>
      <c r="Z977"/>
      <c r="AA977"/>
      <c r="AB977"/>
      <c r="AC977"/>
      <c r="AD977"/>
      <c r="AE977"/>
      <c r="AF977"/>
      <c r="AG977"/>
      <c r="AH977"/>
      <c r="AI977"/>
    </row>
    <row r="978" spans="1:35" s="33" customFormat="1" ht="15.75">
      <c r="A978" s="178"/>
      <c r="B978" s="166"/>
      <c r="C978" s="125"/>
      <c r="D978" s="125"/>
      <c r="E978" s="32"/>
      <c r="F978"/>
      <c r="G978"/>
      <c r="H978"/>
      <c r="I978"/>
      <c r="J978"/>
      <c r="K978"/>
      <c r="L978"/>
      <c r="M978"/>
      <c r="N978"/>
      <c r="O978"/>
      <c r="P978"/>
      <c r="Q978"/>
      <c r="R978"/>
      <c r="S978"/>
      <c r="T978"/>
      <c r="U978"/>
      <c r="V978"/>
      <c r="W978"/>
      <c r="X978"/>
      <c r="Y978"/>
      <c r="Z978"/>
      <c r="AA978"/>
      <c r="AB978"/>
      <c r="AC978"/>
      <c r="AD978"/>
      <c r="AE978"/>
      <c r="AF978"/>
      <c r="AG978"/>
      <c r="AH978"/>
      <c r="AI978"/>
    </row>
    <row r="979" spans="1:35" s="33" customFormat="1" ht="15.75">
      <c r="A979" s="178"/>
      <c r="B979" s="166"/>
      <c r="C979" s="125"/>
      <c r="D979" s="125"/>
      <c r="E979" s="32"/>
      <c r="F979"/>
      <c r="G979"/>
      <c r="H979"/>
      <c r="I979"/>
      <c r="J979"/>
      <c r="K979"/>
      <c r="L979"/>
      <c r="M979"/>
      <c r="N979"/>
      <c r="O979"/>
      <c r="P979"/>
      <c r="Q979"/>
      <c r="R979"/>
      <c r="S979"/>
      <c r="T979"/>
      <c r="U979"/>
      <c r="V979"/>
      <c r="W979"/>
      <c r="X979"/>
      <c r="Y979"/>
      <c r="Z979"/>
      <c r="AA979"/>
      <c r="AB979"/>
      <c r="AC979"/>
      <c r="AD979"/>
      <c r="AE979"/>
      <c r="AF979"/>
      <c r="AG979"/>
      <c r="AH979"/>
      <c r="AI979"/>
    </row>
    <row r="980" spans="1:35" s="33" customFormat="1" ht="15.75">
      <c r="A980" s="178"/>
      <c r="B980" s="166"/>
      <c r="C980" s="125"/>
      <c r="D980" s="125"/>
      <c r="E980" s="32"/>
      <c r="F980"/>
      <c r="G980"/>
      <c r="H980"/>
      <c r="I980"/>
      <c r="J980"/>
      <c r="K980"/>
      <c r="L980"/>
      <c r="M980"/>
      <c r="N980"/>
      <c r="O980"/>
      <c r="P980"/>
      <c r="Q980"/>
      <c r="R980"/>
      <c r="S980"/>
      <c r="T980"/>
      <c r="U980"/>
      <c r="V980"/>
      <c r="W980"/>
      <c r="X980"/>
      <c r="Y980"/>
      <c r="Z980"/>
      <c r="AA980"/>
      <c r="AB980"/>
      <c r="AC980"/>
      <c r="AD980"/>
      <c r="AE980"/>
      <c r="AF980"/>
      <c r="AG980"/>
      <c r="AH980"/>
      <c r="AI980"/>
    </row>
    <row r="981" spans="1:35" s="33" customFormat="1" ht="15.75">
      <c r="A981" s="178"/>
      <c r="B981" s="166"/>
      <c r="C981" s="125"/>
      <c r="D981" s="125"/>
      <c r="E981" s="32"/>
      <c r="F981"/>
      <c r="G981"/>
      <c r="H981"/>
      <c r="I981"/>
      <c r="J981"/>
      <c r="K981"/>
      <c r="L981"/>
      <c r="M981"/>
      <c r="N981"/>
      <c r="O981"/>
      <c r="P981"/>
      <c r="Q981"/>
      <c r="R981"/>
      <c r="S981"/>
      <c r="T981"/>
      <c r="U981"/>
      <c r="V981"/>
      <c r="W981"/>
      <c r="X981"/>
      <c r="Y981"/>
      <c r="Z981"/>
      <c r="AA981"/>
      <c r="AB981"/>
      <c r="AC981"/>
      <c r="AD981"/>
      <c r="AE981"/>
      <c r="AF981"/>
      <c r="AG981"/>
      <c r="AH981"/>
      <c r="AI981"/>
    </row>
    <row r="982" spans="1:35" s="33" customFormat="1" ht="15.75">
      <c r="A982" s="178"/>
      <c r="B982" s="166"/>
      <c r="C982" s="125"/>
      <c r="D982" s="125"/>
      <c r="E982" s="32"/>
      <c r="F982"/>
      <c r="G982"/>
      <c r="H982"/>
      <c r="I982"/>
      <c r="J982"/>
      <c r="K982"/>
      <c r="L982"/>
      <c r="M982"/>
      <c r="N982"/>
      <c r="O982"/>
      <c r="P982"/>
      <c r="Q982"/>
      <c r="R982"/>
      <c r="S982"/>
      <c r="T982"/>
      <c r="U982"/>
      <c r="V982"/>
      <c r="W982"/>
      <c r="X982"/>
      <c r="Y982"/>
      <c r="Z982"/>
      <c r="AA982"/>
      <c r="AB982"/>
      <c r="AC982"/>
      <c r="AD982"/>
      <c r="AE982"/>
      <c r="AF982"/>
      <c r="AG982"/>
      <c r="AH982"/>
      <c r="AI982"/>
    </row>
    <row r="983" spans="1:35" s="33" customFormat="1" ht="15.75">
      <c r="A983" s="178"/>
      <c r="B983" s="166"/>
      <c r="C983" s="125"/>
      <c r="D983" s="125"/>
      <c r="E983" s="32"/>
      <c r="F983"/>
      <c r="G983"/>
      <c r="H983"/>
      <c r="I983"/>
      <c r="J983"/>
      <c r="K983"/>
      <c r="L983"/>
      <c r="M983"/>
      <c r="N983"/>
      <c r="O983"/>
      <c r="P983"/>
      <c r="Q983"/>
      <c r="R983"/>
      <c r="S983"/>
      <c r="T983"/>
      <c r="U983"/>
      <c r="V983"/>
      <c r="W983"/>
      <c r="X983"/>
      <c r="Y983"/>
      <c r="Z983"/>
      <c r="AA983"/>
      <c r="AB983"/>
      <c r="AC983"/>
      <c r="AD983"/>
      <c r="AE983"/>
      <c r="AF983"/>
      <c r="AG983"/>
      <c r="AH983"/>
      <c r="AI983"/>
    </row>
    <row r="984" spans="1:35" s="33" customFormat="1" ht="15.75">
      <c r="A984" s="178"/>
      <c r="B984" s="166"/>
      <c r="C984" s="125"/>
      <c r="D984" s="125"/>
      <c r="E984" s="32"/>
      <c r="F984"/>
      <c r="G984"/>
      <c r="H984"/>
      <c r="I984"/>
      <c r="J984"/>
      <c r="K984"/>
      <c r="L984"/>
      <c r="M984"/>
      <c r="N984"/>
      <c r="O984"/>
      <c r="P984"/>
      <c r="Q984"/>
      <c r="R984"/>
      <c r="S984"/>
      <c r="T984"/>
      <c r="U984"/>
      <c r="V984"/>
      <c r="W984"/>
      <c r="X984"/>
      <c r="Y984"/>
      <c r="Z984"/>
      <c r="AA984"/>
      <c r="AB984"/>
      <c r="AC984"/>
      <c r="AD984"/>
      <c r="AE984"/>
      <c r="AF984"/>
      <c r="AG984"/>
      <c r="AH984"/>
      <c r="AI984"/>
    </row>
    <row r="985" spans="1:35" s="33" customFormat="1" ht="15.75">
      <c r="A985" s="178"/>
      <c r="B985" s="166"/>
      <c r="C985" s="125"/>
      <c r="D985" s="125"/>
      <c r="E985" s="32"/>
      <c r="F985"/>
      <c r="G985"/>
      <c r="H985"/>
      <c r="I985"/>
      <c r="J985"/>
      <c r="K985"/>
      <c r="L985"/>
      <c r="M985"/>
      <c r="N985"/>
      <c r="O985"/>
      <c r="P985"/>
      <c r="Q985"/>
      <c r="R985"/>
      <c r="S985"/>
      <c r="T985"/>
      <c r="U985"/>
      <c r="V985"/>
      <c r="W985"/>
      <c r="X985"/>
      <c r="Y985"/>
      <c r="Z985"/>
      <c r="AA985"/>
      <c r="AB985"/>
      <c r="AC985"/>
      <c r="AD985"/>
      <c r="AE985"/>
      <c r="AF985"/>
      <c r="AG985"/>
      <c r="AH985"/>
      <c r="AI985"/>
    </row>
    <row r="986" spans="1:35" s="33" customFormat="1" ht="15.75">
      <c r="A986" s="178"/>
      <c r="B986" s="166"/>
      <c r="C986" s="125"/>
      <c r="D986" s="125"/>
      <c r="E986" s="32"/>
      <c r="F986"/>
      <c r="G986"/>
      <c r="H986"/>
      <c r="I986"/>
      <c r="J986"/>
      <c r="K986"/>
      <c r="L986"/>
      <c r="M986"/>
      <c r="N986"/>
      <c r="O986"/>
      <c r="P986"/>
      <c r="Q986"/>
      <c r="R986"/>
      <c r="S986"/>
      <c r="T986"/>
      <c r="U986"/>
      <c r="V986"/>
      <c r="W986"/>
      <c r="X986"/>
      <c r="Y986"/>
      <c r="Z986"/>
      <c r="AA986"/>
      <c r="AB986"/>
      <c r="AC986"/>
      <c r="AD986"/>
      <c r="AE986"/>
      <c r="AF986"/>
      <c r="AG986"/>
      <c r="AH986"/>
      <c r="AI986"/>
    </row>
    <row r="987" spans="1:35" s="33" customFormat="1" ht="15.75">
      <c r="A987" s="178"/>
      <c r="B987" s="166"/>
      <c r="C987" s="125"/>
      <c r="D987" s="125"/>
      <c r="E987" s="32"/>
      <c r="F987"/>
      <c r="G987"/>
      <c r="H987"/>
      <c r="I987"/>
      <c r="J987"/>
      <c r="K987"/>
      <c r="L987"/>
      <c r="M987"/>
      <c r="N987"/>
      <c r="O987"/>
      <c r="P987"/>
      <c r="Q987"/>
      <c r="R987"/>
      <c r="S987"/>
      <c r="T987"/>
      <c r="U987"/>
      <c r="V987"/>
      <c r="W987"/>
      <c r="X987"/>
      <c r="Y987"/>
      <c r="Z987"/>
      <c r="AA987"/>
      <c r="AB987"/>
      <c r="AC987"/>
      <c r="AD987"/>
      <c r="AE987"/>
      <c r="AF987"/>
      <c r="AG987"/>
      <c r="AH987"/>
      <c r="AI987"/>
    </row>
    <row r="988" spans="1:35" s="33" customFormat="1" ht="15.75">
      <c r="A988" s="178"/>
      <c r="B988" s="166"/>
      <c r="C988" s="125"/>
      <c r="D988" s="125"/>
      <c r="E988" s="32"/>
      <c r="F988"/>
      <c r="G988"/>
      <c r="H988"/>
      <c r="I988"/>
      <c r="J988"/>
      <c r="K988"/>
      <c r="L988"/>
      <c r="M988"/>
      <c r="N988"/>
      <c r="O988"/>
      <c r="P988"/>
      <c r="Q988"/>
      <c r="R988"/>
      <c r="S988"/>
      <c r="T988"/>
      <c r="U988"/>
      <c r="V988"/>
      <c r="W988"/>
      <c r="X988"/>
      <c r="Y988"/>
      <c r="Z988"/>
      <c r="AA988"/>
      <c r="AB988"/>
      <c r="AC988"/>
      <c r="AD988"/>
      <c r="AE988"/>
      <c r="AF988"/>
      <c r="AG988"/>
      <c r="AH988"/>
      <c r="AI988"/>
    </row>
    <row r="989" spans="1:35" s="33" customFormat="1" ht="15.75">
      <c r="A989" s="178"/>
      <c r="B989" s="166"/>
      <c r="C989" s="125"/>
      <c r="D989" s="125"/>
      <c r="E989" s="32"/>
      <c r="F989"/>
      <c r="G989"/>
      <c r="H989"/>
      <c r="I989"/>
      <c r="J989"/>
      <c r="K989"/>
      <c r="L989"/>
      <c r="M989"/>
      <c r="N989"/>
      <c r="O989"/>
      <c r="P989"/>
      <c r="Q989"/>
      <c r="R989"/>
      <c r="S989"/>
      <c r="T989"/>
      <c r="U989"/>
      <c r="V989"/>
      <c r="W989"/>
      <c r="X989"/>
      <c r="Y989"/>
      <c r="Z989"/>
      <c r="AA989"/>
      <c r="AB989"/>
      <c r="AC989"/>
      <c r="AD989"/>
      <c r="AE989"/>
      <c r="AF989"/>
      <c r="AG989"/>
      <c r="AH989"/>
      <c r="AI989"/>
    </row>
    <row r="990" spans="1:35" s="33" customFormat="1" ht="15.75">
      <c r="A990" s="178"/>
      <c r="B990" s="166"/>
      <c r="C990" s="125"/>
      <c r="D990" s="125"/>
      <c r="E990" s="32"/>
      <c r="F990"/>
      <c r="G990"/>
      <c r="H990"/>
      <c r="I990"/>
      <c r="J990"/>
      <c r="K990"/>
      <c r="L990"/>
      <c r="M990"/>
      <c r="N990"/>
      <c r="O990"/>
      <c r="P990"/>
      <c r="Q990"/>
      <c r="R990"/>
      <c r="S990"/>
      <c r="T990"/>
      <c r="U990"/>
      <c r="V990"/>
      <c r="W990"/>
      <c r="X990"/>
      <c r="Y990"/>
      <c r="Z990"/>
      <c r="AA990"/>
      <c r="AB990"/>
      <c r="AC990"/>
      <c r="AD990"/>
      <c r="AE990"/>
      <c r="AF990"/>
      <c r="AG990"/>
      <c r="AH990"/>
      <c r="AI990"/>
    </row>
    <row r="991" spans="1:35" s="33" customFormat="1" ht="15.75">
      <c r="A991" s="178"/>
      <c r="B991" s="166"/>
      <c r="C991" s="125"/>
      <c r="D991" s="125"/>
      <c r="E991" s="32"/>
      <c r="F991"/>
      <c r="G991"/>
      <c r="H991"/>
      <c r="I991"/>
      <c r="J991"/>
      <c r="K991"/>
      <c r="L991"/>
      <c r="M991"/>
      <c r="N991"/>
      <c r="O991"/>
      <c r="P991"/>
      <c r="Q991"/>
      <c r="R991"/>
      <c r="S991"/>
      <c r="T991"/>
      <c r="U991"/>
      <c r="V991"/>
      <c r="W991"/>
      <c r="X991"/>
      <c r="Y991"/>
      <c r="Z991"/>
      <c r="AA991"/>
      <c r="AB991"/>
      <c r="AC991"/>
      <c r="AD991"/>
      <c r="AE991"/>
      <c r="AF991"/>
      <c r="AG991"/>
      <c r="AH991"/>
      <c r="AI991"/>
    </row>
    <row r="992" spans="1:35" s="33" customFormat="1" ht="15.75">
      <c r="A992" s="178"/>
      <c r="B992" s="166"/>
      <c r="C992" s="125"/>
      <c r="D992" s="125"/>
      <c r="E992" s="32"/>
      <c r="F992"/>
      <c r="G992"/>
      <c r="H992"/>
      <c r="I992"/>
      <c r="J992"/>
      <c r="K992"/>
      <c r="L992"/>
      <c r="M992"/>
      <c r="N992"/>
      <c r="O992"/>
      <c r="P992"/>
      <c r="Q992"/>
      <c r="R992"/>
      <c r="S992"/>
      <c r="T992"/>
      <c r="U992"/>
      <c r="V992"/>
      <c r="W992"/>
      <c r="X992"/>
      <c r="Y992"/>
      <c r="Z992"/>
      <c r="AA992"/>
      <c r="AB992"/>
      <c r="AC992"/>
      <c r="AD992"/>
      <c r="AE992"/>
      <c r="AF992"/>
      <c r="AG992"/>
      <c r="AH992"/>
      <c r="AI992"/>
    </row>
    <row r="993" spans="1:35" s="33" customFormat="1" ht="15.75">
      <c r="A993" s="178"/>
      <c r="B993" s="166"/>
      <c r="C993" s="125"/>
      <c r="D993" s="125"/>
      <c r="E993" s="32"/>
      <c r="F993"/>
      <c r="G993"/>
      <c r="H993"/>
      <c r="I993"/>
      <c r="J993"/>
      <c r="K993"/>
      <c r="L993"/>
      <c r="M993"/>
      <c r="N993"/>
      <c r="O993"/>
      <c r="P993"/>
      <c r="Q993"/>
      <c r="R993"/>
      <c r="S993"/>
      <c r="T993"/>
      <c r="U993"/>
      <c r="V993"/>
      <c r="W993"/>
      <c r="X993"/>
      <c r="Y993"/>
      <c r="Z993"/>
      <c r="AA993"/>
      <c r="AB993"/>
      <c r="AC993"/>
      <c r="AD993"/>
      <c r="AE993"/>
      <c r="AF993"/>
      <c r="AG993"/>
      <c r="AH993"/>
      <c r="AI993"/>
    </row>
    <row r="994" spans="1:35" s="33" customFormat="1" ht="15.75">
      <c r="A994" s="178"/>
      <c r="B994" s="166"/>
      <c r="C994" s="125"/>
      <c r="D994" s="125"/>
      <c r="E994" s="32"/>
      <c r="F994"/>
      <c r="G994"/>
      <c r="H994"/>
      <c r="I994"/>
      <c r="J994"/>
      <c r="K994"/>
      <c r="L994"/>
      <c r="M994"/>
      <c r="N994"/>
      <c r="O994"/>
      <c r="P994"/>
      <c r="Q994"/>
      <c r="R994"/>
      <c r="S994"/>
      <c r="T994"/>
      <c r="U994"/>
      <c r="V994"/>
      <c r="W994"/>
      <c r="X994"/>
      <c r="Y994"/>
      <c r="Z994"/>
      <c r="AA994"/>
      <c r="AB994"/>
      <c r="AC994"/>
      <c r="AD994"/>
      <c r="AE994"/>
      <c r="AF994"/>
      <c r="AG994"/>
      <c r="AH994"/>
      <c r="AI994"/>
    </row>
    <row r="995" spans="1:35" s="33" customFormat="1" ht="15.75">
      <c r="A995" s="178"/>
      <c r="B995" s="166"/>
      <c r="C995" s="125"/>
      <c r="D995" s="125"/>
      <c r="E995" s="32"/>
      <c r="F995"/>
      <c r="G995"/>
      <c r="H995"/>
      <c r="I995"/>
      <c r="J995"/>
      <c r="K995"/>
      <c r="L995"/>
      <c r="M995"/>
      <c r="N995"/>
      <c r="O995"/>
      <c r="P995"/>
      <c r="Q995"/>
      <c r="R995"/>
      <c r="S995"/>
      <c r="T995"/>
      <c r="U995"/>
      <c r="V995"/>
      <c r="W995"/>
      <c r="X995"/>
      <c r="Y995"/>
      <c r="Z995"/>
      <c r="AA995"/>
      <c r="AB995"/>
      <c r="AC995"/>
      <c r="AD995"/>
      <c r="AE995"/>
      <c r="AF995"/>
      <c r="AG995"/>
      <c r="AH995"/>
      <c r="AI995"/>
    </row>
    <row r="996" spans="1:35" s="33" customFormat="1" ht="15.75">
      <c r="A996" s="178"/>
      <c r="B996" s="166"/>
      <c r="C996" s="125"/>
      <c r="D996" s="125"/>
      <c r="E996" s="32"/>
      <c r="F996"/>
      <c r="G996"/>
      <c r="H996"/>
      <c r="I996"/>
      <c r="J996"/>
      <c r="K996"/>
      <c r="L996"/>
      <c r="M996"/>
      <c r="N996"/>
      <c r="O996"/>
      <c r="P996"/>
      <c r="Q996"/>
      <c r="R996"/>
      <c r="S996"/>
      <c r="T996"/>
      <c r="U996"/>
      <c r="V996"/>
      <c r="W996"/>
      <c r="X996"/>
      <c r="Y996"/>
      <c r="Z996"/>
      <c r="AA996"/>
      <c r="AB996"/>
      <c r="AC996"/>
      <c r="AD996"/>
      <c r="AE996"/>
      <c r="AF996"/>
      <c r="AG996"/>
      <c r="AH996"/>
      <c r="AI996"/>
    </row>
    <row r="997" spans="1:35" s="33" customFormat="1" ht="15.75">
      <c r="A997" s="178"/>
      <c r="B997" s="166"/>
      <c r="C997" s="125"/>
      <c r="D997" s="125"/>
      <c r="E997" s="32"/>
      <c r="F997"/>
      <c r="G997"/>
      <c r="H997"/>
      <c r="I997"/>
      <c r="J997"/>
      <c r="K997"/>
      <c r="L997"/>
      <c r="M997"/>
      <c r="N997"/>
      <c r="O997"/>
      <c r="P997"/>
      <c r="Q997"/>
      <c r="R997"/>
      <c r="S997"/>
      <c r="T997"/>
      <c r="U997"/>
      <c r="V997"/>
      <c r="W997"/>
      <c r="X997"/>
      <c r="Y997"/>
      <c r="Z997"/>
      <c r="AA997"/>
      <c r="AB997"/>
      <c r="AC997"/>
      <c r="AD997"/>
      <c r="AE997"/>
      <c r="AF997"/>
      <c r="AG997"/>
      <c r="AH997"/>
      <c r="AI997"/>
    </row>
    <row r="998" spans="1:35" s="33" customFormat="1" ht="15.75">
      <c r="A998" s="178"/>
      <c r="B998" s="166"/>
      <c r="C998" s="125"/>
      <c r="D998" s="125"/>
      <c r="E998" s="32"/>
      <c r="F998"/>
      <c r="G998"/>
      <c r="H998"/>
      <c r="I998"/>
      <c r="J998"/>
      <c r="K998"/>
      <c r="L998"/>
      <c r="M998"/>
      <c r="N998"/>
      <c r="O998"/>
      <c r="P998"/>
      <c r="Q998"/>
      <c r="R998"/>
      <c r="S998"/>
      <c r="T998"/>
      <c r="U998"/>
      <c r="V998"/>
      <c r="W998"/>
      <c r="X998"/>
      <c r="Y998"/>
      <c r="Z998"/>
      <c r="AA998"/>
      <c r="AB998"/>
      <c r="AC998"/>
      <c r="AD998"/>
      <c r="AE998"/>
      <c r="AF998"/>
      <c r="AG998"/>
      <c r="AH998"/>
      <c r="AI998"/>
    </row>
    <row r="999" spans="1:35" s="33" customFormat="1" ht="15.75">
      <c r="A999" s="178"/>
      <c r="B999" s="166"/>
      <c r="C999" s="125"/>
      <c r="D999" s="125"/>
      <c r="E999" s="32"/>
      <c r="F999"/>
      <c r="G999"/>
      <c r="H999"/>
      <c r="I999"/>
      <c r="J999"/>
      <c r="K999"/>
      <c r="L999"/>
      <c r="M999"/>
      <c r="N999"/>
      <c r="O999"/>
      <c r="P999"/>
      <c r="Q999"/>
      <c r="R999"/>
      <c r="S999"/>
      <c r="T999"/>
      <c r="U999"/>
      <c r="V999"/>
      <c r="W999"/>
      <c r="X999"/>
      <c r="Y999"/>
      <c r="Z999"/>
      <c r="AA999"/>
      <c r="AB999"/>
      <c r="AC999"/>
      <c r="AD999"/>
      <c r="AE999"/>
      <c r="AF999"/>
      <c r="AG999"/>
      <c r="AH999"/>
      <c r="AI999"/>
    </row>
    <row r="1000" spans="1:35" s="33" customFormat="1" ht="15.75">
      <c r="A1000" s="178"/>
      <c r="B1000" s="166"/>
      <c r="C1000" s="125"/>
      <c r="D1000" s="125"/>
      <c r="E1000" s="32"/>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3.15" customHeight="1" thickBot="1">
      <c r="A1001" s="179"/>
      <c r="B1001" s="394" t="str">
        <f ca="1">OFFSET(L!$C$1,MATCH("General"&amp;"Cpy",L!$A:$A,0)-1,SL,,)</f>
        <v>© 2016 Conflict-Free Sourcing Initiative. All rights reserved.</v>
      </c>
      <c r="C1001" s="394"/>
      <c r="D1001" s="394"/>
      <c r="E1001" s="31"/>
    </row>
    <row r="1002" spans="1:35" ht="13.5" thickTop="1">
      <c r="D1002" s="132"/>
    </row>
  </sheetData>
  <sheetProtection password="E985" sheet="1" objects="1" scenarios="1" formatRows="0" deleteRows="0"/>
  <mergeCells count="3">
    <mergeCell ref="B4:D4"/>
    <mergeCell ref="A1:D1"/>
    <mergeCell ref="B1001:D1001"/>
  </mergeCells>
  <phoneticPr fontId="29"/>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37"/>
  <sheetViews>
    <sheetView workbookViewId="0">
      <pane ySplit="4" topLeftCell="A5" activePane="bottomLeft" state="frozen"/>
      <selection pane="bottomLeft" activeCell="A5" sqref="A5"/>
    </sheetView>
  </sheetViews>
  <sheetFormatPr baseColWidth="10" defaultColWidth="8.75" defaultRowHeight="10.5"/>
  <cols>
    <col min="1" max="1" width="9.25" style="46" bestFit="1" customWidth="1"/>
    <col min="2" max="2" width="42.875" style="46" customWidth="1"/>
    <col min="3" max="3" width="40.25" style="46" customWidth="1"/>
    <col min="4" max="4" width="22.75" style="46" customWidth="1"/>
    <col min="5" max="5" width="12.625" style="46" customWidth="1"/>
    <col min="6" max="6" width="12.625" style="206" customWidth="1"/>
    <col min="7" max="7" width="15.375" style="46" customWidth="1"/>
    <col min="8" max="8" width="23.875" style="46" customWidth="1"/>
    <col min="9" max="9" width="20.875" style="46" customWidth="1"/>
    <col min="10" max="10" width="38.625" style="46" hidden="1" customWidth="1"/>
    <col min="11" max="11" width="24.25" style="46" hidden="1" customWidth="1"/>
    <col min="12" max="12" width="17.5" style="46" customWidth="1"/>
    <col min="13" max="13" width="16.25" style="46" customWidth="1"/>
    <col min="14" max="16384" width="8.75" style="46"/>
  </cols>
  <sheetData>
    <row r="1" spans="1:13" ht="134.25" customHeight="1">
      <c r="A1" s="395" t="str">
        <f ca="1">OFFSET(L!$C$1,MATCH("Smelter Reference List"&amp;ADDRESS(ROW(),COLUMN(),4),L!$A:$A,0)-1,SL,,)</f>
        <v xml:space="preserve">The following list represents the CFSI’s latest smelter name / alias information as of this template’s release.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Column B is a list of commonly used names for known smelters that are eligible for CFSP’s audit program.
Column C is the list of the official standard smelter names, understood to be the legal names of the eligible smelters. The majority of smelters will have the same entry for both columns, however if the common name varies from the standard name, the variation is noted in Column B. </v>
      </c>
      <c r="B1" s="395"/>
      <c r="C1" s="395"/>
      <c r="D1" s="395"/>
      <c r="E1" s="395"/>
      <c r="F1" s="395"/>
      <c r="G1" s="395"/>
    </row>
    <row r="4" spans="1:13" s="251" customFormat="1" ht="42">
      <c r="A4" s="212" t="str">
        <f ca="1">OFFSET(L!$C$1,MATCH("Smelter Reference List"&amp;ADDRESS(ROW(),COLUMN(),4),L!$A:$A,0)-1,SL,,)</f>
        <v>Metal</v>
      </c>
      <c r="B4" s="212" t="str">
        <f ca="1">OFFSET(L!$C$1,MATCH("Smelter Reference List"&amp;ADDRESS(ROW(),COLUMN(),4),L!$A:$A,0)-1,SL,,)</f>
        <v>Smelter Reference List</v>
      </c>
      <c r="C4" s="212" t="str">
        <f ca="1">OFFSET(L!$C$1,MATCH("Smelter Reference List"&amp;ADDRESS(ROW(),COLUMN(),4),L!$A:$A,0)-1,SL,,)</f>
        <v>Standard Smelter Names</v>
      </c>
      <c r="D4" s="212" t="str">
        <f ca="1">OFFSET(L!$C$1,MATCH("Smelter Reference List"&amp;ADDRESS(ROW(),COLUMN(),4),L!$A:$A,0)-1,SL,,)</f>
        <v>Smelter Facility Location: Country</v>
      </c>
      <c r="E4" s="212" t="str">
        <f ca="1">OFFSET(L!$C$1,MATCH("Smelter Reference List"&amp;ADDRESS(ROW(),COLUMN(),4),L!$A:$A,0)-1,SL,,)</f>
        <v>New Smelter ID</v>
      </c>
      <c r="F4" s="212" t="str">
        <f ca="1">OFFSET(L!$C$1,MATCH("Smelter Reference List"&amp;ADDRESS(ROW(),COLUMN(),4),L!$A:$A,0)-1,SL,,)</f>
        <v>Source of Smelter Identification Number</v>
      </c>
      <c r="G4" s="212" t="str">
        <f ca="1">OFFSET(L!$C$1,MATCH("Smelter Reference List"&amp;ADDRESS(ROW(),COLUMN(),4),L!$A:$A,0)-1,SL,,)</f>
        <v xml:space="preserve">Smelter Street </v>
      </c>
      <c r="H4" s="212" t="str">
        <f ca="1">OFFSET(L!$C$1,MATCH("Smelter Reference List"&amp;ADDRESS(ROW(),COLUMN(),4),L!$A:$A,0)-1,SL,,)</f>
        <v>Smelter City</v>
      </c>
      <c r="I4" s="212" t="str">
        <f ca="1">OFFSET(L!$C$1,MATCH("Smelter Reference List"&amp;ADDRESS(ROW(),COLUMN(),4),L!$A:$A,0)-1,SL,,)</f>
        <v>Smelter Facility Location: State / Province</v>
      </c>
      <c r="J4" s="212" t="s">
        <v>1456</v>
      </c>
      <c r="K4" s="212" t="s">
        <v>1456</v>
      </c>
      <c r="L4" s="252"/>
      <c r="M4" s="252"/>
    </row>
    <row r="5" spans="1:13" ht="10.5" customHeight="1">
      <c r="A5" s="255" t="s">
        <v>2323</v>
      </c>
      <c r="B5" s="255" t="s">
        <v>31</v>
      </c>
      <c r="C5" s="255" t="s">
        <v>1317</v>
      </c>
      <c r="D5" s="255" t="s">
        <v>1759</v>
      </c>
      <c r="E5" s="255" t="s">
        <v>1318</v>
      </c>
      <c r="F5" s="255" t="s">
        <v>3125</v>
      </c>
      <c r="G5" s="255"/>
      <c r="H5" s="255" t="s">
        <v>3292</v>
      </c>
      <c r="I5" s="255" t="s">
        <v>3230</v>
      </c>
      <c r="J5" s="46" t="str">
        <f t="shared" ref="J5:J68" si="0">A5&amp;B5</f>
        <v>GoldAccurate Refining Group</v>
      </c>
      <c r="K5" s="46" t="str">
        <f t="shared" ref="K5:K68" si="1">A5&amp;B5</f>
        <v>GoldAccurate Refining Group</v>
      </c>
      <c r="L5" s="255"/>
    </row>
    <row r="6" spans="1:13" ht="10.5" customHeight="1">
      <c r="A6" s="255" t="s">
        <v>2323</v>
      </c>
      <c r="B6" s="255" t="s">
        <v>2684</v>
      </c>
      <c r="C6" s="255" t="s">
        <v>2684</v>
      </c>
      <c r="D6" s="255" t="s">
        <v>1759</v>
      </c>
      <c r="E6" s="255" t="s">
        <v>2685</v>
      </c>
      <c r="F6" s="255" t="s">
        <v>3125</v>
      </c>
      <c r="G6" s="255"/>
      <c r="H6" s="255" t="s">
        <v>3126</v>
      </c>
      <c r="I6" s="255" t="s">
        <v>3127</v>
      </c>
      <c r="J6" s="46" t="str">
        <f t="shared" si="0"/>
        <v>GoldAdvanced Chemical Company</v>
      </c>
      <c r="K6" s="46" t="str">
        <f t="shared" si="1"/>
        <v>GoldAdvanced Chemical Company</v>
      </c>
      <c r="L6" s="255"/>
    </row>
    <row r="7" spans="1:13" ht="10.5" customHeight="1">
      <c r="A7" s="255" t="s">
        <v>2323</v>
      </c>
      <c r="B7" s="255" t="s">
        <v>3320</v>
      </c>
      <c r="C7" s="255" t="s">
        <v>2322</v>
      </c>
      <c r="D7" s="255" t="s">
        <v>2154</v>
      </c>
      <c r="E7" s="255" t="s">
        <v>1332</v>
      </c>
      <c r="F7" s="255" t="s">
        <v>3125</v>
      </c>
      <c r="G7" s="255"/>
      <c r="H7" s="255" t="s">
        <v>3318</v>
      </c>
      <c r="I7" s="255" t="s">
        <v>3319</v>
      </c>
      <c r="J7" s="46" t="str">
        <f t="shared" si="0"/>
        <v>GoldAGR Mathey</v>
      </c>
      <c r="K7" s="46" t="str">
        <f t="shared" si="1"/>
        <v>GoldAGR Mathey</v>
      </c>
      <c r="L7" s="255"/>
    </row>
    <row r="8" spans="1:13" ht="10.5" customHeight="1">
      <c r="A8" s="255" t="s">
        <v>2323</v>
      </c>
      <c r="B8" s="255" t="s">
        <v>3321</v>
      </c>
      <c r="C8" s="255" t="s">
        <v>2322</v>
      </c>
      <c r="D8" s="255" t="s">
        <v>2154</v>
      </c>
      <c r="E8" s="255" t="s">
        <v>1332</v>
      </c>
      <c r="F8" s="255" t="s">
        <v>3125</v>
      </c>
      <c r="G8" s="255"/>
      <c r="H8" s="255" t="s">
        <v>3318</v>
      </c>
      <c r="I8" s="255" t="s">
        <v>3319</v>
      </c>
      <c r="J8" s="46" t="str">
        <f t="shared" si="0"/>
        <v>GoldAGR(Perth Mint Australia)</v>
      </c>
      <c r="K8" s="46" t="str">
        <f t="shared" si="1"/>
        <v>GoldAGR(Perth Mint Australia)</v>
      </c>
      <c r="L8" s="255"/>
    </row>
    <row r="9" spans="1:13" ht="10.5" customHeight="1">
      <c r="A9" s="255" t="s">
        <v>2323</v>
      </c>
      <c r="B9" s="255" t="s">
        <v>4146</v>
      </c>
      <c r="C9" s="255" t="s">
        <v>4146</v>
      </c>
      <c r="D9" s="255" t="s">
        <v>2249</v>
      </c>
      <c r="E9" s="255" t="s">
        <v>1234</v>
      </c>
      <c r="F9" s="255" t="s">
        <v>3125</v>
      </c>
      <c r="G9" s="255"/>
      <c r="H9" s="255" t="s">
        <v>3128</v>
      </c>
      <c r="I9" s="255" t="s">
        <v>3129</v>
      </c>
      <c r="J9" s="46" t="str">
        <f t="shared" si="0"/>
        <v>GoldAida Chemical Industries Co., Ltd.</v>
      </c>
      <c r="K9" s="46" t="str">
        <f t="shared" si="1"/>
        <v>GoldAida Chemical Industries Co., Ltd.</v>
      </c>
      <c r="L9" s="255"/>
    </row>
    <row r="10" spans="1:13" ht="10.5" customHeight="1">
      <c r="A10" s="255" t="s">
        <v>2323</v>
      </c>
      <c r="B10" s="255" t="s">
        <v>3355</v>
      </c>
      <c r="C10" s="255" t="s">
        <v>3355</v>
      </c>
      <c r="D10" s="255" t="s">
        <v>2147</v>
      </c>
      <c r="E10" s="255" t="s">
        <v>3356</v>
      </c>
      <c r="F10" s="255" t="s">
        <v>3125</v>
      </c>
      <c r="G10" s="255"/>
      <c r="H10" s="255" t="s">
        <v>3357</v>
      </c>
      <c r="I10" s="255" t="s">
        <v>3357</v>
      </c>
      <c r="J10" s="46" t="str">
        <f t="shared" si="0"/>
        <v>GoldAl Etihad Gold Refinery DMCC</v>
      </c>
      <c r="K10" s="46" t="str">
        <f t="shared" si="1"/>
        <v>GoldAl Etihad Gold Refinery DMCC</v>
      </c>
      <c r="L10" s="255"/>
    </row>
    <row r="11" spans="1:13" ht="10.5" customHeight="1">
      <c r="A11" s="255" t="s">
        <v>2323</v>
      </c>
      <c r="B11" s="255" t="s">
        <v>70</v>
      </c>
      <c r="C11" s="255" t="s">
        <v>70</v>
      </c>
      <c r="D11" s="255" t="s">
        <v>2195</v>
      </c>
      <c r="E11" s="255" t="s">
        <v>1235</v>
      </c>
      <c r="F11" s="255" t="s">
        <v>3125</v>
      </c>
      <c r="G11" s="255"/>
      <c r="H11" s="255" t="s">
        <v>3130</v>
      </c>
      <c r="I11" s="255" t="s">
        <v>3131</v>
      </c>
      <c r="J11" s="46" t="str">
        <f t="shared" si="0"/>
        <v>GoldAllgemeine Gold-und Silberscheideanstalt A.G.</v>
      </c>
      <c r="K11" s="46" t="str">
        <f t="shared" si="1"/>
        <v>GoldAllgemeine Gold-und Silberscheideanstalt A.G.</v>
      </c>
      <c r="L11" s="255"/>
    </row>
    <row r="12" spans="1:13" ht="10.5" customHeight="1">
      <c r="A12" s="255" t="s">
        <v>2323</v>
      </c>
      <c r="B12" s="255" t="s">
        <v>1190</v>
      </c>
      <c r="C12" s="255" t="s">
        <v>1190</v>
      </c>
      <c r="D12" s="255" t="s">
        <v>1760</v>
      </c>
      <c r="E12" s="255" t="s">
        <v>1236</v>
      </c>
      <c r="F12" s="255" t="s">
        <v>3125</v>
      </c>
      <c r="G12" s="255"/>
      <c r="H12" s="255" t="s">
        <v>3132</v>
      </c>
      <c r="I12" s="255" t="s">
        <v>3133</v>
      </c>
      <c r="J12" s="46" t="str">
        <f t="shared" si="0"/>
        <v>GoldAlmalyk Mining and Metallurgical Complex (AMMC)</v>
      </c>
      <c r="K12" s="46" t="str">
        <f t="shared" si="1"/>
        <v>GoldAlmalyk Mining and Metallurgical Complex (AMMC)</v>
      </c>
      <c r="L12" s="255"/>
    </row>
    <row r="13" spans="1:13" ht="10.5" customHeight="1">
      <c r="A13" s="255" t="s">
        <v>2323</v>
      </c>
      <c r="B13" s="255" t="s">
        <v>3141</v>
      </c>
      <c r="C13" s="255" t="s">
        <v>4670</v>
      </c>
      <c r="D13" s="255" t="s">
        <v>2249</v>
      </c>
      <c r="E13" s="255" t="s">
        <v>1239</v>
      </c>
      <c r="F13" s="255" t="s">
        <v>3125</v>
      </c>
      <c r="G13" s="255"/>
      <c r="H13" s="255" t="s">
        <v>3139</v>
      </c>
      <c r="I13" s="255" t="s">
        <v>3140</v>
      </c>
      <c r="J13" s="46" t="str">
        <f t="shared" si="0"/>
        <v>GoldAmagasaki Factory, Hyogo Prefecture, Japan</v>
      </c>
      <c r="K13" s="46" t="str">
        <f t="shared" si="1"/>
        <v>GoldAmagasaki Factory, Hyogo Prefecture, Japan</v>
      </c>
      <c r="L13" s="255"/>
    </row>
    <row r="14" spans="1:13" ht="10.5" customHeight="1">
      <c r="A14" s="255" t="s">
        <v>2323</v>
      </c>
      <c r="B14" s="255" t="s">
        <v>3134</v>
      </c>
      <c r="C14" s="255" t="s">
        <v>3134</v>
      </c>
      <c r="D14" s="255" t="s">
        <v>2170</v>
      </c>
      <c r="E14" s="255" t="s">
        <v>1237</v>
      </c>
      <c r="F14" s="255" t="s">
        <v>3125</v>
      </c>
      <c r="G14" s="255"/>
      <c r="H14" s="255" t="s">
        <v>3135</v>
      </c>
      <c r="I14" s="255" t="s">
        <v>3136</v>
      </c>
      <c r="J14" s="46" t="str">
        <f t="shared" si="0"/>
        <v>GoldAngloGold Ashanti Córrego do Sítio Mineração</v>
      </c>
      <c r="K14" s="46" t="str">
        <f t="shared" si="1"/>
        <v>GoldAngloGold Ashanti Córrego do Sítio Mineração</v>
      </c>
      <c r="L14" s="255"/>
    </row>
    <row r="15" spans="1:13" ht="10.5" customHeight="1">
      <c r="A15" s="255" t="s">
        <v>2323</v>
      </c>
      <c r="B15" s="255" t="s">
        <v>3308</v>
      </c>
      <c r="C15" s="255" t="s">
        <v>4251</v>
      </c>
      <c r="D15" s="255" t="s">
        <v>2181</v>
      </c>
      <c r="E15" s="255" t="s">
        <v>1326</v>
      </c>
      <c r="F15" s="255" t="s">
        <v>3125</v>
      </c>
      <c r="G15" s="255"/>
      <c r="H15" s="255" t="s">
        <v>3306</v>
      </c>
      <c r="I15" s="255" t="s">
        <v>3307</v>
      </c>
      <c r="J15" s="46" t="str">
        <f t="shared" si="0"/>
        <v>GoldAnhui Tongling Nonferrous Metal Mining Co., Ltd.</v>
      </c>
      <c r="K15" s="46" t="str">
        <f t="shared" si="1"/>
        <v>GoldAnhui Tongling Nonferrous Metal Mining Co., Ltd.</v>
      </c>
      <c r="L15" s="255"/>
    </row>
    <row r="16" spans="1:13" ht="10.5" customHeight="1">
      <c r="A16" s="255" t="s">
        <v>2323</v>
      </c>
      <c r="B16" s="255" t="s">
        <v>3322</v>
      </c>
      <c r="C16" s="255" t="s">
        <v>2322</v>
      </c>
      <c r="D16" s="255" t="s">
        <v>2154</v>
      </c>
      <c r="E16" s="255" t="s">
        <v>1332</v>
      </c>
      <c r="F16" s="255" t="s">
        <v>3125</v>
      </c>
      <c r="G16" s="255"/>
      <c r="H16" s="255" t="s">
        <v>3318</v>
      </c>
      <c r="I16" s="255" t="s">
        <v>3319</v>
      </c>
      <c r="J16" s="46" t="str">
        <f t="shared" si="0"/>
        <v>GoldANZ (Perth Mint 4N)</v>
      </c>
      <c r="K16" s="46" t="str">
        <f t="shared" si="1"/>
        <v>GoldANZ (Perth Mint 4N)</v>
      </c>
      <c r="L16" s="255"/>
    </row>
    <row r="17" spans="1:12" ht="10.5" customHeight="1">
      <c r="A17" s="255" t="s">
        <v>2323</v>
      </c>
      <c r="B17" s="255" t="s">
        <v>4669</v>
      </c>
      <c r="C17" s="255" t="s">
        <v>4669</v>
      </c>
      <c r="D17" s="255" t="s">
        <v>2179</v>
      </c>
      <c r="E17" s="255" t="s">
        <v>1238</v>
      </c>
      <c r="F17" s="255" t="s">
        <v>3125</v>
      </c>
      <c r="G17" s="255"/>
      <c r="H17" s="255" t="s">
        <v>3137</v>
      </c>
      <c r="I17" s="255" t="s">
        <v>3138</v>
      </c>
      <c r="J17" s="46" t="str">
        <f t="shared" si="0"/>
        <v>GoldArgor-Heraeus S.A.</v>
      </c>
      <c r="K17" s="46" t="str">
        <f t="shared" si="1"/>
        <v>GoldArgor-Heraeus S.A.</v>
      </c>
      <c r="L17" s="255"/>
    </row>
    <row r="18" spans="1:12" ht="10.5" customHeight="1">
      <c r="A18" s="255" t="s">
        <v>2323</v>
      </c>
      <c r="B18" s="255" t="s">
        <v>4670</v>
      </c>
      <c r="C18" s="255" t="s">
        <v>4670</v>
      </c>
      <c r="D18" s="255" t="s">
        <v>2249</v>
      </c>
      <c r="E18" s="255" t="s">
        <v>1239</v>
      </c>
      <c r="F18" s="255" t="s">
        <v>3125</v>
      </c>
      <c r="G18" s="255"/>
      <c r="H18" s="255" t="s">
        <v>3139</v>
      </c>
      <c r="I18" s="255" t="s">
        <v>3140</v>
      </c>
      <c r="J18" s="46" t="str">
        <f t="shared" si="0"/>
        <v>GoldAsahi Pretec Corp.</v>
      </c>
      <c r="K18" s="46" t="str">
        <f t="shared" si="1"/>
        <v>GoldAsahi Pretec Corp.</v>
      </c>
      <c r="L18" s="255"/>
    </row>
    <row r="19" spans="1:12" ht="10.5" customHeight="1">
      <c r="A19" s="255" t="s">
        <v>2323</v>
      </c>
      <c r="B19" s="255" t="s">
        <v>4671</v>
      </c>
      <c r="C19" s="255" t="s">
        <v>4671</v>
      </c>
      <c r="D19" s="255" t="s">
        <v>2177</v>
      </c>
      <c r="E19" s="255" t="s">
        <v>1274</v>
      </c>
      <c r="F19" s="255" t="s">
        <v>3125</v>
      </c>
      <c r="G19" s="255"/>
      <c r="H19" s="255" t="s">
        <v>3209</v>
      </c>
      <c r="I19" s="255" t="s">
        <v>3210</v>
      </c>
      <c r="J19" s="46" t="str">
        <f t="shared" si="0"/>
        <v>GoldAsahi Refining Canada Ltd.</v>
      </c>
      <c r="K19" s="46" t="str">
        <f t="shared" si="1"/>
        <v>GoldAsahi Refining Canada Ltd.</v>
      </c>
      <c r="L19" s="255"/>
    </row>
    <row r="20" spans="1:12" ht="10.5" customHeight="1">
      <c r="A20" s="255" t="s">
        <v>2323</v>
      </c>
      <c r="B20" s="255" t="s">
        <v>4267</v>
      </c>
      <c r="C20" s="255" t="s">
        <v>4267</v>
      </c>
      <c r="D20" s="255" t="s">
        <v>1759</v>
      </c>
      <c r="E20" s="255" t="s">
        <v>1273</v>
      </c>
      <c r="F20" s="255" t="s">
        <v>3125</v>
      </c>
      <c r="G20" s="255"/>
      <c r="H20" s="255" t="s">
        <v>3206</v>
      </c>
      <c r="I20" s="255" t="s">
        <v>3207</v>
      </c>
      <c r="J20" s="46" t="str">
        <f t="shared" si="0"/>
        <v>GoldAsahi Refining USA Inc.</v>
      </c>
      <c r="K20" s="46" t="str">
        <f t="shared" si="1"/>
        <v>GoldAsahi Refining USA Inc.</v>
      </c>
      <c r="L20" s="255"/>
    </row>
    <row r="21" spans="1:12" ht="10.5" customHeight="1">
      <c r="A21" s="255" t="s">
        <v>2323</v>
      </c>
      <c r="B21" s="255" t="s">
        <v>4147</v>
      </c>
      <c r="C21" s="255" t="s">
        <v>4147</v>
      </c>
      <c r="D21" s="255" t="s">
        <v>2249</v>
      </c>
      <c r="E21" s="255" t="s">
        <v>1240</v>
      </c>
      <c r="F21" s="255" t="s">
        <v>3125</v>
      </c>
      <c r="G21" s="255"/>
      <c r="H21" s="255" t="s">
        <v>3142</v>
      </c>
      <c r="I21" s="255" t="s">
        <v>3143</v>
      </c>
      <c r="J21" s="46" t="str">
        <f t="shared" si="0"/>
        <v>GoldAsaka Riken Co., Ltd.</v>
      </c>
      <c r="K21" s="46" t="str">
        <f t="shared" si="1"/>
        <v>GoldAsaka Riken Co., Ltd.</v>
      </c>
      <c r="L21" s="255"/>
    </row>
    <row r="22" spans="1:12" ht="10.5" customHeight="1">
      <c r="A22" s="255" t="s">
        <v>2323</v>
      </c>
      <c r="B22" s="255" t="s">
        <v>2447</v>
      </c>
      <c r="C22" s="255" t="s">
        <v>1191</v>
      </c>
      <c r="D22" s="255" t="s">
        <v>1751</v>
      </c>
      <c r="E22" s="255" t="s">
        <v>1241</v>
      </c>
      <c r="F22" s="255" t="s">
        <v>3125</v>
      </c>
      <c r="G22" s="255"/>
      <c r="H22" s="255" t="s">
        <v>3144</v>
      </c>
      <c r="I22" s="255" t="s">
        <v>3145</v>
      </c>
      <c r="J22" s="46" t="str">
        <f t="shared" si="0"/>
        <v>GoldATAkulche</v>
      </c>
      <c r="K22" s="46" t="str">
        <f t="shared" si="1"/>
        <v>GoldATAkulche</v>
      </c>
      <c r="L22" s="255"/>
    </row>
    <row r="23" spans="1:12" ht="10.5" customHeight="1">
      <c r="A23" s="255" t="s">
        <v>2323</v>
      </c>
      <c r="B23" s="255" t="s">
        <v>1191</v>
      </c>
      <c r="C23" s="255" t="s">
        <v>1191</v>
      </c>
      <c r="D23" s="255" t="s">
        <v>1751</v>
      </c>
      <c r="E23" s="255" t="s">
        <v>1241</v>
      </c>
      <c r="F23" s="255" t="s">
        <v>3125</v>
      </c>
      <c r="G23" s="255"/>
      <c r="H23" s="255" t="s">
        <v>3144</v>
      </c>
      <c r="I23" s="255" t="s">
        <v>3145</v>
      </c>
      <c r="J23" s="46" t="str">
        <f t="shared" si="0"/>
        <v>GoldAtasay Kuyumculuk Sanayi Ve Ticaret A.S.</v>
      </c>
      <c r="K23" s="46" t="str">
        <f t="shared" si="1"/>
        <v>GoldAtasay Kuyumculuk Sanayi Ve Ticaret A.S.</v>
      </c>
      <c r="L23" s="255"/>
    </row>
    <row r="24" spans="1:12" ht="10.5" customHeight="1">
      <c r="A24" s="255" t="s">
        <v>2323</v>
      </c>
      <c r="B24" s="255" t="s">
        <v>4672</v>
      </c>
      <c r="C24" s="255" t="s">
        <v>4672</v>
      </c>
      <c r="D24" s="255" t="s">
        <v>1772</v>
      </c>
      <c r="E24" s="255" t="s">
        <v>4673</v>
      </c>
      <c r="F24" s="255" t="s">
        <v>3125</v>
      </c>
      <c r="G24" s="255"/>
      <c r="H24" s="255" t="s">
        <v>4674</v>
      </c>
      <c r="I24" s="255" t="s">
        <v>3271</v>
      </c>
      <c r="J24" s="46" t="str">
        <f t="shared" si="0"/>
        <v>GoldAU Traders and Refiners</v>
      </c>
      <c r="K24" s="46" t="str">
        <f t="shared" si="1"/>
        <v>GoldAU Traders and Refiners</v>
      </c>
      <c r="L24" s="255"/>
    </row>
    <row r="25" spans="1:12" ht="10.5" customHeight="1">
      <c r="A25" s="255" t="s">
        <v>2323</v>
      </c>
      <c r="B25" s="255" t="s">
        <v>4675</v>
      </c>
      <c r="C25" s="255" t="s">
        <v>4675</v>
      </c>
      <c r="D25" s="255" t="s">
        <v>1759</v>
      </c>
      <c r="E25" s="255" t="s">
        <v>4676</v>
      </c>
      <c r="F25" s="255" t="s">
        <v>3125</v>
      </c>
      <c r="G25" s="255"/>
      <c r="H25" s="255" t="s">
        <v>4677</v>
      </c>
      <c r="I25" s="255" t="s">
        <v>4678</v>
      </c>
      <c r="J25" s="46" t="str">
        <f t="shared" si="0"/>
        <v>GoldAURA-II</v>
      </c>
      <c r="K25" s="46" t="str">
        <f t="shared" si="1"/>
        <v>GoldAURA-II</v>
      </c>
      <c r="L25" s="255"/>
    </row>
    <row r="26" spans="1:12" ht="10.5" customHeight="1">
      <c r="A26" s="255" t="s">
        <v>2323</v>
      </c>
      <c r="B26" s="255" t="s">
        <v>2448</v>
      </c>
      <c r="C26" s="255" t="s">
        <v>2448</v>
      </c>
      <c r="D26" s="255" t="s">
        <v>2195</v>
      </c>
      <c r="E26" s="255" t="s">
        <v>1242</v>
      </c>
      <c r="F26" s="255" t="s">
        <v>3125</v>
      </c>
      <c r="G26" s="255"/>
      <c r="H26" s="255" t="s">
        <v>3146</v>
      </c>
      <c r="I26" s="255" t="s">
        <v>3147</v>
      </c>
      <c r="J26" s="46" t="str">
        <f t="shared" si="0"/>
        <v>GoldAurubis AG</v>
      </c>
      <c r="K26" s="46" t="str">
        <f t="shared" si="1"/>
        <v>GoldAurubis AG</v>
      </c>
      <c r="L26" s="255"/>
    </row>
    <row r="27" spans="1:12" ht="10.5" customHeight="1">
      <c r="A27" s="255" t="s">
        <v>2323</v>
      </c>
      <c r="B27" s="255" t="s">
        <v>4679</v>
      </c>
      <c r="C27" s="255" t="s">
        <v>4679</v>
      </c>
      <c r="D27" s="255" t="s">
        <v>2239</v>
      </c>
      <c r="E27" s="255" t="s">
        <v>4680</v>
      </c>
      <c r="F27" s="255" t="s">
        <v>3125</v>
      </c>
      <c r="G27" s="255"/>
      <c r="H27" s="255" t="s">
        <v>4760</v>
      </c>
      <c r="I27" s="255" t="s">
        <v>4761</v>
      </c>
      <c r="J27" s="46" t="str">
        <f t="shared" si="0"/>
        <v>GoldBangalore Refinery</v>
      </c>
      <c r="K27" s="46" t="str">
        <f t="shared" si="1"/>
        <v>GoldBangalore Refinery</v>
      </c>
      <c r="L27" s="255"/>
    </row>
    <row r="28" spans="1:12" ht="10.5" customHeight="1">
      <c r="A28" s="255" t="s">
        <v>2323</v>
      </c>
      <c r="B28" s="255" t="s">
        <v>1786</v>
      </c>
      <c r="C28" s="255" t="s">
        <v>1786</v>
      </c>
      <c r="D28" s="255" t="s">
        <v>1705</v>
      </c>
      <c r="E28" s="255" t="s">
        <v>1243</v>
      </c>
      <c r="F28" s="255" t="s">
        <v>3125</v>
      </c>
      <c r="G28" s="255"/>
      <c r="H28" s="255" t="s">
        <v>4269</v>
      </c>
      <c r="I28" s="255" t="s">
        <v>3149</v>
      </c>
      <c r="J28" s="46" t="str">
        <f t="shared" si="0"/>
        <v>GoldBangko Sentral ng Pilipinas (Central Bank of the Philippines)</v>
      </c>
      <c r="K28" s="46" t="str">
        <f t="shared" si="1"/>
        <v>GoldBangko Sentral ng Pilipinas (Central Bank of the Philippines)</v>
      </c>
      <c r="L28" s="255"/>
    </row>
    <row r="29" spans="1:12" ht="10.5" customHeight="1">
      <c r="A29" s="255" t="s">
        <v>2323</v>
      </c>
      <c r="B29" s="255" t="s">
        <v>2450</v>
      </c>
      <c r="C29" s="255" t="s">
        <v>2450</v>
      </c>
      <c r="D29" s="255" t="s">
        <v>1736</v>
      </c>
      <c r="E29" s="255" t="s">
        <v>1244</v>
      </c>
      <c r="F29" s="255" t="s">
        <v>3125</v>
      </c>
      <c r="G29" s="255"/>
      <c r="H29" s="255" t="s">
        <v>3150</v>
      </c>
      <c r="I29" s="255" t="s">
        <v>3151</v>
      </c>
      <c r="J29" s="46" t="str">
        <f t="shared" si="0"/>
        <v>GoldBoliden AB</v>
      </c>
      <c r="K29" s="46" t="str">
        <f t="shared" si="1"/>
        <v>GoldBoliden AB</v>
      </c>
      <c r="L29" s="255"/>
    </row>
    <row r="30" spans="1:12" ht="10.5" customHeight="1">
      <c r="A30" s="255" t="s">
        <v>2323</v>
      </c>
      <c r="B30" s="255" t="s">
        <v>1245</v>
      </c>
      <c r="C30" s="255" t="s">
        <v>1245</v>
      </c>
      <c r="D30" s="255" t="s">
        <v>2195</v>
      </c>
      <c r="E30" s="255" t="s">
        <v>1246</v>
      </c>
      <c r="F30" s="255" t="s">
        <v>3125</v>
      </c>
      <c r="G30" s="255"/>
      <c r="H30" s="255" t="s">
        <v>3130</v>
      </c>
      <c r="I30" s="255" t="s">
        <v>3131</v>
      </c>
      <c r="J30" s="46" t="str">
        <f t="shared" si="0"/>
        <v>GoldC. Hafner GmbH + Co. KG</v>
      </c>
      <c r="K30" s="46" t="str">
        <f t="shared" si="1"/>
        <v>GoldC. Hafner GmbH + Co. KG</v>
      </c>
      <c r="L30" s="255"/>
    </row>
    <row r="31" spans="1:12" ht="10.5" customHeight="1">
      <c r="A31" s="255" t="s">
        <v>2323</v>
      </c>
      <c r="B31" s="255" t="s">
        <v>1787</v>
      </c>
      <c r="C31" s="255" t="s">
        <v>1787</v>
      </c>
      <c r="D31" s="255" t="s">
        <v>2275</v>
      </c>
      <c r="E31" s="255" t="s">
        <v>1247</v>
      </c>
      <c r="F31" s="255" t="s">
        <v>3125</v>
      </c>
      <c r="G31" s="255"/>
      <c r="H31" s="255" t="s">
        <v>3152</v>
      </c>
      <c r="I31" s="255" t="s">
        <v>3153</v>
      </c>
      <c r="J31" s="46" t="str">
        <f t="shared" si="0"/>
        <v>GoldCaridad</v>
      </c>
      <c r="K31" s="46" t="str">
        <f t="shared" si="1"/>
        <v>GoldCaridad</v>
      </c>
      <c r="L31" s="255"/>
    </row>
    <row r="32" spans="1:12" ht="10.5" customHeight="1">
      <c r="A32" s="255" t="s">
        <v>2323</v>
      </c>
      <c r="B32" s="255" t="s">
        <v>3156</v>
      </c>
      <c r="C32" s="255" t="s">
        <v>4323</v>
      </c>
      <c r="D32" s="255" t="s">
        <v>2177</v>
      </c>
      <c r="E32" s="255" t="s">
        <v>1248</v>
      </c>
      <c r="F32" s="255" t="s">
        <v>3125</v>
      </c>
      <c r="G32" s="255"/>
      <c r="H32" s="255" t="s">
        <v>3154</v>
      </c>
      <c r="I32" s="255" t="s">
        <v>3155</v>
      </c>
      <c r="J32" s="46" t="str">
        <f t="shared" si="0"/>
        <v>GoldCCR</v>
      </c>
      <c r="K32" s="46" t="str">
        <f t="shared" si="1"/>
        <v>GoldCCR</v>
      </c>
      <c r="L32" s="255"/>
    </row>
    <row r="33" spans="1:12" ht="10.5" customHeight="1">
      <c r="A33" s="255" t="s">
        <v>2323</v>
      </c>
      <c r="B33" s="255" t="s">
        <v>4323</v>
      </c>
      <c r="C33" s="255" t="s">
        <v>4323</v>
      </c>
      <c r="D33" s="255" t="s">
        <v>2177</v>
      </c>
      <c r="E33" s="255" t="s">
        <v>1248</v>
      </c>
      <c r="F33" s="255" t="s">
        <v>3125</v>
      </c>
      <c r="G33" s="255"/>
      <c r="H33" s="255" t="s">
        <v>3154</v>
      </c>
      <c r="I33" s="255" t="s">
        <v>3155</v>
      </c>
      <c r="J33" s="46" t="str">
        <f t="shared" si="0"/>
        <v>GoldCCR Refinery - Glencore Canada Corporation</v>
      </c>
      <c r="K33" s="46" t="str">
        <f t="shared" si="1"/>
        <v>GoldCCR Refinery - Glencore Canada Corporation</v>
      </c>
      <c r="L33" s="255"/>
    </row>
    <row r="34" spans="1:12" ht="10.5" customHeight="1">
      <c r="A34" s="255" t="s">
        <v>2323</v>
      </c>
      <c r="B34" s="255" t="s">
        <v>4681</v>
      </c>
      <c r="C34" s="255" t="s">
        <v>4682</v>
      </c>
      <c r="D34" s="255" t="s">
        <v>2179</v>
      </c>
      <c r="E34" s="255" t="s">
        <v>1249</v>
      </c>
      <c r="F34" s="255" t="s">
        <v>3125</v>
      </c>
      <c r="G34" s="255"/>
      <c r="H34" s="255" t="s">
        <v>3158</v>
      </c>
      <c r="I34" s="255" t="s">
        <v>3159</v>
      </c>
      <c r="J34" s="46" t="str">
        <f t="shared" si="0"/>
        <v>GoldCendres + M?taux SA</v>
      </c>
      <c r="K34" s="46" t="str">
        <f t="shared" si="1"/>
        <v>GoldCendres + M?taux SA</v>
      </c>
      <c r="L34" s="255"/>
    </row>
    <row r="35" spans="1:12" ht="10.5" customHeight="1">
      <c r="A35" s="255" t="s">
        <v>2323</v>
      </c>
      <c r="B35" s="255" t="s">
        <v>4682</v>
      </c>
      <c r="C35" s="255" t="s">
        <v>4682</v>
      </c>
      <c r="D35" s="255" t="s">
        <v>2179</v>
      </c>
      <c r="E35" s="255" t="s">
        <v>1249</v>
      </c>
      <c r="F35" s="255" t="s">
        <v>3125</v>
      </c>
      <c r="G35" s="255"/>
      <c r="H35" s="255" t="s">
        <v>3158</v>
      </c>
      <c r="I35" s="255" t="s">
        <v>3159</v>
      </c>
      <c r="J35" s="46" t="str">
        <f t="shared" si="0"/>
        <v>GoldCendres + Métaux S.A.</v>
      </c>
      <c r="K35" s="46" t="str">
        <f t="shared" si="1"/>
        <v>GoldCendres + Métaux S.A.</v>
      </c>
      <c r="L35" s="255"/>
    </row>
    <row r="36" spans="1:12" ht="10.5" customHeight="1">
      <c r="A36" s="255" t="s">
        <v>2323</v>
      </c>
      <c r="B36" s="255" t="s">
        <v>2449</v>
      </c>
      <c r="C36" s="255" t="s">
        <v>1786</v>
      </c>
      <c r="D36" s="255" t="s">
        <v>1705</v>
      </c>
      <c r="E36" s="255" t="s">
        <v>1243</v>
      </c>
      <c r="F36" s="255" t="s">
        <v>3125</v>
      </c>
      <c r="G36" s="255"/>
      <c r="H36" s="255" t="s">
        <v>4269</v>
      </c>
      <c r="I36" s="255" t="s">
        <v>3149</v>
      </c>
      <c r="J36" s="46" t="str">
        <f t="shared" si="0"/>
        <v>GoldCentral Bank of the Philippines Gold Refinery &amp; Mint</v>
      </c>
      <c r="K36" s="46" t="str">
        <f t="shared" si="1"/>
        <v>GoldCentral Bank of the Philippines Gold Refinery &amp; Mint</v>
      </c>
      <c r="L36" s="255"/>
    </row>
    <row r="37" spans="1:12" ht="10.5" customHeight="1">
      <c r="A37" s="255" t="s">
        <v>2323</v>
      </c>
      <c r="B37" s="255" t="s">
        <v>3162</v>
      </c>
      <c r="C37" s="255" t="s">
        <v>4148</v>
      </c>
      <c r="D37" s="255" t="s">
        <v>2181</v>
      </c>
      <c r="E37" s="255" t="s">
        <v>1335</v>
      </c>
      <c r="F37" s="255" t="s">
        <v>3125</v>
      </c>
      <c r="G37" s="255"/>
      <c r="H37" s="255" t="s">
        <v>3160</v>
      </c>
      <c r="I37" s="255" t="s">
        <v>3161</v>
      </c>
      <c r="J37" s="46" t="str">
        <f t="shared" si="0"/>
        <v>GoldCHALCO Yunnan Copper Co. Ltd.</v>
      </c>
      <c r="K37" s="46" t="str">
        <f t="shared" si="1"/>
        <v>GoldCHALCO Yunnan Copper Co. Ltd.</v>
      </c>
      <c r="L37" s="255"/>
    </row>
    <row r="38" spans="1:12" ht="10.5" customHeight="1">
      <c r="A38" s="255" t="s">
        <v>2323</v>
      </c>
      <c r="B38" s="255" t="s">
        <v>71</v>
      </c>
      <c r="C38" s="255" t="s">
        <v>71</v>
      </c>
      <c r="D38" s="255" t="s">
        <v>2246</v>
      </c>
      <c r="E38" s="255" t="s">
        <v>1250</v>
      </c>
      <c r="F38" s="255" t="s">
        <v>3125</v>
      </c>
      <c r="G38" s="255"/>
      <c r="H38" s="255" t="s">
        <v>3163</v>
      </c>
      <c r="I38" s="255" t="s">
        <v>3164</v>
      </c>
      <c r="J38" s="46" t="str">
        <f t="shared" si="0"/>
        <v>GoldChimet S.p.A.</v>
      </c>
      <c r="K38" s="46" t="str">
        <f t="shared" si="1"/>
        <v>GoldChimet S.p.A.</v>
      </c>
      <c r="L38" s="255"/>
    </row>
    <row r="39" spans="1:12" ht="10.5" customHeight="1">
      <c r="A39" s="255" t="s">
        <v>2323</v>
      </c>
      <c r="B39" s="255" t="s">
        <v>32</v>
      </c>
      <c r="C39" s="255" t="s">
        <v>2575</v>
      </c>
      <c r="D39" s="255" t="s">
        <v>2181</v>
      </c>
      <c r="E39" s="255" t="s">
        <v>1336</v>
      </c>
      <c r="F39" s="255" t="s">
        <v>3125</v>
      </c>
      <c r="G39" s="255"/>
      <c r="H39" s="255" t="s">
        <v>3326</v>
      </c>
      <c r="I39" s="255" t="s">
        <v>3224</v>
      </c>
      <c r="J39" s="46" t="str">
        <f t="shared" si="0"/>
        <v>GoldChina Henan Zhongyuan Gold Smelter</v>
      </c>
      <c r="K39" s="46" t="str">
        <f t="shared" si="1"/>
        <v>GoldChina Henan Zhongyuan Gold Smelter</v>
      </c>
      <c r="L39" s="255"/>
    </row>
    <row r="40" spans="1:12" ht="10.5" customHeight="1">
      <c r="A40" s="255" t="s">
        <v>2323</v>
      </c>
      <c r="B40" s="255" t="s">
        <v>33</v>
      </c>
      <c r="C40" s="255" t="s">
        <v>4177</v>
      </c>
      <c r="D40" s="255" t="s">
        <v>2181</v>
      </c>
      <c r="E40" s="255" t="s">
        <v>1324</v>
      </c>
      <c r="F40" s="255" t="s">
        <v>3125</v>
      </c>
      <c r="G40" s="255"/>
      <c r="H40" s="255" t="s">
        <v>3286</v>
      </c>
      <c r="I40" s="255" t="s">
        <v>3263</v>
      </c>
      <c r="J40" s="46" t="str">
        <f t="shared" si="0"/>
        <v>GoldChina's Shandong Gold Mining Co., Ltd</v>
      </c>
      <c r="K40" s="46" t="str">
        <f t="shared" si="1"/>
        <v>GoldChina's Shandong Gold Mining Co., Ltd</v>
      </c>
      <c r="L40" s="255"/>
    </row>
    <row r="41" spans="1:12" ht="10.5" customHeight="1">
      <c r="A41" s="255" t="s">
        <v>2323</v>
      </c>
      <c r="B41" s="255" t="s">
        <v>984</v>
      </c>
      <c r="C41" s="255" t="s">
        <v>984</v>
      </c>
      <c r="D41" s="255" t="s">
        <v>2249</v>
      </c>
      <c r="E41" s="255" t="s">
        <v>1251</v>
      </c>
      <c r="F41" s="255" t="s">
        <v>3125</v>
      </c>
      <c r="G41" s="255"/>
      <c r="H41" s="255" t="s">
        <v>3165</v>
      </c>
      <c r="I41" s="255" t="s">
        <v>3129</v>
      </c>
      <c r="J41" s="46" t="str">
        <f t="shared" si="0"/>
        <v>GoldChugai Mining</v>
      </c>
      <c r="K41" s="46" t="str">
        <f t="shared" si="1"/>
        <v>GoldChugai Mining</v>
      </c>
      <c r="L41" s="255"/>
    </row>
    <row r="42" spans="1:12" ht="10.5" customHeight="1">
      <c r="A42" s="255" t="s">
        <v>2323</v>
      </c>
      <c r="B42" s="255" t="s">
        <v>4150</v>
      </c>
      <c r="C42" s="255" t="s">
        <v>4150</v>
      </c>
      <c r="D42" s="255" t="s">
        <v>2256</v>
      </c>
      <c r="E42" s="255" t="s">
        <v>1252</v>
      </c>
      <c r="F42" s="255" t="s">
        <v>3125</v>
      </c>
      <c r="G42" s="255"/>
      <c r="H42" s="255" t="s">
        <v>4683</v>
      </c>
      <c r="I42" s="255" t="s">
        <v>3167</v>
      </c>
      <c r="J42" s="46" t="str">
        <f t="shared" si="0"/>
        <v>GoldDaejin Indus Co., Ltd.</v>
      </c>
      <c r="K42" s="46" t="str">
        <f t="shared" si="1"/>
        <v>GoldDaejin Indus Co., Ltd.</v>
      </c>
      <c r="L42" s="255"/>
    </row>
    <row r="43" spans="1:12" ht="10.5" customHeight="1">
      <c r="A43" s="255" t="s">
        <v>2323</v>
      </c>
      <c r="B43" s="255" t="s">
        <v>3168</v>
      </c>
      <c r="C43" s="255" t="s">
        <v>4150</v>
      </c>
      <c r="D43" s="255" t="s">
        <v>2256</v>
      </c>
      <c r="E43" s="255" t="s">
        <v>1252</v>
      </c>
      <c r="F43" s="255" t="s">
        <v>3125</v>
      </c>
      <c r="G43" s="255"/>
      <c r="H43" s="255" t="s">
        <v>4683</v>
      </c>
      <c r="I43" s="255" t="s">
        <v>3167</v>
      </c>
      <c r="J43" s="46" t="str">
        <f t="shared" si="0"/>
        <v>GoldDaejin Industry</v>
      </c>
      <c r="K43" s="46" t="str">
        <f t="shared" si="1"/>
        <v>GoldDaejin Industry</v>
      </c>
      <c r="L43" s="255"/>
    </row>
    <row r="44" spans="1:12" ht="10.5" customHeight="1">
      <c r="A44" s="255" t="s">
        <v>2323</v>
      </c>
      <c r="B44" s="255" t="s">
        <v>1253</v>
      </c>
      <c r="C44" s="255" t="s">
        <v>1253</v>
      </c>
      <c r="D44" s="255" t="s">
        <v>2181</v>
      </c>
      <c r="E44" s="255" t="s">
        <v>1254</v>
      </c>
      <c r="F44" s="255" t="s">
        <v>3125</v>
      </c>
      <c r="G44" s="255"/>
      <c r="H44" s="255" t="s">
        <v>3169</v>
      </c>
      <c r="I44" s="255" t="s">
        <v>3170</v>
      </c>
      <c r="J44" s="46" t="str">
        <f t="shared" si="0"/>
        <v>GoldDaye Non-Ferrous Metals Mining Ltd.</v>
      </c>
      <c r="K44" s="46" t="str">
        <f t="shared" si="1"/>
        <v>GoldDaye Non-Ferrous Metals Mining Ltd.</v>
      </c>
      <c r="L44" s="255"/>
    </row>
    <row r="45" spans="1:12" ht="10.5" customHeight="1">
      <c r="A45" s="255" t="s">
        <v>2323</v>
      </c>
      <c r="B45" s="255" t="s">
        <v>1176</v>
      </c>
      <c r="C45" s="255" t="s">
        <v>4341</v>
      </c>
      <c r="D45" s="255" t="s">
        <v>2256</v>
      </c>
      <c r="E45" s="255" t="s">
        <v>1255</v>
      </c>
      <c r="F45" s="255" t="s">
        <v>3125</v>
      </c>
      <c r="G45" s="255"/>
      <c r="H45" s="255" t="s">
        <v>3171</v>
      </c>
      <c r="I45" s="255" t="s">
        <v>3172</v>
      </c>
      <c r="J45" s="46" t="str">
        <f t="shared" si="0"/>
        <v>GoldDo Sung Corporation</v>
      </c>
      <c r="K45" s="46" t="str">
        <f t="shared" si="1"/>
        <v>GoldDo Sung Corporation</v>
      </c>
      <c r="L45" s="255"/>
    </row>
    <row r="46" spans="1:12" ht="10.5" customHeight="1">
      <c r="A46" s="255" t="s">
        <v>2323</v>
      </c>
      <c r="B46" s="255" t="s">
        <v>1256</v>
      </c>
      <c r="C46" s="255" t="s">
        <v>4292</v>
      </c>
      <c r="D46" s="255" t="s">
        <v>2195</v>
      </c>
      <c r="E46" s="255" t="s">
        <v>1257</v>
      </c>
      <c r="F46" s="255" t="s">
        <v>3125</v>
      </c>
      <c r="G46" s="255"/>
      <c r="H46" s="255" t="s">
        <v>3130</v>
      </c>
      <c r="I46" s="255" t="s">
        <v>3131</v>
      </c>
      <c r="J46" s="46" t="str">
        <f t="shared" si="0"/>
        <v>GoldDoduco</v>
      </c>
      <c r="K46" s="46" t="str">
        <f t="shared" si="1"/>
        <v>GoldDoduco</v>
      </c>
      <c r="L46" s="255"/>
    </row>
    <row r="47" spans="1:12" ht="10.5" customHeight="1">
      <c r="A47" s="255" t="s">
        <v>2323</v>
      </c>
      <c r="B47" s="255" t="s">
        <v>4292</v>
      </c>
      <c r="C47" s="255" t="s">
        <v>4292</v>
      </c>
      <c r="D47" s="255" t="s">
        <v>2195</v>
      </c>
      <c r="E47" s="255" t="s">
        <v>1257</v>
      </c>
      <c r="F47" s="255" t="s">
        <v>3125</v>
      </c>
      <c r="G47" s="255"/>
      <c r="H47" s="255" t="s">
        <v>3130</v>
      </c>
      <c r="I47" s="255" t="s">
        <v>3131</v>
      </c>
      <c r="J47" s="46" t="str">
        <f t="shared" si="0"/>
        <v>GoldDODUCO GmbH</v>
      </c>
      <c r="K47" s="46" t="str">
        <f t="shared" si="1"/>
        <v>GoldDODUCO GmbH</v>
      </c>
      <c r="L47" s="255"/>
    </row>
    <row r="48" spans="1:12" ht="10.5" customHeight="1">
      <c r="A48" s="255" t="s">
        <v>2323</v>
      </c>
      <c r="B48" s="255" t="s">
        <v>50</v>
      </c>
      <c r="C48" s="255" t="s">
        <v>4341</v>
      </c>
      <c r="D48" s="255" t="s">
        <v>2256</v>
      </c>
      <c r="E48" s="255" t="s">
        <v>1255</v>
      </c>
      <c r="F48" s="255" t="s">
        <v>3125</v>
      </c>
      <c r="G48" s="255"/>
      <c r="H48" s="255" t="s">
        <v>3171</v>
      </c>
      <c r="I48" s="255" t="s">
        <v>3172</v>
      </c>
      <c r="J48" s="46" t="str">
        <f t="shared" si="0"/>
        <v>GoldDosung metal</v>
      </c>
      <c r="K48" s="46" t="str">
        <f t="shared" si="1"/>
        <v>GoldDosung metal</v>
      </c>
      <c r="L48" s="255"/>
    </row>
    <row r="49" spans="1:12" ht="10.5" customHeight="1">
      <c r="A49" s="255" t="s">
        <v>2323</v>
      </c>
      <c r="B49" s="255" t="s">
        <v>1788</v>
      </c>
      <c r="C49" s="255" t="s">
        <v>1788</v>
      </c>
      <c r="D49" s="255" t="s">
        <v>2249</v>
      </c>
      <c r="E49" s="255" t="s">
        <v>1258</v>
      </c>
      <c r="F49" s="255" t="s">
        <v>3125</v>
      </c>
      <c r="G49" s="255"/>
      <c r="H49" s="255" t="s">
        <v>3173</v>
      </c>
      <c r="I49" s="255" t="s">
        <v>3174</v>
      </c>
      <c r="J49" s="46" t="str">
        <f t="shared" si="0"/>
        <v>GoldDowa</v>
      </c>
      <c r="K49" s="46" t="str">
        <f t="shared" si="1"/>
        <v>GoldDowa</v>
      </c>
      <c r="L49" s="255"/>
    </row>
    <row r="50" spans="1:12" ht="10.5" customHeight="1">
      <c r="A50" s="255" t="s">
        <v>2323</v>
      </c>
      <c r="B50" s="255" t="s">
        <v>3175</v>
      </c>
      <c r="C50" s="255" t="s">
        <v>1788</v>
      </c>
      <c r="D50" s="255" t="s">
        <v>2249</v>
      </c>
      <c r="E50" s="255" t="s">
        <v>1258</v>
      </c>
      <c r="F50" s="255" t="s">
        <v>3125</v>
      </c>
      <c r="G50" s="255"/>
      <c r="H50" s="255" t="s">
        <v>3173</v>
      </c>
      <c r="I50" s="255" t="s">
        <v>3174</v>
      </c>
      <c r="J50" s="46" t="str">
        <f t="shared" si="0"/>
        <v>GoldDowa Kogyo k.k.</v>
      </c>
      <c r="K50" s="46" t="str">
        <f t="shared" si="1"/>
        <v>GoldDowa Kogyo k.k.</v>
      </c>
      <c r="L50" s="255"/>
    </row>
    <row r="51" spans="1:12" ht="10.5" customHeight="1">
      <c r="A51" s="255" t="s">
        <v>2323</v>
      </c>
      <c r="B51" s="255" t="s">
        <v>3176</v>
      </c>
      <c r="C51" s="255" t="s">
        <v>1788</v>
      </c>
      <c r="D51" s="255" t="s">
        <v>2249</v>
      </c>
      <c r="E51" s="255" t="s">
        <v>1258</v>
      </c>
      <c r="F51" s="255" t="s">
        <v>3125</v>
      </c>
      <c r="G51" s="255"/>
      <c r="H51" s="255" t="s">
        <v>3173</v>
      </c>
      <c r="I51" s="255" t="s">
        <v>3174</v>
      </c>
      <c r="J51" s="46" t="str">
        <f t="shared" si="0"/>
        <v>GoldDowa Metalmine Co. Ltd</v>
      </c>
      <c r="K51" s="46" t="str">
        <f t="shared" si="1"/>
        <v>GoldDowa Metalmine Co. Ltd</v>
      </c>
      <c r="L51" s="255"/>
    </row>
    <row r="52" spans="1:12" ht="10.5" customHeight="1">
      <c r="A52" s="255" t="s">
        <v>2323</v>
      </c>
      <c r="B52" s="255" t="s">
        <v>3177</v>
      </c>
      <c r="C52" s="255" t="s">
        <v>1788</v>
      </c>
      <c r="D52" s="255" t="s">
        <v>2249</v>
      </c>
      <c r="E52" s="255" t="s">
        <v>1258</v>
      </c>
      <c r="F52" s="255" t="s">
        <v>3125</v>
      </c>
      <c r="G52" s="255"/>
      <c r="H52" s="255" t="s">
        <v>3173</v>
      </c>
      <c r="I52" s="255" t="s">
        <v>3174</v>
      </c>
      <c r="J52" s="46" t="str">
        <f t="shared" si="0"/>
        <v>GoldDowa Metals &amp; Mining Co. Ltd</v>
      </c>
      <c r="K52" s="46" t="str">
        <f t="shared" si="1"/>
        <v>GoldDowa Metals &amp; Mining Co. Ltd</v>
      </c>
      <c r="L52" s="255"/>
    </row>
    <row r="53" spans="1:12" ht="10.5" customHeight="1">
      <c r="A53" s="255" t="s">
        <v>2323</v>
      </c>
      <c r="B53" s="255" t="s">
        <v>4341</v>
      </c>
      <c r="C53" s="255" t="s">
        <v>4341</v>
      </c>
      <c r="D53" s="255" t="s">
        <v>2256</v>
      </c>
      <c r="E53" s="255" t="s">
        <v>1255</v>
      </c>
      <c r="F53" s="255" t="s">
        <v>3125</v>
      </c>
      <c r="G53" s="255"/>
      <c r="H53" s="255" t="s">
        <v>3171</v>
      </c>
      <c r="I53" s="255" t="s">
        <v>3172</v>
      </c>
      <c r="J53" s="46" t="str">
        <f t="shared" si="0"/>
        <v>GoldDSC (Do Sung Corporation)</v>
      </c>
      <c r="K53" s="46" t="str">
        <f t="shared" si="1"/>
        <v>GoldDSC (Do Sung Corporation)</v>
      </c>
      <c r="L53" s="255"/>
    </row>
    <row r="54" spans="1:12" ht="10.5" customHeight="1">
      <c r="A54" s="255" t="s">
        <v>2323</v>
      </c>
      <c r="B54" s="255" t="s">
        <v>726</v>
      </c>
      <c r="C54" s="255" t="s">
        <v>726</v>
      </c>
      <c r="D54" s="255" t="s">
        <v>2249</v>
      </c>
      <c r="E54" s="255" t="s">
        <v>727</v>
      </c>
      <c r="F54" s="255" t="s">
        <v>3125</v>
      </c>
      <c r="G54" s="255"/>
      <c r="H54" s="255" t="s">
        <v>3178</v>
      </c>
      <c r="I54" s="255" t="s">
        <v>3179</v>
      </c>
      <c r="J54" s="46" t="str">
        <f t="shared" si="0"/>
        <v>GoldEco-System Recycling Co., Ltd.</v>
      </c>
      <c r="K54" s="46" t="str">
        <f t="shared" si="1"/>
        <v>GoldEco-System Recycling Co., Ltd.</v>
      </c>
      <c r="L54" s="255"/>
    </row>
    <row r="55" spans="1:12" ht="10.5" customHeight="1">
      <c r="A55" s="255" t="s">
        <v>2323</v>
      </c>
      <c r="B55" s="255" t="s">
        <v>4268</v>
      </c>
      <c r="C55" s="255" t="s">
        <v>4268</v>
      </c>
      <c r="D55" s="255" t="s">
        <v>1759</v>
      </c>
      <c r="E55" s="255" t="s">
        <v>1302</v>
      </c>
      <c r="F55" s="255" t="s">
        <v>3125</v>
      </c>
      <c r="G55" s="255"/>
      <c r="H55" s="255" t="s">
        <v>3255</v>
      </c>
      <c r="I55" s="255" t="s">
        <v>3256</v>
      </c>
      <c r="J55" s="46" t="str">
        <f t="shared" si="0"/>
        <v>GoldElemetal Refining, LLC</v>
      </c>
      <c r="K55" s="46" t="str">
        <f t="shared" si="1"/>
        <v>GoldElemetal Refining, LLC</v>
      </c>
      <c r="L55" s="255"/>
    </row>
    <row r="56" spans="1:12" ht="10.5" customHeight="1">
      <c r="A56" s="255" t="s">
        <v>2323</v>
      </c>
      <c r="B56" s="255" t="s">
        <v>3358</v>
      </c>
      <c r="C56" s="255" t="s">
        <v>3358</v>
      </c>
      <c r="D56" s="255" t="s">
        <v>2147</v>
      </c>
      <c r="E56" s="255" t="s">
        <v>3359</v>
      </c>
      <c r="F56" s="255" t="s">
        <v>3125</v>
      </c>
      <c r="G56" s="255"/>
      <c r="H56" s="255" t="s">
        <v>3357</v>
      </c>
      <c r="I56" s="255" t="s">
        <v>3357</v>
      </c>
      <c r="J56" s="46" t="str">
        <f t="shared" si="0"/>
        <v>GoldEmirates Gold DMCC</v>
      </c>
      <c r="K56" s="46" t="str">
        <f t="shared" si="1"/>
        <v>GoldEmirates Gold DMCC</v>
      </c>
      <c r="L56" s="255"/>
    </row>
    <row r="57" spans="1:12" ht="10.5" customHeight="1">
      <c r="A57" s="255" t="s">
        <v>2323</v>
      </c>
      <c r="B57" s="255" t="s">
        <v>3339</v>
      </c>
      <c r="C57" s="255" t="s">
        <v>3339</v>
      </c>
      <c r="D57" s="255" t="s">
        <v>2246</v>
      </c>
      <c r="E57" s="255" t="s">
        <v>3340</v>
      </c>
      <c r="F57" s="255" t="s">
        <v>3125</v>
      </c>
      <c r="G57" s="255"/>
      <c r="H57" s="255" t="s">
        <v>3341</v>
      </c>
      <c r="I57" s="255" t="s">
        <v>3342</v>
      </c>
      <c r="J57" s="46" t="str">
        <f t="shared" si="0"/>
        <v>GoldFaggi Enrico S.p.A.</v>
      </c>
      <c r="K57" s="46" t="str">
        <f t="shared" si="1"/>
        <v>GoldFaggi Enrico S.p.A.</v>
      </c>
      <c r="L57" s="255"/>
    </row>
    <row r="58" spans="1:12" ht="10.5" customHeight="1">
      <c r="A58" s="255" t="s">
        <v>2323</v>
      </c>
      <c r="B58" s="255" t="s">
        <v>2686</v>
      </c>
      <c r="C58" s="255" t="s">
        <v>2686</v>
      </c>
      <c r="D58" s="255" t="s">
        <v>1775</v>
      </c>
      <c r="E58" s="255" t="s">
        <v>2687</v>
      </c>
      <c r="F58" s="255" t="s">
        <v>3125</v>
      </c>
      <c r="G58" s="255"/>
      <c r="H58" s="255" t="s">
        <v>3351</v>
      </c>
      <c r="I58" s="255" t="s">
        <v>3352</v>
      </c>
      <c r="J58" s="46" t="str">
        <f t="shared" si="0"/>
        <v>GoldFidelity Printers and Refiners Ltd.</v>
      </c>
      <c r="K58" s="46" t="str">
        <f t="shared" si="1"/>
        <v>GoldFidelity Printers and Refiners Ltd.</v>
      </c>
      <c r="L58" s="255"/>
    </row>
    <row r="59" spans="1:12" ht="10.5" customHeight="1">
      <c r="A59" s="255" t="s">
        <v>2323</v>
      </c>
      <c r="B59" s="255" t="s">
        <v>1789</v>
      </c>
      <c r="C59" s="255" t="s">
        <v>4265</v>
      </c>
      <c r="D59" s="255" t="s">
        <v>1717</v>
      </c>
      <c r="E59" s="255" t="s">
        <v>1259</v>
      </c>
      <c r="F59" s="255" t="s">
        <v>3125</v>
      </c>
      <c r="G59" s="255"/>
      <c r="H59" s="255" t="s">
        <v>3180</v>
      </c>
      <c r="I59" s="255" t="s">
        <v>4343</v>
      </c>
      <c r="J59" s="46" t="str">
        <f t="shared" si="0"/>
        <v>GoldFSE Novosibirsk Refinery</v>
      </c>
      <c r="K59" s="46" t="str">
        <f t="shared" si="1"/>
        <v>GoldFSE Novosibirsk Refinery</v>
      </c>
      <c r="L59" s="255"/>
    </row>
    <row r="60" spans="1:12" ht="10.5" customHeight="1">
      <c r="A60" s="255" t="s">
        <v>2323</v>
      </c>
      <c r="B60" s="255" t="s">
        <v>34</v>
      </c>
      <c r="C60" s="255" t="s">
        <v>4290</v>
      </c>
      <c r="D60" s="255" t="s">
        <v>2181</v>
      </c>
      <c r="E60" s="255" t="s">
        <v>1337</v>
      </c>
      <c r="F60" s="255" t="s">
        <v>3125</v>
      </c>
      <c r="G60" s="255"/>
      <c r="H60" s="255" t="s">
        <v>3331</v>
      </c>
      <c r="I60" s="255" t="s">
        <v>3332</v>
      </c>
      <c r="J60" s="46" t="str">
        <f t="shared" si="0"/>
        <v>GoldFujian Zijin mining stock company gold smelter</v>
      </c>
      <c r="K60" s="46" t="str">
        <f t="shared" si="1"/>
        <v>GoldFujian Zijin mining stock company gold smelter</v>
      </c>
      <c r="L60" s="255"/>
    </row>
    <row r="61" spans="1:12" ht="10.5" customHeight="1">
      <c r="A61" s="255" t="s">
        <v>2323</v>
      </c>
      <c r="B61" s="255" t="s">
        <v>4151</v>
      </c>
      <c r="C61" s="255" t="s">
        <v>4151</v>
      </c>
      <c r="D61" s="255" t="s">
        <v>2181</v>
      </c>
      <c r="E61" s="255" t="s">
        <v>1260</v>
      </c>
      <c r="F61" s="255" t="s">
        <v>3125</v>
      </c>
      <c r="G61" s="255"/>
      <c r="H61" s="255" t="s">
        <v>3181</v>
      </c>
      <c r="I61" s="255" t="s">
        <v>3182</v>
      </c>
      <c r="J61" s="46" t="str">
        <f t="shared" si="0"/>
        <v>GoldGansu Seemine Material Hi-Tech Co., Ltd.</v>
      </c>
      <c r="K61" s="46" t="str">
        <f t="shared" si="1"/>
        <v>GoldGansu Seemine Material Hi-Tech Co., Ltd.</v>
      </c>
      <c r="L61" s="255"/>
    </row>
    <row r="62" spans="1:12" ht="10.5" customHeight="1">
      <c r="A62" s="255" t="s">
        <v>2323</v>
      </c>
      <c r="B62" s="255" t="s">
        <v>3343</v>
      </c>
      <c r="C62" s="255" t="s">
        <v>3343</v>
      </c>
      <c r="D62" s="255" t="s">
        <v>1759</v>
      </c>
      <c r="E62" s="255" t="s">
        <v>3344</v>
      </c>
      <c r="F62" s="255" t="s">
        <v>3125</v>
      </c>
      <c r="G62" s="255"/>
      <c r="H62" s="255" t="s">
        <v>3126</v>
      </c>
      <c r="I62" s="255" t="s">
        <v>3127</v>
      </c>
      <c r="J62" s="46" t="str">
        <f t="shared" si="0"/>
        <v>GoldGeib Refining Corporation</v>
      </c>
      <c r="K62" s="46" t="str">
        <f t="shared" si="1"/>
        <v>GoldGeib Refining Corporation</v>
      </c>
      <c r="L62" s="255"/>
    </row>
    <row r="63" spans="1:12" ht="10.5" customHeight="1">
      <c r="A63" s="255" t="s">
        <v>2323</v>
      </c>
      <c r="B63" s="255" t="s">
        <v>35</v>
      </c>
      <c r="C63" s="255" t="s">
        <v>4177</v>
      </c>
      <c r="D63" s="255" t="s">
        <v>2181</v>
      </c>
      <c r="E63" s="255" t="s">
        <v>1324</v>
      </c>
      <c r="F63" s="255" t="s">
        <v>3125</v>
      </c>
      <c r="G63" s="255"/>
      <c r="H63" s="255" t="s">
        <v>3286</v>
      </c>
      <c r="I63" s="255" t="s">
        <v>3263</v>
      </c>
      <c r="J63" s="46" t="str">
        <f t="shared" si="0"/>
        <v>GoldGold Mining in Shandong (Laizhou) Limited Company</v>
      </c>
      <c r="K63" s="46" t="str">
        <f t="shared" si="1"/>
        <v>GoldGold Mining in Shandong (Laizhou) Limited Company</v>
      </c>
      <c r="L63" s="255"/>
    </row>
    <row r="64" spans="1:12" ht="10.5" customHeight="1">
      <c r="A64" s="255" t="s">
        <v>2323</v>
      </c>
      <c r="B64" s="255" t="s">
        <v>3303</v>
      </c>
      <c r="C64" s="255" t="s">
        <v>4293</v>
      </c>
      <c r="D64" s="255" t="s">
        <v>2181</v>
      </c>
      <c r="E64" s="255" t="s">
        <v>1323</v>
      </c>
      <c r="F64" s="255" t="s">
        <v>3125</v>
      </c>
      <c r="G64" s="255"/>
      <c r="H64" s="255" t="s">
        <v>3290</v>
      </c>
      <c r="I64" s="255" t="s">
        <v>3291</v>
      </c>
      <c r="J64" s="46" t="str">
        <f t="shared" si="0"/>
        <v>GoldGreat Wall Precious Metals Co,. LTD.</v>
      </c>
      <c r="K64" s="46" t="str">
        <f t="shared" si="1"/>
        <v>GoldGreat Wall Precious Metals Co,. LTD.</v>
      </c>
      <c r="L64" s="255"/>
    </row>
    <row r="65" spans="1:12" ht="10.5" customHeight="1">
      <c r="A65" s="255" t="s">
        <v>2323</v>
      </c>
      <c r="B65" s="255" t="s">
        <v>4293</v>
      </c>
      <c r="C65" s="255" t="s">
        <v>4293</v>
      </c>
      <c r="D65" s="255" t="s">
        <v>2181</v>
      </c>
      <c r="E65" s="255" t="s">
        <v>1323</v>
      </c>
      <c r="F65" s="255" t="s">
        <v>3125</v>
      </c>
      <c r="G65" s="255"/>
      <c r="H65" s="255" t="s">
        <v>3290</v>
      </c>
      <c r="I65" s="255" t="s">
        <v>3291</v>
      </c>
      <c r="J65" s="46" t="str">
        <f t="shared" si="0"/>
        <v>GoldGreat Wall Precious Metals Co., Ltd. of CBPM</v>
      </c>
      <c r="K65" s="46" t="str">
        <f t="shared" si="1"/>
        <v>GoldGreat Wall Precious Metals Co., Ltd. of CBPM</v>
      </c>
      <c r="L65" s="255"/>
    </row>
    <row r="66" spans="1:12" ht="10.5" customHeight="1">
      <c r="A66" s="255" t="s">
        <v>2323</v>
      </c>
      <c r="B66" s="255" t="s">
        <v>3336</v>
      </c>
      <c r="C66" s="255" t="s">
        <v>1261</v>
      </c>
      <c r="D66" s="255" t="s">
        <v>2181</v>
      </c>
      <c r="E66" s="255" t="s">
        <v>1262</v>
      </c>
      <c r="F66" s="255" t="s">
        <v>3125</v>
      </c>
      <c r="G66" s="255"/>
      <c r="H66" s="255" t="s">
        <v>3334</v>
      </c>
      <c r="I66" s="255" t="s">
        <v>3335</v>
      </c>
      <c r="J66" s="46" t="str">
        <f t="shared" si="0"/>
        <v>GoldGuangdong Gaoyao Co</v>
      </c>
      <c r="K66" s="46" t="str">
        <f t="shared" si="1"/>
        <v>GoldGuangdong Gaoyao Co</v>
      </c>
      <c r="L66" s="255"/>
    </row>
    <row r="67" spans="1:12" ht="10.5" customHeight="1">
      <c r="A67" s="255" t="s">
        <v>2323</v>
      </c>
      <c r="B67" s="255" t="s">
        <v>1261</v>
      </c>
      <c r="C67" s="255" t="s">
        <v>1261</v>
      </c>
      <c r="D67" s="255" t="s">
        <v>2181</v>
      </c>
      <c r="E67" s="255" t="s">
        <v>1262</v>
      </c>
      <c r="F67" s="255" t="s">
        <v>3125</v>
      </c>
      <c r="G67" s="255"/>
      <c r="H67" s="255" t="s">
        <v>3334</v>
      </c>
      <c r="I67" s="255" t="s">
        <v>3335</v>
      </c>
      <c r="J67" s="46" t="str">
        <f t="shared" si="0"/>
        <v>GoldGuangdong Jinding Gold Limited</v>
      </c>
      <c r="K67" s="46" t="str">
        <f t="shared" si="1"/>
        <v>GoldGuangdong Jinding Gold Limited</v>
      </c>
      <c r="L67" s="255"/>
    </row>
    <row r="68" spans="1:12" ht="10.5" customHeight="1">
      <c r="A68" s="255" t="s">
        <v>2323</v>
      </c>
      <c r="B68" s="255" t="s">
        <v>4684</v>
      </c>
      <c r="C68" s="255" t="s">
        <v>4684</v>
      </c>
      <c r="D68" s="255" t="s">
        <v>2239</v>
      </c>
      <c r="E68" s="255" t="s">
        <v>4685</v>
      </c>
      <c r="F68" s="255" t="s">
        <v>3125</v>
      </c>
      <c r="G68" s="255"/>
      <c r="H68" s="255" t="s">
        <v>4686</v>
      </c>
      <c r="I68" s="255" t="s">
        <v>4687</v>
      </c>
      <c r="J68" s="46" t="str">
        <f t="shared" si="0"/>
        <v>GoldGujarat Gold Centre</v>
      </c>
      <c r="K68" s="46" t="str">
        <f t="shared" si="1"/>
        <v>GoldGujarat Gold Centre</v>
      </c>
      <c r="L68" s="255"/>
    </row>
    <row r="69" spans="1:12" ht="10.5" customHeight="1">
      <c r="A69" s="255" t="s">
        <v>2323</v>
      </c>
      <c r="B69" s="255" t="s">
        <v>3183</v>
      </c>
      <c r="C69" s="255" t="s">
        <v>3183</v>
      </c>
      <c r="D69" s="255" t="s">
        <v>2181</v>
      </c>
      <c r="E69" s="255" t="s">
        <v>3184</v>
      </c>
      <c r="F69" s="255" t="s">
        <v>3125</v>
      </c>
      <c r="G69" s="255"/>
      <c r="H69" s="255" t="s">
        <v>3185</v>
      </c>
      <c r="I69" s="255" t="s">
        <v>3264</v>
      </c>
      <c r="J69" s="46" t="str">
        <f t="shared" ref="J69:J132" si="2">A69&amp;B69</f>
        <v>GoldGuoda Safina High-Tech Environmental Refinery Co., Ltd.</v>
      </c>
      <c r="K69" s="46" t="str">
        <f t="shared" ref="K69:K132" si="3">A69&amp;B69</f>
        <v>GoldGuoda Safina High-Tech Environmental Refinery Co., Ltd.</v>
      </c>
      <c r="L69" s="255"/>
    </row>
    <row r="70" spans="1:12" ht="10.5" customHeight="1">
      <c r="A70" s="255" t="s">
        <v>2323</v>
      </c>
      <c r="B70" s="255" t="s">
        <v>723</v>
      </c>
      <c r="C70" s="255" t="s">
        <v>723</v>
      </c>
      <c r="D70" s="255" t="s">
        <v>2181</v>
      </c>
      <c r="E70" s="255" t="s">
        <v>724</v>
      </c>
      <c r="F70" s="255" t="s">
        <v>3125</v>
      </c>
      <c r="G70" s="255"/>
      <c r="H70" s="255" t="s">
        <v>3188</v>
      </c>
      <c r="I70" s="255" t="s">
        <v>3189</v>
      </c>
      <c r="J70" s="46" t="str">
        <f t="shared" si="2"/>
        <v>GoldHangzhou Fuchunjiang Smelting Co., Ltd.</v>
      </c>
      <c r="K70" s="46" t="str">
        <f t="shared" si="3"/>
        <v>GoldHangzhou Fuchunjiang Smelting Co., Ltd.</v>
      </c>
      <c r="L70" s="255"/>
    </row>
    <row r="71" spans="1:12" ht="10.5" customHeight="1">
      <c r="A71" s="255" t="s">
        <v>2323</v>
      </c>
      <c r="B71" s="255" t="s">
        <v>1959</v>
      </c>
      <c r="C71" s="255" t="s">
        <v>1959</v>
      </c>
      <c r="D71" s="255" t="s">
        <v>2195</v>
      </c>
      <c r="E71" s="255" t="s">
        <v>1263</v>
      </c>
      <c r="F71" s="255" t="s">
        <v>3125</v>
      </c>
      <c r="G71" s="255"/>
      <c r="H71" s="255" t="s">
        <v>3130</v>
      </c>
      <c r="I71" s="255" t="s">
        <v>3131</v>
      </c>
      <c r="J71" s="46" t="str">
        <f t="shared" si="2"/>
        <v>GoldHeimerle + Meule GmbH</v>
      </c>
      <c r="K71" s="46" t="str">
        <f t="shared" si="3"/>
        <v>GoldHeimerle + Meule GmbH</v>
      </c>
      <c r="L71" s="255"/>
    </row>
    <row r="72" spans="1:12" ht="10.5" customHeight="1">
      <c r="A72" s="255" t="s">
        <v>2323</v>
      </c>
      <c r="B72" s="255" t="s">
        <v>3327</v>
      </c>
      <c r="C72" s="255" t="s">
        <v>2575</v>
      </c>
      <c r="D72" s="255" t="s">
        <v>2181</v>
      </c>
      <c r="E72" s="255" t="s">
        <v>1336</v>
      </c>
      <c r="F72" s="255" t="s">
        <v>3125</v>
      </c>
      <c r="G72" s="255"/>
      <c r="H72" s="255" t="s">
        <v>3326</v>
      </c>
      <c r="I72" s="255" t="s">
        <v>3224</v>
      </c>
      <c r="J72" s="46" t="str">
        <f t="shared" si="2"/>
        <v>GoldHenan Zhongyuan Gold Refinery Co., Ltd.</v>
      </c>
      <c r="K72" s="46" t="str">
        <f t="shared" si="3"/>
        <v>GoldHenan Zhongyuan Gold Refinery Co., Ltd.</v>
      </c>
      <c r="L72" s="255"/>
    </row>
    <row r="73" spans="1:12" ht="10.5" customHeight="1">
      <c r="A73" s="255" t="s">
        <v>2323</v>
      </c>
      <c r="B73" s="255" t="s">
        <v>3330</v>
      </c>
      <c r="C73" s="255" t="s">
        <v>2575</v>
      </c>
      <c r="D73" s="255" t="s">
        <v>2181</v>
      </c>
      <c r="E73" s="255" t="s">
        <v>1336</v>
      </c>
      <c r="F73" s="255" t="s">
        <v>3125</v>
      </c>
      <c r="G73" s="255"/>
      <c r="H73" s="255" t="s">
        <v>3326</v>
      </c>
      <c r="I73" s="255" t="s">
        <v>3224</v>
      </c>
      <c r="J73" s="46" t="str">
        <f t="shared" si="2"/>
        <v>GoldHenan Zhongyuan Gold Smelter of Zhongjin Gold Co. Ltd.</v>
      </c>
      <c r="K73" s="46" t="str">
        <f t="shared" si="3"/>
        <v>GoldHenan Zhongyuan Gold Smelter of Zhongjin Gold Co. Ltd.</v>
      </c>
      <c r="L73" s="255"/>
    </row>
    <row r="74" spans="1:12" ht="10.5" customHeight="1">
      <c r="A74" s="255" t="s">
        <v>2323</v>
      </c>
      <c r="B74" s="255" t="s">
        <v>36</v>
      </c>
      <c r="C74" s="255" t="s">
        <v>2575</v>
      </c>
      <c r="D74" s="255" t="s">
        <v>2181</v>
      </c>
      <c r="E74" s="255" t="s">
        <v>1336</v>
      </c>
      <c r="F74" s="255" t="s">
        <v>3125</v>
      </c>
      <c r="G74" s="255"/>
      <c r="H74" s="255" t="s">
        <v>3326</v>
      </c>
      <c r="I74" s="255" t="s">
        <v>3224</v>
      </c>
      <c r="J74" s="46" t="str">
        <f t="shared" si="2"/>
        <v>GoldHenan Zhongyuan Gold Smelter of Zhongjin Gold Corporation Limited</v>
      </c>
      <c r="K74" s="46" t="str">
        <f t="shared" si="3"/>
        <v>GoldHenan Zhongyuan Gold Smelter of Zhongjin Gold Corporation Limited</v>
      </c>
      <c r="L74" s="255"/>
    </row>
    <row r="75" spans="1:12" ht="10.5" customHeight="1">
      <c r="A75" s="255" t="s">
        <v>2323</v>
      </c>
      <c r="B75" s="255" t="s">
        <v>72</v>
      </c>
      <c r="C75" s="255" t="s">
        <v>72</v>
      </c>
      <c r="D75" s="255" t="s">
        <v>2181</v>
      </c>
      <c r="E75" s="255" t="s">
        <v>1264</v>
      </c>
      <c r="F75" s="255" t="s">
        <v>3125</v>
      </c>
      <c r="G75" s="255"/>
      <c r="H75" s="255" t="s">
        <v>3190</v>
      </c>
      <c r="I75" s="255" t="s">
        <v>3191</v>
      </c>
      <c r="J75" s="46" t="str">
        <f t="shared" si="2"/>
        <v>GoldHeraeus Ltd. Hong Kong</v>
      </c>
      <c r="K75" s="46" t="str">
        <f t="shared" si="3"/>
        <v>GoldHeraeus Ltd. Hong Kong</v>
      </c>
      <c r="L75" s="255"/>
    </row>
    <row r="76" spans="1:12" ht="10.5" customHeight="1">
      <c r="A76" s="255" t="s">
        <v>2323</v>
      </c>
      <c r="B76" s="255" t="s">
        <v>2451</v>
      </c>
      <c r="C76" s="255" t="s">
        <v>2451</v>
      </c>
      <c r="D76" s="255" t="s">
        <v>2195</v>
      </c>
      <c r="E76" s="255" t="s">
        <v>1265</v>
      </c>
      <c r="F76" s="255" t="s">
        <v>3125</v>
      </c>
      <c r="G76" s="255"/>
      <c r="H76" s="255" t="s">
        <v>3192</v>
      </c>
      <c r="I76" s="255" t="s">
        <v>3193</v>
      </c>
      <c r="J76" s="46" t="str">
        <f t="shared" si="2"/>
        <v>GoldHeraeus Precious Metals GmbH &amp; Co. KG</v>
      </c>
      <c r="K76" s="46" t="str">
        <f t="shared" si="3"/>
        <v>GoldHeraeus Precious Metals GmbH &amp; Co. KG</v>
      </c>
      <c r="L76" s="255"/>
    </row>
    <row r="77" spans="1:12" ht="10.5" customHeight="1">
      <c r="A77" s="255" t="s">
        <v>2323</v>
      </c>
      <c r="B77" s="255" t="s">
        <v>4286</v>
      </c>
      <c r="C77" s="255" t="s">
        <v>4286</v>
      </c>
      <c r="D77" s="255" t="s">
        <v>2181</v>
      </c>
      <c r="E77" s="255" t="s">
        <v>1266</v>
      </c>
      <c r="F77" s="255" t="s">
        <v>3125</v>
      </c>
      <c r="G77" s="255"/>
      <c r="H77" s="255" t="s">
        <v>4137</v>
      </c>
      <c r="I77" s="255" t="s">
        <v>3186</v>
      </c>
      <c r="J77" s="46" t="str">
        <f t="shared" si="2"/>
        <v>GoldHunan Chenzhou Mining Co., Ltd.</v>
      </c>
      <c r="K77" s="46" t="str">
        <f t="shared" si="3"/>
        <v>GoldHunan Chenzhou Mining Co., Ltd.</v>
      </c>
      <c r="L77" s="255"/>
    </row>
    <row r="78" spans="1:12" ht="10.5" customHeight="1">
      <c r="A78" s="255" t="s">
        <v>2323</v>
      </c>
      <c r="B78" s="255" t="s">
        <v>2657</v>
      </c>
      <c r="C78" s="255" t="s">
        <v>4286</v>
      </c>
      <c r="D78" s="255" t="s">
        <v>2181</v>
      </c>
      <c r="E78" s="255" t="s">
        <v>1266</v>
      </c>
      <c r="F78" s="255" t="s">
        <v>3125</v>
      </c>
      <c r="G78" s="255"/>
      <c r="H78" s="255" t="s">
        <v>4137</v>
      </c>
      <c r="I78" s="255" t="s">
        <v>3186</v>
      </c>
      <c r="J78" s="46" t="str">
        <f t="shared" si="2"/>
        <v>GoldHunan Chenzhou Mining Group Co., Ltd.</v>
      </c>
      <c r="K78" s="46" t="str">
        <f t="shared" si="3"/>
        <v>GoldHunan Chenzhou Mining Group Co., Ltd.</v>
      </c>
      <c r="L78" s="255"/>
    </row>
    <row r="79" spans="1:12" ht="10.5" customHeight="1">
      <c r="A79" s="255" t="s">
        <v>2323</v>
      </c>
      <c r="B79" s="255" t="s">
        <v>3195</v>
      </c>
      <c r="C79" s="255" t="s">
        <v>4286</v>
      </c>
      <c r="D79" s="255" t="s">
        <v>2181</v>
      </c>
      <c r="E79" s="255" t="s">
        <v>1266</v>
      </c>
      <c r="F79" s="255" t="s">
        <v>3125</v>
      </c>
      <c r="G79" s="255"/>
      <c r="H79" s="255" t="s">
        <v>4137</v>
      </c>
      <c r="I79" s="255" t="s">
        <v>3186</v>
      </c>
      <c r="J79" s="46" t="str">
        <f t="shared" si="2"/>
        <v>GoldHunan Chenzhou Mining Industry Co. Ltd.</v>
      </c>
      <c r="K79" s="46" t="str">
        <f t="shared" si="3"/>
        <v>GoldHunan Chenzhou Mining Industry Co. Ltd.</v>
      </c>
      <c r="L79" s="255"/>
    </row>
    <row r="80" spans="1:12" ht="10.5" customHeight="1">
      <c r="A80" s="255" t="s">
        <v>2323</v>
      </c>
      <c r="B80" s="255" t="s">
        <v>4154</v>
      </c>
      <c r="C80" s="255" t="s">
        <v>4154</v>
      </c>
      <c r="D80" s="255" t="s">
        <v>2256</v>
      </c>
      <c r="E80" s="255" t="s">
        <v>1267</v>
      </c>
      <c r="F80" s="255" t="s">
        <v>3125</v>
      </c>
      <c r="G80" s="255"/>
      <c r="H80" s="255" t="s">
        <v>3196</v>
      </c>
      <c r="I80" s="255" t="s">
        <v>3172</v>
      </c>
      <c r="J80" s="46" t="str">
        <f t="shared" si="2"/>
        <v>GoldHwasung CJ Co., Ltd.</v>
      </c>
      <c r="K80" s="46" t="str">
        <f t="shared" si="3"/>
        <v>GoldHwasung CJ Co., Ltd.</v>
      </c>
      <c r="L80" s="255"/>
    </row>
    <row r="81" spans="1:12" ht="10.5" customHeight="1">
      <c r="A81" s="255" t="s">
        <v>2323</v>
      </c>
      <c r="B81" s="255" t="s">
        <v>4688</v>
      </c>
      <c r="C81" s="255" t="s">
        <v>4688</v>
      </c>
      <c r="D81" s="255" t="s">
        <v>2181</v>
      </c>
      <c r="E81" s="255" t="s">
        <v>1268</v>
      </c>
      <c r="F81" s="255" t="s">
        <v>3125</v>
      </c>
      <c r="G81" s="255"/>
      <c r="H81" s="255" t="s">
        <v>3197</v>
      </c>
      <c r="I81" s="255" t="s">
        <v>3198</v>
      </c>
      <c r="J81" s="46" t="str">
        <f t="shared" si="2"/>
        <v>GoldInner Mongolia Qiankun Gold and Silver Refinery Share Co., Ltd.</v>
      </c>
      <c r="K81" s="46" t="str">
        <f t="shared" si="3"/>
        <v>GoldInner Mongolia Qiankun Gold and Silver Refinery Share Co., Ltd.</v>
      </c>
      <c r="L81" s="255"/>
    </row>
    <row r="82" spans="1:12" ht="10.5" customHeight="1">
      <c r="A82" s="255" t="s">
        <v>2323</v>
      </c>
      <c r="B82" s="255" t="s">
        <v>2452</v>
      </c>
      <c r="C82" s="255" t="s">
        <v>2452</v>
      </c>
      <c r="D82" s="255" t="s">
        <v>2249</v>
      </c>
      <c r="E82" s="255" t="s">
        <v>1269</v>
      </c>
      <c r="F82" s="255" t="s">
        <v>3125</v>
      </c>
      <c r="G82" s="255"/>
      <c r="H82" s="255" t="s">
        <v>3199</v>
      </c>
      <c r="I82" s="255" t="s">
        <v>3179</v>
      </c>
      <c r="J82" s="46" t="str">
        <f t="shared" si="2"/>
        <v>GoldIshifuku Metal Industry Co., Ltd.</v>
      </c>
      <c r="K82" s="46" t="str">
        <f t="shared" si="3"/>
        <v>GoldIshifuku Metal Industry Co., Ltd.</v>
      </c>
      <c r="L82" s="255"/>
    </row>
    <row r="83" spans="1:12" ht="10.5" customHeight="1">
      <c r="A83" s="255" t="s">
        <v>2323</v>
      </c>
      <c r="B83" s="255" t="s">
        <v>2459</v>
      </c>
      <c r="C83" s="255" t="s">
        <v>2459</v>
      </c>
      <c r="D83" s="255" t="s">
        <v>1751</v>
      </c>
      <c r="E83" s="255" t="s">
        <v>1270</v>
      </c>
      <c r="F83" s="255" t="s">
        <v>3125</v>
      </c>
      <c r="G83" s="255"/>
      <c r="H83" s="255" t="s">
        <v>3200</v>
      </c>
      <c r="I83" s="255" t="s">
        <v>3144</v>
      </c>
      <c r="J83" s="46" t="str">
        <f t="shared" si="2"/>
        <v>GoldIstanbul Gold Refinery</v>
      </c>
      <c r="K83" s="46" t="str">
        <f t="shared" si="3"/>
        <v>GoldIstanbul Gold Refinery</v>
      </c>
      <c r="L83" s="255"/>
    </row>
    <row r="84" spans="1:12" ht="10.5" customHeight="1">
      <c r="A84" s="255" t="s">
        <v>2323</v>
      </c>
      <c r="B84" s="255" t="s">
        <v>1790</v>
      </c>
      <c r="C84" s="255" t="s">
        <v>1790</v>
      </c>
      <c r="D84" s="255" t="s">
        <v>2249</v>
      </c>
      <c r="E84" s="255" t="s">
        <v>1271</v>
      </c>
      <c r="F84" s="255" t="s">
        <v>3125</v>
      </c>
      <c r="G84" s="255"/>
      <c r="H84" s="255" t="s">
        <v>3201</v>
      </c>
      <c r="I84" s="255" t="s">
        <v>3202</v>
      </c>
      <c r="J84" s="46" t="str">
        <f t="shared" si="2"/>
        <v>GoldJapan Mint</v>
      </c>
      <c r="K84" s="46" t="str">
        <f t="shared" si="3"/>
        <v>GoldJapan Mint</v>
      </c>
      <c r="L84" s="255"/>
    </row>
    <row r="85" spans="1:12" ht="10.5" customHeight="1">
      <c r="A85" s="255" t="s">
        <v>2323</v>
      </c>
      <c r="B85" s="255" t="s">
        <v>3205</v>
      </c>
      <c r="C85" s="255" t="s">
        <v>4689</v>
      </c>
      <c r="D85" s="255" t="s">
        <v>2181</v>
      </c>
      <c r="E85" s="255" t="s">
        <v>1272</v>
      </c>
      <c r="F85" s="255" t="s">
        <v>3125</v>
      </c>
      <c r="G85" s="255"/>
      <c r="H85" s="255" t="s">
        <v>3203</v>
      </c>
      <c r="I85" s="255" t="s">
        <v>3204</v>
      </c>
      <c r="J85" s="46" t="str">
        <f t="shared" si="2"/>
        <v>GoldJCC</v>
      </c>
      <c r="K85" s="46" t="str">
        <f t="shared" si="3"/>
        <v>GoldJCC</v>
      </c>
      <c r="L85" s="255"/>
    </row>
    <row r="86" spans="1:12" ht="10.5" customHeight="1">
      <c r="A86" s="255" t="s">
        <v>2323</v>
      </c>
      <c r="B86" s="255" t="s">
        <v>4689</v>
      </c>
      <c r="C86" s="255" t="s">
        <v>4689</v>
      </c>
      <c r="D86" s="255" t="s">
        <v>2181</v>
      </c>
      <c r="E86" s="255" t="s">
        <v>1272</v>
      </c>
      <c r="F86" s="255" t="s">
        <v>3125</v>
      </c>
      <c r="G86" s="255"/>
      <c r="H86" s="255" t="s">
        <v>3203</v>
      </c>
      <c r="I86" s="255" t="s">
        <v>3204</v>
      </c>
      <c r="J86" s="46" t="str">
        <f t="shared" si="2"/>
        <v>GoldJiangxi Copper Co., Ltd.</v>
      </c>
      <c r="K86" s="46" t="str">
        <f t="shared" si="3"/>
        <v>GoldJiangxi Copper Co., Ltd.</v>
      </c>
      <c r="L86" s="255"/>
    </row>
    <row r="87" spans="1:12" ht="10.5" customHeight="1">
      <c r="A87" s="255" t="s">
        <v>2323</v>
      </c>
      <c r="B87" s="255" t="s">
        <v>1933</v>
      </c>
      <c r="C87" s="255" t="s">
        <v>4671</v>
      </c>
      <c r="D87" s="255" t="s">
        <v>2177</v>
      </c>
      <c r="E87" s="255" t="s">
        <v>1274</v>
      </c>
      <c r="F87" s="255" t="s">
        <v>3125</v>
      </c>
      <c r="G87" s="255"/>
      <c r="H87" s="255" t="s">
        <v>3209</v>
      </c>
      <c r="I87" s="255" t="s">
        <v>3210</v>
      </c>
      <c r="J87" s="46" t="str">
        <f t="shared" si="2"/>
        <v>GoldJohnson Matthey Canada</v>
      </c>
      <c r="K87" s="46" t="str">
        <f t="shared" si="3"/>
        <v>GoldJohnson Matthey Canada</v>
      </c>
      <c r="L87" s="255"/>
    </row>
    <row r="88" spans="1:12" ht="10.5" customHeight="1">
      <c r="A88" s="255" t="s">
        <v>2323</v>
      </c>
      <c r="B88" s="255" t="s">
        <v>4155</v>
      </c>
      <c r="C88" s="255" t="s">
        <v>4267</v>
      </c>
      <c r="D88" s="255" t="s">
        <v>1759</v>
      </c>
      <c r="E88" s="255" t="s">
        <v>1273</v>
      </c>
      <c r="F88" s="255" t="s">
        <v>3125</v>
      </c>
      <c r="G88" s="255"/>
      <c r="H88" s="255" t="s">
        <v>3206</v>
      </c>
      <c r="I88" s="255" t="s">
        <v>3207</v>
      </c>
      <c r="J88" s="46" t="str">
        <f t="shared" si="2"/>
        <v>GoldJohnson Matthey Inc.</v>
      </c>
      <c r="K88" s="46" t="str">
        <f t="shared" si="3"/>
        <v>GoldJohnson Matthey Inc.</v>
      </c>
      <c r="L88" s="255"/>
    </row>
    <row r="89" spans="1:12" ht="10.5" customHeight="1">
      <c r="A89" s="255" t="s">
        <v>2323</v>
      </c>
      <c r="B89" s="255" t="s">
        <v>3208</v>
      </c>
      <c r="C89" s="255" t="s">
        <v>4267</v>
      </c>
      <c r="D89" s="255" t="s">
        <v>1759</v>
      </c>
      <c r="E89" s="255" t="s">
        <v>1273</v>
      </c>
      <c r="F89" s="255" t="s">
        <v>3125</v>
      </c>
      <c r="G89" s="255"/>
      <c r="H89" s="255" t="s">
        <v>3206</v>
      </c>
      <c r="I89" s="255" t="s">
        <v>3207</v>
      </c>
      <c r="J89" s="46" t="str">
        <f t="shared" si="2"/>
        <v>GoldJohnson Matthey Inc. (USA)</v>
      </c>
      <c r="K89" s="46" t="str">
        <f t="shared" si="3"/>
        <v>GoldJohnson Matthey Inc. (USA)</v>
      </c>
      <c r="L89" s="255"/>
    </row>
    <row r="90" spans="1:12" ht="10.5" customHeight="1">
      <c r="A90" s="255" t="s">
        <v>2323</v>
      </c>
      <c r="B90" s="255" t="s">
        <v>4156</v>
      </c>
      <c r="C90" s="255" t="s">
        <v>4671</v>
      </c>
      <c r="D90" s="255" t="s">
        <v>2177</v>
      </c>
      <c r="E90" s="255" t="s">
        <v>1274</v>
      </c>
      <c r="F90" s="255" t="s">
        <v>3125</v>
      </c>
      <c r="G90" s="255"/>
      <c r="H90" s="255" t="s">
        <v>3209</v>
      </c>
      <c r="I90" s="255" t="s">
        <v>3210</v>
      </c>
      <c r="J90" s="46" t="str">
        <f t="shared" si="2"/>
        <v>GoldJohnson Matthey Limited</v>
      </c>
      <c r="K90" s="46" t="str">
        <f t="shared" si="3"/>
        <v>GoldJohnson Matthey Limited</v>
      </c>
      <c r="L90" s="255"/>
    </row>
    <row r="91" spans="1:12">
      <c r="A91" s="255" t="s">
        <v>2323</v>
      </c>
      <c r="B91" s="255" t="s">
        <v>1791</v>
      </c>
      <c r="C91" s="255" t="s">
        <v>1791</v>
      </c>
      <c r="D91" s="255" t="s">
        <v>1717</v>
      </c>
      <c r="E91" s="255" t="s">
        <v>1275</v>
      </c>
      <c r="F91" s="255" t="s">
        <v>3125</v>
      </c>
      <c r="G91" s="255"/>
      <c r="H91" s="255" t="s">
        <v>3211</v>
      </c>
      <c r="I91" s="255" t="s">
        <v>3212</v>
      </c>
      <c r="J91" s="46" t="str">
        <f t="shared" si="2"/>
        <v>GoldJSC Ekaterinburg Non-Ferrous Metal Processing Plant</v>
      </c>
      <c r="K91" s="46" t="str">
        <f t="shared" si="3"/>
        <v>GoldJSC Ekaterinburg Non-Ferrous Metal Processing Plant</v>
      </c>
      <c r="L91" s="255"/>
    </row>
    <row r="92" spans="1:12" ht="10.5" customHeight="1">
      <c r="A92" s="255" t="s">
        <v>2323</v>
      </c>
      <c r="B92" s="255" t="s">
        <v>2729</v>
      </c>
      <c r="C92" s="255" t="s">
        <v>2729</v>
      </c>
      <c r="D92" s="255" t="s">
        <v>1717</v>
      </c>
      <c r="E92" s="255" t="s">
        <v>1276</v>
      </c>
      <c r="F92" s="255" t="s">
        <v>3125</v>
      </c>
      <c r="G92" s="255"/>
      <c r="H92" s="255" t="s">
        <v>3211</v>
      </c>
      <c r="I92" s="255" t="s">
        <v>3212</v>
      </c>
      <c r="J92" s="46" t="str">
        <f t="shared" si="2"/>
        <v>GoldJSC Uralelectromed</v>
      </c>
      <c r="K92" s="46" t="str">
        <f t="shared" si="3"/>
        <v>GoldJSC Uralelectromed</v>
      </c>
      <c r="L92" s="255"/>
    </row>
    <row r="93" spans="1:12" ht="10.5" customHeight="1">
      <c r="A93" s="255" t="s">
        <v>2323</v>
      </c>
      <c r="B93" s="255" t="s">
        <v>73</v>
      </c>
      <c r="C93" s="255" t="s">
        <v>73</v>
      </c>
      <c r="D93" s="255" t="s">
        <v>2249</v>
      </c>
      <c r="E93" s="255" t="s">
        <v>1277</v>
      </c>
      <c r="F93" s="255" t="s">
        <v>3125</v>
      </c>
      <c r="G93" s="255"/>
      <c r="H93" s="255" t="s">
        <v>4844</v>
      </c>
      <c r="I93" s="255" t="s">
        <v>4844</v>
      </c>
      <c r="J93" s="46" t="str">
        <f t="shared" si="2"/>
        <v>GoldJX Nippon Mining &amp; Metals Co., Ltd.</v>
      </c>
      <c r="K93" s="46" t="str">
        <f t="shared" si="3"/>
        <v>GoldJX Nippon Mining &amp; Metals Co., Ltd.</v>
      </c>
      <c r="L93" s="255"/>
    </row>
    <row r="94" spans="1:12" ht="10.5" customHeight="1">
      <c r="A94" s="255" t="s">
        <v>2323</v>
      </c>
      <c r="B94" s="255" t="s">
        <v>3360</v>
      </c>
      <c r="C94" s="255" t="s">
        <v>3360</v>
      </c>
      <c r="D94" s="255" t="s">
        <v>2147</v>
      </c>
      <c r="E94" s="255" t="s">
        <v>3361</v>
      </c>
      <c r="F94" s="255" t="s">
        <v>3125</v>
      </c>
      <c r="G94" s="255"/>
      <c r="H94" s="255" t="s">
        <v>3357</v>
      </c>
      <c r="I94" s="255" t="s">
        <v>3357</v>
      </c>
      <c r="J94" s="46" t="str">
        <f t="shared" si="2"/>
        <v>GoldKaloti Precious Metals</v>
      </c>
      <c r="K94" s="46" t="str">
        <f t="shared" si="3"/>
        <v>GoldKaloti Precious Metals</v>
      </c>
      <c r="L94" s="255"/>
    </row>
    <row r="95" spans="1:12" ht="10.5" customHeight="1">
      <c r="A95" s="255" t="s">
        <v>2323</v>
      </c>
      <c r="B95" s="255" t="s">
        <v>4247</v>
      </c>
      <c r="C95" s="255" t="s">
        <v>4247</v>
      </c>
      <c r="D95" s="255" t="s">
        <v>2250</v>
      </c>
      <c r="E95" s="255" t="s">
        <v>4248</v>
      </c>
      <c r="F95" s="255" t="s">
        <v>3125</v>
      </c>
      <c r="G95" s="255"/>
      <c r="H95" s="255" t="s">
        <v>4250</v>
      </c>
      <c r="I95" s="255" t="s">
        <v>4249</v>
      </c>
      <c r="J95" s="46" t="str">
        <f t="shared" si="2"/>
        <v>GoldKazakhmys Smelting LLC</v>
      </c>
      <c r="K95" s="46" t="str">
        <f t="shared" si="3"/>
        <v>GoldKazakhmys Smelting LLC</v>
      </c>
      <c r="L95" s="255"/>
    </row>
    <row r="96" spans="1:12" ht="10.5" customHeight="1">
      <c r="A96" s="255" t="s">
        <v>2323</v>
      </c>
      <c r="B96" s="255" t="s">
        <v>3213</v>
      </c>
      <c r="C96" s="255" t="s">
        <v>3213</v>
      </c>
      <c r="D96" s="255" t="s">
        <v>2250</v>
      </c>
      <c r="E96" s="255" t="s">
        <v>1278</v>
      </c>
      <c r="F96" s="255" t="s">
        <v>3125</v>
      </c>
      <c r="G96" s="255"/>
      <c r="H96" s="255" t="s">
        <v>3214</v>
      </c>
      <c r="I96" s="255" t="s">
        <v>3403</v>
      </c>
      <c r="J96" s="46" t="str">
        <f t="shared" si="2"/>
        <v>GoldKazzinc</v>
      </c>
      <c r="K96" s="46" t="str">
        <f t="shared" si="3"/>
        <v>GoldKazzinc</v>
      </c>
      <c r="L96" s="255"/>
    </row>
    <row r="97" spans="1:12" ht="10.5" customHeight="1">
      <c r="A97" s="255" t="s">
        <v>2323</v>
      </c>
      <c r="B97" s="255" t="s">
        <v>1279</v>
      </c>
      <c r="C97" s="255" t="s">
        <v>1279</v>
      </c>
      <c r="D97" s="255" t="s">
        <v>1759</v>
      </c>
      <c r="E97" s="255" t="s">
        <v>1280</v>
      </c>
      <c r="F97" s="255" t="s">
        <v>3125</v>
      </c>
      <c r="G97" s="255"/>
      <c r="H97" s="255" t="s">
        <v>3215</v>
      </c>
      <c r="I97" s="255" t="s">
        <v>3207</v>
      </c>
      <c r="J97" s="46" t="str">
        <f t="shared" si="2"/>
        <v>GoldKennecott Utah Copper LLC</v>
      </c>
      <c r="K97" s="46" t="str">
        <f t="shared" si="3"/>
        <v>GoldKennecott Utah Copper LLC</v>
      </c>
      <c r="L97" s="255"/>
    </row>
    <row r="98" spans="1:12" ht="10.5" customHeight="1">
      <c r="A98" s="255" t="s">
        <v>2323</v>
      </c>
      <c r="B98" s="255" t="s">
        <v>2688</v>
      </c>
      <c r="C98" s="255" t="s">
        <v>2688</v>
      </c>
      <c r="D98" s="255" t="s">
        <v>1708</v>
      </c>
      <c r="E98" s="255" t="s">
        <v>2689</v>
      </c>
      <c r="F98" s="255" t="s">
        <v>3125</v>
      </c>
      <c r="G98" s="255"/>
      <c r="H98" s="255" t="s">
        <v>3349</v>
      </c>
      <c r="I98" s="255" t="s">
        <v>3350</v>
      </c>
      <c r="J98" s="46" t="str">
        <f t="shared" si="2"/>
        <v>GoldKGHM Polska Miedź Spółka Akcyjna</v>
      </c>
      <c r="K98" s="46" t="str">
        <f t="shared" si="3"/>
        <v>GoldKGHM Polska Miedź Spółka Akcyjna</v>
      </c>
      <c r="L98" s="255"/>
    </row>
    <row r="99" spans="1:12" ht="10.5" customHeight="1">
      <c r="A99" s="255" t="s">
        <v>2323</v>
      </c>
      <c r="B99" s="255" t="s">
        <v>4158</v>
      </c>
      <c r="C99" s="255" t="s">
        <v>4158</v>
      </c>
      <c r="D99" s="255" t="s">
        <v>2249</v>
      </c>
      <c r="E99" s="255" t="s">
        <v>1281</v>
      </c>
      <c r="F99" s="255" t="s">
        <v>3125</v>
      </c>
      <c r="G99" s="255"/>
      <c r="H99" s="255" t="s">
        <v>3216</v>
      </c>
      <c r="I99" s="255" t="s">
        <v>3179</v>
      </c>
      <c r="J99" s="46" t="str">
        <f t="shared" si="2"/>
        <v>GoldKojima Chemicals Co., Ltd.</v>
      </c>
      <c r="K99" s="46" t="str">
        <f t="shared" si="3"/>
        <v>GoldKojima Chemicals Co., Ltd.</v>
      </c>
      <c r="L99" s="255"/>
    </row>
    <row r="100" spans="1:12" ht="10.5" customHeight="1">
      <c r="A100" s="255" t="s">
        <v>2323</v>
      </c>
      <c r="B100" s="255" t="s">
        <v>3217</v>
      </c>
      <c r="C100" s="255" t="s">
        <v>4158</v>
      </c>
      <c r="D100" s="255" t="s">
        <v>2249</v>
      </c>
      <c r="E100" s="255" t="s">
        <v>1281</v>
      </c>
      <c r="F100" s="255" t="s">
        <v>3125</v>
      </c>
      <c r="G100" s="255"/>
      <c r="H100" s="255" t="s">
        <v>3216</v>
      </c>
      <c r="I100" s="255" t="s">
        <v>3179</v>
      </c>
      <c r="J100" s="46" t="str">
        <f t="shared" si="2"/>
        <v>GoldKojima Kagaku Yakuhin Co., Ltd</v>
      </c>
      <c r="K100" s="46" t="str">
        <f t="shared" si="3"/>
        <v>GoldKojima Kagaku Yakuhin Co., Ltd</v>
      </c>
      <c r="L100" s="255"/>
    </row>
    <row r="101" spans="1:12" ht="10.5" customHeight="1">
      <c r="A101" s="255" t="s">
        <v>2323</v>
      </c>
      <c r="B101" s="255" t="s">
        <v>4295</v>
      </c>
      <c r="C101" s="255" t="s">
        <v>2688</v>
      </c>
      <c r="D101" s="255" t="s">
        <v>1708</v>
      </c>
      <c r="E101" s="255" t="s">
        <v>2689</v>
      </c>
      <c r="F101" s="255" t="s">
        <v>3125</v>
      </c>
      <c r="G101" s="255"/>
      <c r="H101" s="255" t="s">
        <v>3349</v>
      </c>
      <c r="I101" s="255" t="s">
        <v>3350</v>
      </c>
      <c r="J101" s="46" t="str">
        <f t="shared" si="2"/>
        <v>GoldKombinat Gorniczo Hutniczy Miedz Polska Miedz S.A.</v>
      </c>
      <c r="K101" s="46" t="str">
        <f t="shared" si="3"/>
        <v>GoldKombinat Gorniczo Hutniczy Miedz Polska Miedz S.A.</v>
      </c>
      <c r="L101" s="255"/>
    </row>
    <row r="102" spans="1:12" ht="10.5" customHeight="1">
      <c r="A102" s="255" t="s">
        <v>2323</v>
      </c>
      <c r="B102" s="255" t="s">
        <v>4159</v>
      </c>
      <c r="C102" s="255" t="s">
        <v>4159</v>
      </c>
      <c r="D102" s="255" t="s">
        <v>2256</v>
      </c>
      <c r="E102" s="255" t="s">
        <v>1282</v>
      </c>
      <c r="F102" s="255" t="s">
        <v>3125</v>
      </c>
      <c r="G102" s="255"/>
      <c r="H102" s="255" t="s">
        <v>3167</v>
      </c>
      <c r="I102" s="255" t="s">
        <v>3218</v>
      </c>
      <c r="J102" s="46" t="str">
        <f t="shared" si="2"/>
        <v>GoldKorea Metal Co., Ltd.</v>
      </c>
      <c r="K102" s="46" t="str">
        <f t="shared" si="3"/>
        <v>GoldKorea Metal Co., Ltd.</v>
      </c>
      <c r="L102" s="255"/>
    </row>
    <row r="103" spans="1:12" ht="10.5" customHeight="1">
      <c r="A103" s="255" t="s">
        <v>2323</v>
      </c>
      <c r="B103" s="255" t="s">
        <v>4692</v>
      </c>
      <c r="C103" s="255" t="s">
        <v>4692</v>
      </c>
      <c r="D103" s="255" t="s">
        <v>2256</v>
      </c>
      <c r="E103" s="255" t="s">
        <v>3368</v>
      </c>
      <c r="F103" s="255" t="s">
        <v>3125</v>
      </c>
      <c r="G103" s="255"/>
      <c r="H103" s="255" t="s">
        <v>3369</v>
      </c>
      <c r="I103" s="255" t="s">
        <v>3218</v>
      </c>
      <c r="J103" s="46" t="str">
        <f t="shared" si="2"/>
        <v>GoldKorea Zinc Co., Ltd.</v>
      </c>
      <c r="K103" s="46" t="str">
        <f t="shared" si="3"/>
        <v>GoldKorea Zinc Co., Ltd.</v>
      </c>
      <c r="L103" s="255"/>
    </row>
    <row r="104" spans="1:12" ht="10.5" customHeight="1">
      <c r="A104" s="255" t="s">
        <v>2323</v>
      </c>
      <c r="B104" s="255" t="s">
        <v>1511</v>
      </c>
      <c r="C104" s="255" t="s">
        <v>1511</v>
      </c>
      <c r="D104" s="255" t="s">
        <v>2252</v>
      </c>
      <c r="E104" s="255" t="s">
        <v>1283</v>
      </c>
      <c r="F104" s="255" t="s">
        <v>3125</v>
      </c>
      <c r="G104" s="255"/>
      <c r="H104" s="255" t="s">
        <v>3219</v>
      </c>
      <c r="I104" s="255" t="s">
        <v>3220</v>
      </c>
      <c r="J104" s="46" t="str">
        <f t="shared" si="2"/>
        <v>GoldKyrgyzaltyn JSC</v>
      </c>
      <c r="K104" s="46" t="str">
        <f t="shared" si="3"/>
        <v>GoldKyrgyzaltyn JSC</v>
      </c>
      <c r="L104" s="255"/>
    </row>
    <row r="105" spans="1:12" ht="10.5" customHeight="1">
      <c r="A105" s="255" t="s">
        <v>2323</v>
      </c>
      <c r="B105" s="255" t="s">
        <v>4693</v>
      </c>
      <c r="C105" s="255" t="s">
        <v>4693</v>
      </c>
      <c r="D105" s="255" t="s">
        <v>1717</v>
      </c>
      <c r="E105" s="255" t="s">
        <v>4694</v>
      </c>
      <c r="F105" s="255" t="s">
        <v>3125</v>
      </c>
      <c r="G105" s="255"/>
      <c r="H105" s="255" t="s">
        <v>4762</v>
      </c>
      <c r="I105" s="255" t="s">
        <v>4763</v>
      </c>
      <c r="J105" s="46" t="str">
        <f t="shared" si="2"/>
        <v>GoldKyshtym Copper-Electrolytic Plant ZAO</v>
      </c>
      <c r="K105" s="46" t="str">
        <f t="shared" si="3"/>
        <v>GoldKyshtym Copper-Electrolytic Plant ZAO</v>
      </c>
      <c r="L105" s="255"/>
    </row>
    <row r="106" spans="1:12" ht="10.5" customHeight="1">
      <c r="A106" s="255" t="s">
        <v>2323</v>
      </c>
      <c r="B106" s="255" t="s">
        <v>4296</v>
      </c>
      <c r="C106" s="255" t="s">
        <v>1787</v>
      </c>
      <c r="D106" s="255" t="s">
        <v>2275</v>
      </c>
      <c r="E106" s="255" t="s">
        <v>1247</v>
      </c>
      <c r="F106" s="255" t="s">
        <v>3125</v>
      </c>
      <c r="G106" s="255"/>
      <c r="H106" s="255" t="s">
        <v>3152</v>
      </c>
      <c r="I106" s="255" t="s">
        <v>3153</v>
      </c>
      <c r="J106" s="46" t="str">
        <f t="shared" si="2"/>
        <v>GoldLa Caridad</v>
      </c>
      <c r="K106" s="46" t="str">
        <f t="shared" si="3"/>
        <v>GoldLa Caridad</v>
      </c>
      <c r="L106" s="255"/>
    </row>
    <row r="107" spans="1:12" ht="10.5" customHeight="1">
      <c r="A107" s="255" t="s">
        <v>2323</v>
      </c>
      <c r="B107" s="255" t="s">
        <v>37</v>
      </c>
      <c r="C107" s="255" t="s">
        <v>4177</v>
      </c>
      <c r="D107" s="255" t="s">
        <v>2181</v>
      </c>
      <c r="E107" s="255" t="s">
        <v>1324</v>
      </c>
      <c r="F107" s="255" t="s">
        <v>3125</v>
      </c>
      <c r="G107" s="255"/>
      <c r="H107" s="255" t="s">
        <v>3286</v>
      </c>
      <c r="I107" s="255" t="s">
        <v>3263</v>
      </c>
      <c r="J107" s="46" t="str">
        <f t="shared" si="2"/>
        <v>GoldLAIZHOU SHANDONG</v>
      </c>
      <c r="K107" s="46" t="str">
        <f t="shared" si="3"/>
        <v>GoldLAIZHOU SHANDONG</v>
      </c>
      <c r="L107" s="255"/>
    </row>
    <row r="108" spans="1:12" ht="10.5" customHeight="1">
      <c r="A108" s="255" t="s">
        <v>2323</v>
      </c>
      <c r="B108" s="255" t="s">
        <v>4695</v>
      </c>
      <c r="C108" s="255" t="s">
        <v>4695</v>
      </c>
      <c r="D108" s="255" t="s">
        <v>1719</v>
      </c>
      <c r="E108" s="255" t="s">
        <v>1284</v>
      </c>
      <c r="F108" s="255" t="s">
        <v>3125</v>
      </c>
      <c r="G108" s="255"/>
      <c r="H108" s="255" t="s">
        <v>3221</v>
      </c>
      <c r="I108" s="255" t="s">
        <v>3222</v>
      </c>
      <c r="J108" s="46" t="str">
        <f t="shared" si="2"/>
        <v>GoldL'azurde Company For Jewelry</v>
      </c>
      <c r="K108" s="46" t="str">
        <f t="shared" si="3"/>
        <v>GoldL'azurde Company For Jewelry</v>
      </c>
      <c r="L108" s="255"/>
    </row>
    <row r="109" spans="1:12" ht="10.5" customHeight="1">
      <c r="A109" s="255" t="s">
        <v>2323</v>
      </c>
      <c r="B109" s="255" t="s">
        <v>4696</v>
      </c>
      <c r="C109" s="255" t="s">
        <v>4696</v>
      </c>
      <c r="D109" s="255" t="s">
        <v>2181</v>
      </c>
      <c r="E109" s="255" t="s">
        <v>2690</v>
      </c>
      <c r="F109" s="255" t="s">
        <v>3125</v>
      </c>
      <c r="G109" s="255"/>
      <c r="H109" s="255" t="s">
        <v>3223</v>
      </c>
      <c r="I109" s="255" t="s">
        <v>3224</v>
      </c>
      <c r="J109" s="46" t="str">
        <f t="shared" si="2"/>
        <v>GoldLingbao Gold Co., Ltd.</v>
      </c>
      <c r="K109" s="46" t="str">
        <f t="shared" si="3"/>
        <v>GoldLingbao Gold Co., Ltd.</v>
      </c>
      <c r="L109" s="255"/>
    </row>
    <row r="110" spans="1:12" ht="10.5" customHeight="1">
      <c r="A110" s="255" t="s">
        <v>2323</v>
      </c>
      <c r="B110" s="255" t="s">
        <v>4160</v>
      </c>
      <c r="C110" s="255" t="s">
        <v>4160</v>
      </c>
      <c r="D110" s="255" t="s">
        <v>2181</v>
      </c>
      <c r="E110" s="255" t="s">
        <v>1285</v>
      </c>
      <c r="F110" s="255" t="s">
        <v>3125</v>
      </c>
      <c r="G110" s="255"/>
      <c r="H110" s="255" t="s">
        <v>3223</v>
      </c>
      <c r="I110" s="255" t="s">
        <v>3224</v>
      </c>
      <c r="J110" s="46" t="str">
        <f t="shared" si="2"/>
        <v>GoldLingbao Jinyuan Tonghui Refinery Co., Ltd.</v>
      </c>
      <c r="K110" s="46" t="str">
        <f t="shared" si="3"/>
        <v>GoldLingbao Jinyuan Tonghui Refinery Co., Ltd.</v>
      </c>
      <c r="L110" s="255"/>
    </row>
    <row r="111" spans="1:12" ht="10.5" customHeight="1">
      <c r="A111" s="255" t="s">
        <v>2323</v>
      </c>
      <c r="B111" s="255" t="s">
        <v>74</v>
      </c>
      <c r="C111" s="255" t="s">
        <v>74</v>
      </c>
      <c r="D111" s="255" t="s">
        <v>2256</v>
      </c>
      <c r="E111" s="255" t="s">
        <v>1286</v>
      </c>
      <c r="F111" s="255" t="s">
        <v>3125</v>
      </c>
      <c r="G111" s="255"/>
      <c r="H111" s="255" t="s">
        <v>3225</v>
      </c>
      <c r="I111" s="255" t="s">
        <v>3226</v>
      </c>
      <c r="J111" s="46" t="str">
        <f t="shared" si="2"/>
        <v>GoldLS-NIKKO Copper Inc.</v>
      </c>
      <c r="K111" s="46" t="str">
        <f t="shared" si="3"/>
        <v>GoldLS-NIKKO Copper Inc.</v>
      </c>
      <c r="L111" s="255"/>
    </row>
    <row r="112" spans="1:12" ht="10.5" customHeight="1">
      <c r="A112" s="255" t="s">
        <v>2323</v>
      </c>
      <c r="B112" s="255" t="s">
        <v>3227</v>
      </c>
      <c r="C112" s="255" t="s">
        <v>3227</v>
      </c>
      <c r="D112" s="255" t="s">
        <v>2181</v>
      </c>
      <c r="E112" s="255" t="s">
        <v>1288</v>
      </c>
      <c r="F112" s="255" t="s">
        <v>3125</v>
      </c>
      <c r="G112" s="255"/>
      <c r="H112" s="255" t="s">
        <v>3228</v>
      </c>
      <c r="I112" s="255" t="s">
        <v>3224</v>
      </c>
      <c r="J112" s="46" t="str">
        <f t="shared" si="2"/>
        <v>GoldLuoyang Zijin Yinhui Gold Refinery Co., Ltd.</v>
      </c>
      <c r="K112" s="46" t="str">
        <f t="shared" si="3"/>
        <v>GoldLuoyang Zijin Yinhui Gold Refinery Co., Ltd.</v>
      </c>
      <c r="L112" s="255"/>
    </row>
    <row r="113" spans="1:12" ht="10.5" customHeight="1">
      <c r="A113" s="255" t="s">
        <v>2323</v>
      </c>
      <c r="B113" s="255" t="s">
        <v>38</v>
      </c>
      <c r="C113" s="255" t="s">
        <v>3227</v>
      </c>
      <c r="D113" s="255" t="s">
        <v>2181</v>
      </c>
      <c r="E113" s="255" t="s">
        <v>1288</v>
      </c>
      <c r="F113" s="255" t="s">
        <v>3125</v>
      </c>
      <c r="G113" s="255"/>
      <c r="H113" s="255" t="s">
        <v>3228</v>
      </c>
      <c r="I113" s="255" t="s">
        <v>3224</v>
      </c>
      <c r="J113" s="46" t="str">
        <f t="shared" si="2"/>
        <v>GoldLuoyang Zijin Yinhui Gold Smelting</v>
      </c>
      <c r="K113" s="46" t="str">
        <f t="shared" si="3"/>
        <v>GoldLuoyang Zijin Yinhui Gold Smelting</v>
      </c>
      <c r="L113" s="255"/>
    </row>
    <row r="114" spans="1:12" ht="10.5" customHeight="1">
      <c r="A114" s="255" t="s">
        <v>2323</v>
      </c>
      <c r="B114" s="255" t="s">
        <v>1287</v>
      </c>
      <c r="C114" s="255" t="s">
        <v>3227</v>
      </c>
      <c r="D114" s="255" t="s">
        <v>2181</v>
      </c>
      <c r="E114" s="255" t="s">
        <v>1288</v>
      </c>
      <c r="F114" s="255" t="s">
        <v>3125</v>
      </c>
      <c r="G114" s="255"/>
      <c r="H114" s="255" t="s">
        <v>3228</v>
      </c>
      <c r="I114" s="255" t="s">
        <v>3224</v>
      </c>
      <c r="J114" s="46" t="str">
        <f t="shared" si="2"/>
        <v>GoldLuoyang Zijin Yinhui Metal Smelt Co Ltd</v>
      </c>
      <c r="K114" s="46" t="str">
        <f t="shared" si="3"/>
        <v>GoldLuoyang Zijin Yinhui Metal Smelt Co Ltd</v>
      </c>
      <c r="L114" s="255"/>
    </row>
    <row r="115" spans="1:12" ht="10.5" customHeight="1">
      <c r="A115" s="255" t="s">
        <v>2323</v>
      </c>
      <c r="B115" s="255" t="s">
        <v>1792</v>
      </c>
      <c r="C115" s="255" t="s">
        <v>1792</v>
      </c>
      <c r="D115" s="255" t="s">
        <v>1759</v>
      </c>
      <c r="E115" s="255" t="s">
        <v>1289</v>
      </c>
      <c r="F115" s="255" t="s">
        <v>3125</v>
      </c>
      <c r="G115" s="255"/>
      <c r="H115" s="255" t="s">
        <v>3229</v>
      </c>
      <c r="I115" s="255" t="s">
        <v>3230</v>
      </c>
      <c r="J115" s="46" t="str">
        <f t="shared" si="2"/>
        <v>GoldMaterion</v>
      </c>
      <c r="K115" s="46" t="str">
        <f t="shared" si="3"/>
        <v>GoldMaterion</v>
      </c>
      <c r="L115" s="255"/>
    </row>
    <row r="116" spans="1:12" ht="10.5" customHeight="1">
      <c r="A116" s="255" t="s">
        <v>2323</v>
      </c>
      <c r="B116" s="255" t="s">
        <v>75</v>
      </c>
      <c r="C116" s="255" t="s">
        <v>75</v>
      </c>
      <c r="D116" s="255" t="s">
        <v>2249</v>
      </c>
      <c r="E116" s="255" t="s">
        <v>1290</v>
      </c>
      <c r="F116" s="255" t="s">
        <v>3125</v>
      </c>
      <c r="G116" s="255"/>
      <c r="H116" s="255" t="s">
        <v>3231</v>
      </c>
      <c r="I116" s="255" t="s">
        <v>3179</v>
      </c>
      <c r="J116" s="46" t="str">
        <f t="shared" si="2"/>
        <v>GoldMatsuda Sangyo Co., Ltd.</v>
      </c>
      <c r="K116" s="46" t="str">
        <f t="shared" si="3"/>
        <v>GoldMatsuda Sangyo Co., Ltd.</v>
      </c>
      <c r="L116" s="255"/>
    </row>
    <row r="117" spans="1:12" ht="10.5" customHeight="1">
      <c r="A117" s="255" t="s">
        <v>2323</v>
      </c>
      <c r="B117" s="255" t="s">
        <v>39</v>
      </c>
      <c r="C117" s="255" t="s">
        <v>77</v>
      </c>
      <c r="D117" s="255" t="s">
        <v>2249</v>
      </c>
      <c r="E117" s="255" t="s">
        <v>1321</v>
      </c>
      <c r="F117" s="255" t="s">
        <v>3125</v>
      </c>
      <c r="G117" s="255"/>
      <c r="H117" s="255" t="s">
        <v>3297</v>
      </c>
      <c r="I117" s="255" t="s">
        <v>4284</v>
      </c>
      <c r="J117" s="46" t="str">
        <f t="shared" si="2"/>
        <v>GoldMEM(Sumitomo Group)</v>
      </c>
      <c r="K117" s="46" t="str">
        <f t="shared" si="3"/>
        <v>GoldMEM(Sumitomo Group)</v>
      </c>
      <c r="L117" s="255"/>
    </row>
    <row r="118" spans="1:12" ht="10.5" customHeight="1">
      <c r="A118" s="255" t="s">
        <v>2323</v>
      </c>
      <c r="B118" s="255" t="s">
        <v>4698</v>
      </c>
      <c r="C118" s="255" t="s">
        <v>4699</v>
      </c>
      <c r="D118" s="255" t="s">
        <v>2275</v>
      </c>
      <c r="E118" s="255" t="s">
        <v>1295</v>
      </c>
      <c r="F118" s="255" t="s">
        <v>3125</v>
      </c>
      <c r="G118" s="255"/>
      <c r="H118" s="255" t="s">
        <v>3243</v>
      </c>
      <c r="I118" s="255" t="s">
        <v>3244</v>
      </c>
      <c r="J118" s="46" t="str">
        <f t="shared" si="2"/>
        <v>GoldMetal?rgica Met-Mex Pe?oles, S.A. de C.V</v>
      </c>
      <c r="K118" s="46" t="str">
        <f t="shared" si="3"/>
        <v>GoldMetal?rgica Met-Mex Pe?oles, S.A. de C.V</v>
      </c>
      <c r="L118" s="255"/>
    </row>
    <row r="119" spans="1:12" ht="10.5" customHeight="1">
      <c r="A119" s="255" t="s">
        <v>2323</v>
      </c>
      <c r="B119" s="255" t="s">
        <v>2379</v>
      </c>
      <c r="C119" s="255" t="s">
        <v>4697</v>
      </c>
      <c r="D119" s="255" t="s">
        <v>2179</v>
      </c>
      <c r="E119" s="255" t="s">
        <v>1293</v>
      </c>
      <c r="F119" s="255" t="s">
        <v>3125</v>
      </c>
      <c r="G119" s="255"/>
      <c r="H119" s="255" t="s">
        <v>3239</v>
      </c>
      <c r="I119" s="255" t="s">
        <v>3240</v>
      </c>
      <c r="J119" s="46" t="str">
        <f t="shared" si="2"/>
        <v>GoldMetalor Switzerland</v>
      </c>
      <c r="K119" s="46" t="str">
        <f t="shared" si="3"/>
        <v>GoldMetalor Switzerland</v>
      </c>
      <c r="L119" s="255"/>
    </row>
    <row r="120" spans="1:12" ht="10.5" customHeight="1">
      <c r="A120" s="255" t="s">
        <v>2323</v>
      </c>
      <c r="B120" s="255" t="s">
        <v>4162</v>
      </c>
      <c r="C120" s="255" t="s">
        <v>4162</v>
      </c>
      <c r="D120" s="255" t="s">
        <v>2181</v>
      </c>
      <c r="E120" s="255" t="s">
        <v>1291</v>
      </c>
      <c r="F120" s="255" t="s">
        <v>3125</v>
      </c>
      <c r="G120" s="255"/>
      <c r="H120" s="255" t="s">
        <v>3236</v>
      </c>
      <c r="I120" s="255" t="s">
        <v>3191</v>
      </c>
      <c r="J120" s="46" t="str">
        <f t="shared" si="2"/>
        <v>GoldMetalor Technologies (Hong Kong) Ltd.</v>
      </c>
      <c r="K120" s="46" t="str">
        <f t="shared" si="3"/>
        <v>GoldMetalor Technologies (Hong Kong) Ltd.</v>
      </c>
      <c r="L120" s="255"/>
    </row>
    <row r="121" spans="1:12" ht="10.5" customHeight="1">
      <c r="A121" s="255" t="s">
        <v>2323</v>
      </c>
      <c r="B121" s="255" t="s">
        <v>4163</v>
      </c>
      <c r="C121" s="255" t="s">
        <v>4163</v>
      </c>
      <c r="D121" s="255" t="s">
        <v>1722</v>
      </c>
      <c r="E121" s="255" t="s">
        <v>1292</v>
      </c>
      <c r="F121" s="255" t="s">
        <v>3125</v>
      </c>
      <c r="G121" s="255"/>
      <c r="H121" s="255" t="s">
        <v>3237</v>
      </c>
      <c r="I121" s="255" t="s">
        <v>3238</v>
      </c>
      <c r="J121" s="46" t="str">
        <f t="shared" si="2"/>
        <v>GoldMetalor Technologies (Singapore) Pte., Ltd.</v>
      </c>
      <c r="K121" s="46" t="str">
        <f t="shared" si="3"/>
        <v>GoldMetalor Technologies (Singapore) Pte., Ltd.</v>
      </c>
      <c r="L121" s="255"/>
    </row>
    <row r="122" spans="1:12" ht="10.5" customHeight="1">
      <c r="A122" s="255" t="s">
        <v>2323</v>
      </c>
      <c r="B122" s="255" t="s">
        <v>3232</v>
      </c>
      <c r="C122" s="255" t="s">
        <v>3232</v>
      </c>
      <c r="D122" s="255" t="s">
        <v>2181</v>
      </c>
      <c r="E122" s="255" t="s">
        <v>3233</v>
      </c>
      <c r="F122" s="255" t="s">
        <v>3125</v>
      </c>
      <c r="G122" s="255"/>
      <c r="H122" s="255" t="s">
        <v>3234</v>
      </c>
      <c r="I122" s="255" t="s">
        <v>3235</v>
      </c>
      <c r="J122" s="46" t="str">
        <f t="shared" si="2"/>
        <v>GoldMetalor Technologies (Suzhou) Ltd.</v>
      </c>
      <c r="K122" s="46" t="str">
        <f t="shared" si="3"/>
        <v>GoldMetalor Technologies (Suzhou) Ltd.</v>
      </c>
      <c r="L122" s="255"/>
    </row>
    <row r="123" spans="1:12" ht="10.5" customHeight="1">
      <c r="A123" s="255" t="s">
        <v>2323</v>
      </c>
      <c r="B123" s="255" t="s">
        <v>4697</v>
      </c>
      <c r="C123" s="255" t="s">
        <v>4697</v>
      </c>
      <c r="D123" s="255" t="s">
        <v>2179</v>
      </c>
      <c r="E123" s="255" t="s">
        <v>1293</v>
      </c>
      <c r="F123" s="255" t="s">
        <v>3125</v>
      </c>
      <c r="G123" s="255"/>
      <c r="H123" s="255" t="s">
        <v>3239</v>
      </c>
      <c r="I123" s="255" t="s">
        <v>3240</v>
      </c>
      <c r="J123" s="46" t="str">
        <f t="shared" si="2"/>
        <v>GoldMetalor Technologies S.A.</v>
      </c>
      <c r="K123" s="46" t="str">
        <f t="shared" si="3"/>
        <v>GoldMetalor Technologies S.A.</v>
      </c>
      <c r="L123" s="255"/>
    </row>
    <row r="124" spans="1:12" ht="10.5" customHeight="1">
      <c r="A124" s="255" t="s">
        <v>2323</v>
      </c>
      <c r="B124" s="255" t="s">
        <v>2453</v>
      </c>
      <c r="C124" s="255" t="s">
        <v>2453</v>
      </c>
      <c r="D124" s="255" t="s">
        <v>1759</v>
      </c>
      <c r="E124" s="255" t="s">
        <v>1294</v>
      </c>
      <c r="F124" s="255" t="s">
        <v>3125</v>
      </c>
      <c r="G124" s="255"/>
      <c r="H124" s="255" t="s">
        <v>3241</v>
      </c>
      <c r="I124" s="255" t="s">
        <v>3242</v>
      </c>
      <c r="J124" s="46" t="str">
        <f t="shared" si="2"/>
        <v>GoldMetalor USA Refining Corporation</v>
      </c>
      <c r="K124" s="46" t="str">
        <f t="shared" si="3"/>
        <v>GoldMetalor USA Refining Corporation</v>
      </c>
      <c r="L124" s="255"/>
    </row>
    <row r="125" spans="1:12" ht="10.5" customHeight="1">
      <c r="A125" s="255" t="s">
        <v>2323</v>
      </c>
      <c r="B125" s="255" t="s">
        <v>4699</v>
      </c>
      <c r="C125" s="255" t="s">
        <v>4699</v>
      </c>
      <c r="D125" s="255" t="s">
        <v>2275</v>
      </c>
      <c r="E125" s="255" t="s">
        <v>1295</v>
      </c>
      <c r="F125" s="255" t="s">
        <v>3125</v>
      </c>
      <c r="G125" s="255"/>
      <c r="H125" s="255" t="s">
        <v>3243</v>
      </c>
      <c r="I125" s="255" t="s">
        <v>3244</v>
      </c>
      <c r="J125" s="46" t="str">
        <f t="shared" si="2"/>
        <v>GoldMetalúrgica Met-Mex Peñoles S.A. De C.V.</v>
      </c>
      <c r="K125" s="46" t="str">
        <f t="shared" si="3"/>
        <v>GoldMetalúrgica Met-Mex Peñoles S.A. De C.V.</v>
      </c>
      <c r="L125" s="255"/>
    </row>
    <row r="126" spans="1:12" ht="10.5" customHeight="1">
      <c r="A126" s="255" t="s">
        <v>2323</v>
      </c>
      <c r="B126" s="255" t="s">
        <v>4700</v>
      </c>
      <c r="C126" s="255" t="s">
        <v>4699</v>
      </c>
      <c r="D126" s="255" t="s">
        <v>2275</v>
      </c>
      <c r="E126" s="255" t="s">
        <v>1295</v>
      </c>
      <c r="F126" s="255" t="s">
        <v>3125</v>
      </c>
      <c r="G126" s="255"/>
      <c r="H126" s="255" t="s">
        <v>3243</v>
      </c>
      <c r="I126" s="255" t="s">
        <v>3244</v>
      </c>
      <c r="J126" s="46" t="str">
        <f t="shared" si="2"/>
        <v>GoldMet-Mex Pe?oles, S.A.</v>
      </c>
      <c r="K126" s="46" t="str">
        <f t="shared" si="3"/>
        <v>GoldMet-Mex Pe?oles, S.A.</v>
      </c>
      <c r="L126" s="255"/>
    </row>
    <row r="127" spans="1:12" ht="10.5" customHeight="1">
      <c r="A127" s="255" t="s">
        <v>2323</v>
      </c>
      <c r="B127" s="255" t="s">
        <v>4145</v>
      </c>
      <c r="C127" s="255" t="s">
        <v>4699</v>
      </c>
      <c r="D127" s="255" t="s">
        <v>2275</v>
      </c>
      <c r="E127" s="255" t="s">
        <v>1295</v>
      </c>
      <c r="F127" s="255" t="s">
        <v>3125</v>
      </c>
      <c r="G127" s="255"/>
      <c r="H127" s="255" t="s">
        <v>3243</v>
      </c>
      <c r="I127" s="255" t="s">
        <v>3244</v>
      </c>
      <c r="J127" s="46" t="str">
        <f t="shared" si="2"/>
        <v>GoldMet-Mex Penoles, S.A.</v>
      </c>
      <c r="K127" s="46" t="str">
        <f t="shared" si="3"/>
        <v>GoldMet-Mex Penoles, S.A.</v>
      </c>
      <c r="L127" s="255"/>
    </row>
    <row r="128" spans="1:12" ht="10.5" customHeight="1">
      <c r="A128" s="255" t="s">
        <v>2323</v>
      </c>
      <c r="B128" s="255" t="s">
        <v>2371</v>
      </c>
      <c r="C128" s="255" t="s">
        <v>2371</v>
      </c>
      <c r="D128" s="255" t="s">
        <v>2249</v>
      </c>
      <c r="E128" s="255" t="s">
        <v>1296</v>
      </c>
      <c r="F128" s="255" t="s">
        <v>3125</v>
      </c>
      <c r="G128" s="255"/>
      <c r="H128" s="255" t="s">
        <v>3245</v>
      </c>
      <c r="I128" s="255" t="s">
        <v>4283</v>
      </c>
      <c r="J128" s="46" t="str">
        <f t="shared" si="2"/>
        <v>GoldMitsubishi Materials Corporation</v>
      </c>
      <c r="K128" s="46" t="str">
        <f t="shared" si="3"/>
        <v>GoldMitsubishi Materials Corporation</v>
      </c>
      <c r="L128" s="255"/>
    </row>
    <row r="129" spans="1:12" ht="10.5" customHeight="1">
      <c r="A129" s="255" t="s">
        <v>2323</v>
      </c>
      <c r="B129" s="255" t="s">
        <v>3248</v>
      </c>
      <c r="C129" s="255" t="s">
        <v>2454</v>
      </c>
      <c r="D129" s="255" t="s">
        <v>2249</v>
      </c>
      <c r="E129" s="255" t="s">
        <v>1297</v>
      </c>
      <c r="F129" s="255" t="s">
        <v>3125</v>
      </c>
      <c r="G129" s="255"/>
      <c r="H129" s="255" t="s">
        <v>3247</v>
      </c>
      <c r="I129" s="255" t="s">
        <v>3246</v>
      </c>
      <c r="J129" s="46" t="str">
        <f t="shared" si="2"/>
        <v>GoldMitsui Kinzoku Co., Ltd.</v>
      </c>
      <c r="K129" s="46" t="str">
        <f t="shared" si="3"/>
        <v>GoldMitsui Kinzoku Co., Ltd.</v>
      </c>
      <c r="L129" s="255"/>
    </row>
    <row r="130" spans="1:12" ht="10.5" customHeight="1">
      <c r="A130" s="255" t="s">
        <v>2323</v>
      </c>
      <c r="B130" s="255" t="s">
        <v>2454</v>
      </c>
      <c r="C130" s="255" t="s">
        <v>2454</v>
      </c>
      <c r="D130" s="255" t="s">
        <v>2249</v>
      </c>
      <c r="E130" s="255" t="s">
        <v>1297</v>
      </c>
      <c r="F130" s="255" t="s">
        <v>3125</v>
      </c>
      <c r="G130" s="255"/>
      <c r="H130" s="255" t="s">
        <v>3247</v>
      </c>
      <c r="I130" s="255" t="s">
        <v>3246</v>
      </c>
      <c r="J130" s="46" t="str">
        <f t="shared" si="2"/>
        <v>GoldMitsui Mining and Smelting Co., Ltd.</v>
      </c>
      <c r="K130" s="46" t="str">
        <f t="shared" si="3"/>
        <v>GoldMitsui Mining and Smelting Co., Ltd.</v>
      </c>
      <c r="L130" s="255"/>
    </row>
    <row r="131" spans="1:12" ht="10.5" customHeight="1">
      <c r="A131" s="255" t="s">
        <v>2323</v>
      </c>
      <c r="B131" s="255" t="s">
        <v>4191</v>
      </c>
      <c r="C131" s="255" t="s">
        <v>4191</v>
      </c>
      <c r="D131" s="255" t="s">
        <v>2239</v>
      </c>
      <c r="E131" s="255" t="s">
        <v>2691</v>
      </c>
      <c r="F131" s="255" t="s">
        <v>3125</v>
      </c>
      <c r="G131" s="255"/>
      <c r="H131" s="255" t="s">
        <v>3345</v>
      </c>
      <c r="I131" s="255" t="s">
        <v>3346</v>
      </c>
      <c r="J131" s="46" t="str">
        <f t="shared" si="2"/>
        <v>GoldMMTC-PAMP India Pvt., Ltd.</v>
      </c>
      <c r="K131" s="46" t="str">
        <f t="shared" si="3"/>
        <v>GoldMMTC-PAMP India Pvt., Ltd.</v>
      </c>
      <c r="L131" s="255"/>
    </row>
    <row r="132" spans="1:12" ht="10.5" customHeight="1">
      <c r="A132" s="255" t="s">
        <v>2323</v>
      </c>
      <c r="B132" s="255" t="s">
        <v>4702</v>
      </c>
      <c r="C132" s="255" t="s">
        <v>4702</v>
      </c>
      <c r="D132" s="255" t="s">
        <v>2289</v>
      </c>
      <c r="E132" s="255" t="s">
        <v>4703</v>
      </c>
      <c r="F132" s="255" t="s">
        <v>3125</v>
      </c>
      <c r="G132" s="255"/>
      <c r="H132" s="255" t="s">
        <v>4764</v>
      </c>
      <c r="I132" s="255" t="s">
        <v>4765</v>
      </c>
      <c r="J132" s="46" t="str">
        <f t="shared" si="2"/>
        <v>GoldModeltech Sdn Bhd</v>
      </c>
      <c r="K132" s="46" t="str">
        <f t="shared" si="3"/>
        <v>GoldModeltech Sdn Bhd</v>
      </c>
      <c r="L132" s="255"/>
    </row>
    <row r="133" spans="1:12" ht="10.5" customHeight="1">
      <c r="A133" s="255" t="s">
        <v>2323</v>
      </c>
      <c r="B133" s="255" t="s">
        <v>4279</v>
      </c>
      <c r="C133" s="255" t="s">
        <v>4279</v>
      </c>
      <c r="D133" s="255" t="s">
        <v>2302</v>
      </c>
      <c r="E133" s="255" t="s">
        <v>4280</v>
      </c>
      <c r="F133" s="255" t="s">
        <v>3125</v>
      </c>
      <c r="G133" s="255"/>
      <c r="H133" s="255" t="s">
        <v>4704</v>
      </c>
      <c r="I133" s="255" t="s">
        <v>4281</v>
      </c>
      <c r="J133" s="46" t="str">
        <f t="shared" ref="J133:J196" si="4">A133&amp;B133</f>
        <v>GoldMorris and Watson</v>
      </c>
      <c r="K133" s="46" t="str">
        <f t="shared" ref="K133:K196" si="5">A133&amp;B133</f>
        <v>GoldMorris and Watson</v>
      </c>
      <c r="L133" s="255"/>
    </row>
    <row r="134" spans="1:12" ht="10.5" customHeight="1">
      <c r="A134" s="255" t="s">
        <v>2323</v>
      </c>
      <c r="B134" s="255" t="s">
        <v>1793</v>
      </c>
      <c r="C134" s="255" t="s">
        <v>1793</v>
      </c>
      <c r="D134" s="255" t="s">
        <v>1717</v>
      </c>
      <c r="E134" s="255" t="s">
        <v>1298</v>
      </c>
      <c r="F134" s="255" t="s">
        <v>3125</v>
      </c>
      <c r="G134" s="255"/>
      <c r="H134" s="255" t="s">
        <v>3249</v>
      </c>
      <c r="I134" s="255" t="s">
        <v>3294</v>
      </c>
      <c r="J134" s="46" t="str">
        <f t="shared" si="4"/>
        <v>GoldMoscow Special Alloys Processing Plant</v>
      </c>
      <c r="K134" s="46" t="str">
        <f t="shared" si="5"/>
        <v>GoldMoscow Special Alloys Processing Plant</v>
      </c>
      <c r="L134" s="255"/>
    </row>
    <row r="135" spans="1:12" ht="10.5" customHeight="1">
      <c r="A135" s="255" t="s">
        <v>2323</v>
      </c>
      <c r="B135" s="255" t="s">
        <v>2460</v>
      </c>
      <c r="C135" s="255" t="s">
        <v>2460</v>
      </c>
      <c r="D135" s="255" t="s">
        <v>1751</v>
      </c>
      <c r="E135" s="255" t="s">
        <v>1299</v>
      </c>
      <c r="F135" s="255" t="s">
        <v>3125</v>
      </c>
      <c r="G135" s="255"/>
      <c r="H135" s="255" t="s">
        <v>3250</v>
      </c>
      <c r="I135" s="255" t="s">
        <v>3144</v>
      </c>
      <c r="J135" s="46" t="str">
        <f t="shared" si="4"/>
        <v>GoldNadir Metal Rafineri San. Ve Tic. A.Ş.</v>
      </c>
      <c r="K135" s="46" t="str">
        <f t="shared" si="5"/>
        <v>GoldNadir Metal Rafineri San. Ve Tic. A.Ş.</v>
      </c>
      <c r="L135" s="255"/>
    </row>
    <row r="136" spans="1:12" ht="10.5" customHeight="1">
      <c r="A136" s="255" t="s">
        <v>2323</v>
      </c>
      <c r="B136" s="255" t="s">
        <v>2455</v>
      </c>
      <c r="C136" s="255" t="s">
        <v>2455</v>
      </c>
      <c r="D136" s="255" t="s">
        <v>1760</v>
      </c>
      <c r="E136" s="255" t="s">
        <v>1300</v>
      </c>
      <c r="F136" s="255" t="s">
        <v>3125</v>
      </c>
      <c r="G136" s="255"/>
      <c r="H136" s="255" t="s">
        <v>3251</v>
      </c>
      <c r="I136" s="255" t="s">
        <v>3252</v>
      </c>
      <c r="J136" s="46" t="str">
        <f t="shared" si="4"/>
        <v>GoldNavoi Mining and Metallurgical Combinat</v>
      </c>
      <c r="K136" s="46" t="str">
        <f t="shared" si="5"/>
        <v>GoldNavoi Mining and Metallurgical Combinat</v>
      </c>
      <c r="L136" s="255"/>
    </row>
    <row r="137" spans="1:12" ht="10.5" customHeight="1">
      <c r="A137" s="255" t="s">
        <v>2323</v>
      </c>
      <c r="B137" s="255" t="s">
        <v>4166</v>
      </c>
      <c r="C137" s="255" t="s">
        <v>4166</v>
      </c>
      <c r="D137" s="255" t="s">
        <v>2249</v>
      </c>
      <c r="E137" s="255" t="s">
        <v>1301</v>
      </c>
      <c r="F137" s="255" t="s">
        <v>3125</v>
      </c>
      <c r="G137" s="255"/>
      <c r="H137" s="255" t="s">
        <v>3253</v>
      </c>
      <c r="I137" s="255" t="s">
        <v>3254</v>
      </c>
      <c r="J137" s="46" t="str">
        <f t="shared" si="4"/>
        <v>GoldNihon Material Co., Ltd.</v>
      </c>
      <c r="K137" s="46" t="str">
        <f t="shared" si="5"/>
        <v>GoldNihon Material Co., Ltd.</v>
      </c>
      <c r="L137" s="255"/>
    </row>
    <row r="138" spans="1:12" ht="10.5" customHeight="1">
      <c r="A138" s="255" t="s">
        <v>2323</v>
      </c>
      <c r="B138" s="255" t="s">
        <v>3148</v>
      </c>
      <c r="C138" s="255" t="s">
        <v>2448</v>
      </c>
      <c r="D138" s="255" t="s">
        <v>2195</v>
      </c>
      <c r="E138" s="255" t="s">
        <v>1242</v>
      </c>
      <c r="F138" s="255" t="s">
        <v>3125</v>
      </c>
      <c r="G138" s="255"/>
      <c r="H138" s="255" t="s">
        <v>3146</v>
      </c>
      <c r="I138" s="255" t="s">
        <v>3147</v>
      </c>
      <c r="J138" s="46" t="str">
        <f t="shared" si="4"/>
        <v>GoldNorddeutsche Affinererie AG</v>
      </c>
      <c r="K138" s="46" t="str">
        <f t="shared" si="5"/>
        <v>GoldNorddeutsche Affinererie AG</v>
      </c>
      <c r="L138" s="255"/>
    </row>
    <row r="139" spans="1:12" ht="10.5" customHeight="1">
      <c r="A139" s="255" t="s">
        <v>2323</v>
      </c>
      <c r="B139" s="255" t="s">
        <v>4272</v>
      </c>
      <c r="C139" s="255" t="s">
        <v>4272</v>
      </c>
      <c r="D139" s="255" t="s">
        <v>2155</v>
      </c>
      <c r="E139" s="255" t="s">
        <v>4275</v>
      </c>
      <c r="F139" s="255" t="s">
        <v>3125</v>
      </c>
      <c r="G139" s="255"/>
      <c r="H139" s="255" t="s">
        <v>4276</v>
      </c>
      <c r="I139" s="255" t="s">
        <v>4276</v>
      </c>
      <c r="J139" s="46" t="str">
        <f t="shared" si="4"/>
        <v>GoldÖgussa Österreichische Gold- und Silber-Scheideanstalt GmbH</v>
      </c>
      <c r="K139" s="46" t="str">
        <f t="shared" si="5"/>
        <v>GoldÖgussa Österreichische Gold- und Silber-Scheideanstalt GmbH</v>
      </c>
      <c r="L139" s="255"/>
    </row>
    <row r="140" spans="1:12" ht="10.5" customHeight="1">
      <c r="A140" s="255" t="s">
        <v>2323</v>
      </c>
      <c r="B140" s="255" t="s">
        <v>76</v>
      </c>
      <c r="C140" s="255" t="s">
        <v>4268</v>
      </c>
      <c r="D140" s="255" t="s">
        <v>1759</v>
      </c>
      <c r="E140" s="255" t="s">
        <v>1302</v>
      </c>
      <c r="F140" s="255" t="s">
        <v>3125</v>
      </c>
      <c r="G140" s="255"/>
      <c r="H140" s="255" t="s">
        <v>3255</v>
      </c>
      <c r="I140" s="255" t="s">
        <v>3256</v>
      </c>
      <c r="J140" s="46" t="str">
        <f t="shared" si="4"/>
        <v>GoldOhio Precious Metals, LLC</v>
      </c>
      <c r="K140" s="46" t="str">
        <f t="shared" si="5"/>
        <v>GoldOhio Precious Metals, LLC</v>
      </c>
      <c r="L140" s="255"/>
    </row>
    <row r="141" spans="1:12" ht="10.5" customHeight="1">
      <c r="A141" s="255" t="s">
        <v>2323</v>
      </c>
      <c r="B141" s="255" t="s">
        <v>4167</v>
      </c>
      <c r="C141" s="255" t="s">
        <v>4167</v>
      </c>
      <c r="D141" s="255" t="s">
        <v>2249</v>
      </c>
      <c r="E141" s="255" t="s">
        <v>1303</v>
      </c>
      <c r="F141" s="255" t="s">
        <v>3125</v>
      </c>
      <c r="G141" s="255"/>
      <c r="H141" s="255" t="s">
        <v>3257</v>
      </c>
      <c r="I141" s="255" t="s">
        <v>3258</v>
      </c>
      <c r="J141" s="46" t="str">
        <f t="shared" si="4"/>
        <v>GoldOhura Precious Metal Industry Co., Ltd.</v>
      </c>
      <c r="K141" s="46" t="str">
        <f t="shared" si="5"/>
        <v>GoldOhura Precious Metal Industry Co., Ltd.</v>
      </c>
      <c r="L141" s="255"/>
    </row>
    <row r="142" spans="1:12" ht="10.5" customHeight="1">
      <c r="A142" s="255" t="s">
        <v>2323</v>
      </c>
      <c r="B142" s="255" t="s">
        <v>4342</v>
      </c>
      <c r="C142" s="255" t="s">
        <v>4342</v>
      </c>
      <c r="D142" s="255" t="s">
        <v>1717</v>
      </c>
      <c r="E142" s="255" t="s">
        <v>1304</v>
      </c>
      <c r="F142" s="255" t="s">
        <v>3125</v>
      </c>
      <c r="G142" s="255"/>
      <c r="H142" s="255" t="s">
        <v>3259</v>
      </c>
      <c r="I142" s="255" t="s">
        <v>3260</v>
      </c>
      <c r="J142" s="46" t="str">
        <f t="shared" si="4"/>
        <v>GoldOJSC "The Gulidov Krasnoyarsk Non-Ferrous Metals Plant" (OJSC Krastsvetmet)</v>
      </c>
      <c r="K142" s="46" t="str">
        <f t="shared" si="5"/>
        <v>GoldOJSC "The Gulidov Krasnoyarsk Non-Ferrous Metals Plant" (OJSC Krastsvetmet)</v>
      </c>
      <c r="L142" s="255"/>
    </row>
    <row r="143" spans="1:12" ht="10.5" customHeight="1">
      <c r="A143" s="255" t="s">
        <v>2323</v>
      </c>
      <c r="B143" s="255" t="s">
        <v>3261</v>
      </c>
      <c r="C143" s="255" t="s">
        <v>4342</v>
      </c>
      <c r="D143" s="255" t="s">
        <v>1717</v>
      </c>
      <c r="E143" s="255" t="s">
        <v>1304</v>
      </c>
      <c r="F143" s="255" t="s">
        <v>3125</v>
      </c>
      <c r="G143" s="255"/>
      <c r="H143" s="255" t="s">
        <v>3259</v>
      </c>
      <c r="I143" s="255" t="s">
        <v>3260</v>
      </c>
      <c r="J143" s="46" t="str">
        <f t="shared" si="4"/>
        <v>GoldOJSC Krastsvetmet</v>
      </c>
      <c r="K143" s="46" t="str">
        <f t="shared" si="5"/>
        <v>GoldOJSC Krastsvetmet</v>
      </c>
      <c r="L143" s="255"/>
    </row>
    <row r="144" spans="1:12" ht="10.5" customHeight="1">
      <c r="A144" s="255" t="s">
        <v>2323</v>
      </c>
      <c r="B144" s="255" t="s">
        <v>4265</v>
      </c>
      <c r="C144" s="255" t="s">
        <v>4265</v>
      </c>
      <c r="D144" s="255" t="s">
        <v>1717</v>
      </c>
      <c r="E144" s="255" t="s">
        <v>1259</v>
      </c>
      <c r="F144" s="255" t="s">
        <v>3125</v>
      </c>
      <c r="G144" s="255"/>
      <c r="H144" s="255" t="s">
        <v>3180</v>
      </c>
      <c r="I144" s="255" t="s">
        <v>4343</v>
      </c>
      <c r="J144" s="46" t="str">
        <f t="shared" si="4"/>
        <v>GoldOJSC Novosibirsk Refinery</v>
      </c>
      <c r="K144" s="46" t="str">
        <f t="shared" si="5"/>
        <v>GoldOJSC Novosibirsk Refinery</v>
      </c>
      <c r="L144" s="255"/>
    </row>
    <row r="145" spans="1:12" ht="10.5" customHeight="1">
      <c r="A145" s="255" t="s">
        <v>2323</v>
      </c>
      <c r="B145" s="255" t="s">
        <v>2574</v>
      </c>
      <c r="C145" s="255" t="s">
        <v>4268</v>
      </c>
      <c r="D145" s="255" t="s">
        <v>1759</v>
      </c>
      <c r="E145" s="255" t="s">
        <v>1302</v>
      </c>
      <c r="F145" s="255" t="s">
        <v>3125</v>
      </c>
      <c r="G145" s="255"/>
      <c r="H145" s="255" t="s">
        <v>3255</v>
      </c>
      <c r="I145" s="255" t="s">
        <v>3256</v>
      </c>
      <c r="J145" s="46" t="str">
        <f t="shared" si="4"/>
        <v>GoldOPM</v>
      </c>
      <c r="K145" s="46" t="str">
        <f t="shared" si="5"/>
        <v>GoldOPM</v>
      </c>
      <c r="L145" s="255"/>
    </row>
    <row r="146" spans="1:12" ht="10.5" customHeight="1">
      <c r="A146" s="255" t="s">
        <v>2323</v>
      </c>
      <c r="B146" s="255" t="s">
        <v>4705</v>
      </c>
      <c r="C146" s="255" t="s">
        <v>4705</v>
      </c>
      <c r="D146" s="255" t="s">
        <v>2179</v>
      </c>
      <c r="E146" s="255" t="s">
        <v>1305</v>
      </c>
      <c r="F146" s="255" t="s">
        <v>3125</v>
      </c>
      <c r="G146" s="255"/>
      <c r="H146" s="255" t="s">
        <v>3262</v>
      </c>
      <c r="I146" s="255" t="s">
        <v>3138</v>
      </c>
      <c r="J146" s="46" t="str">
        <f t="shared" si="4"/>
        <v>GoldPAMP S.A.</v>
      </c>
      <c r="K146" s="46" t="str">
        <f t="shared" si="5"/>
        <v>GoldPAMP S.A.</v>
      </c>
      <c r="L146" s="255"/>
    </row>
    <row r="147" spans="1:12" ht="10.5" customHeight="1">
      <c r="A147" s="255" t="s">
        <v>2323</v>
      </c>
      <c r="B147" s="255" t="s">
        <v>4297</v>
      </c>
      <c r="C147" s="255" t="s">
        <v>73</v>
      </c>
      <c r="D147" s="255" t="s">
        <v>2249</v>
      </c>
      <c r="E147" s="255" t="s">
        <v>1277</v>
      </c>
      <c r="F147" s="255" t="s">
        <v>3125</v>
      </c>
      <c r="G147" s="255"/>
      <c r="H147" s="255" t="s">
        <v>4844</v>
      </c>
      <c r="I147" s="255" t="s">
        <v>4844</v>
      </c>
      <c r="J147" s="46" t="str">
        <f t="shared" si="4"/>
        <v>GoldPan Pacific Copper Co Ltd.</v>
      </c>
      <c r="K147" s="46" t="str">
        <f t="shared" si="5"/>
        <v>GoldPan Pacific Copper Co Ltd.</v>
      </c>
      <c r="L147" s="255"/>
    </row>
    <row r="148" spans="1:12" ht="10.5" customHeight="1">
      <c r="A148" s="255" t="s">
        <v>2323</v>
      </c>
      <c r="B148" s="255" t="s">
        <v>4168</v>
      </c>
      <c r="C148" s="255" t="s">
        <v>4168</v>
      </c>
      <c r="D148" s="255" t="s">
        <v>2181</v>
      </c>
      <c r="E148" s="255" t="s">
        <v>1306</v>
      </c>
      <c r="F148" s="255" t="s">
        <v>3125</v>
      </c>
      <c r="G148" s="255"/>
      <c r="H148" s="255" t="s">
        <v>4756</v>
      </c>
      <c r="I148" s="255" t="s">
        <v>3264</v>
      </c>
      <c r="J148" s="46" t="str">
        <f t="shared" si="4"/>
        <v>GoldPenglai Penggang Gold Industry Co., Ltd.</v>
      </c>
      <c r="K148" s="46" t="str">
        <f t="shared" si="5"/>
        <v>GoldPenglai Penggang Gold Industry Co., Ltd.</v>
      </c>
      <c r="L148" s="255"/>
    </row>
    <row r="149" spans="1:12" ht="10.5" customHeight="1">
      <c r="A149" s="255" t="s">
        <v>2323</v>
      </c>
      <c r="B149" s="255" t="s">
        <v>4298</v>
      </c>
      <c r="C149" s="255" t="s">
        <v>2322</v>
      </c>
      <c r="D149" s="255" t="s">
        <v>2154</v>
      </c>
      <c r="E149" s="255" t="s">
        <v>1332</v>
      </c>
      <c r="F149" s="255" t="s">
        <v>3125</v>
      </c>
      <c r="G149" s="255"/>
      <c r="H149" s="255" t="s">
        <v>3318</v>
      </c>
      <c r="I149" s="255" t="s">
        <v>3319</v>
      </c>
      <c r="J149" s="46" t="str">
        <f t="shared" si="4"/>
        <v>GoldPerth Mint</v>
      </c>
      <c r="K149" s="46" t="str">
        <f t="shared" si="5"/>
        <v>GoldPerth Mint</v>
      </c>
      <c r="L149" s="255"/>
    </row>
    <row r="150" spans="1:12" ht="10.5" customHeight="1">
      <c r="A150" s="255" t="s">
        <v>2323</v>
      </c>
      <c r="B150" s="255" t="s">
        <v>3323</v>
      </c>
      <c r="C150" s="255" t="s">
        <v>2322</v>
      </c>
      <c r="D150" s="255" t="s">
        <v>2154</v>
      </c>
      <c r="E150" s="255" t="s">
        <v>1332</v>
      </c>
      <c r="F150" s="255" t="s">
        <v>3125</v>
      </c>
      <c r="G150" s="255"/>
      <c r="H150" s="255" t="s">
        <v>3318</v>
      </c>
      <c r="I150" s="255" t="s">
        <v>3319</v>
      </c>
      <c r="J150" s="46" t="str">
        <f t="shared" si="4"/>
        <v>GoldPerth Mint (ANZ)</v>
      </c>
      <c r="K150" s="46" t="str">
        <f t="shared" si="5"/>
        <v>GoldPerth Mint (ANZ)</v>
      </c>
      <c r="L150" s="255"/>
    </row>
    <row r="151" spans="1:12" ht="10.5" customHeight="1">
      <c r="A151" s="255" t="s">
        <v>2323</v>
      </c>
      <c r="B151" s="255" t="s">
        <v>1794</v>
      </c>
      <c r="C151" s="255" t="s">
        <v>1794</v>
      </c>
      <c r="D151" s="255" t="s">
        <v>1717</v>
      </c>
      <c r="E151" s="255" t="s">
        <v>1307</v>
      </c>
      <c r="F151" s="255" t="s">
        <v>3125</v>
      </c>
      <c r="G151" s="255"/>
      <c r="H151" s="255" t="s">
        <v>3265</v>
      </c>
      <c r="I151" s="255" t="s">
        <v>3266</v>
      </c>
      <c r="J151" s="46" t="str">
        <f t="shared" si="4"/>
        <v>GoldPrioksky Plant of Non-Ferrous Metals</v>
      </c>
      <c r="K151" s="46" t="str">
        <f t="shared" si="5"/>
        <v>GoldPrioksky Plant of Non-Ferrous Metals</v>
      </c>
      <c r="L151" s="255"/>
    </row>
    <row r="152" spans="1:12" ht="10.5" customHeight="1">
      <c r="A152" s="255" t="s">
        <v>2323</v>
      </c>
      <c r="B152" s="255" t="s">
        <v>4299</v>
      </c>
      <c r="C152" s="255" t="s">
        <v>4705</v>
      </c>
      <c r="D152" s="255" t="s">
        <v>2179</v>
      </c>
      <c r="E152" s="255" t="s">
        <v>1305</v>
      </c>
      <c r="F152" s="255" t="s">
        <v>3125</v>
      </c>
      <c r="G152" s="255"/>
      <c r="H152" s="255" t="s">
        <v>3262</v>
      </c>
      <c r="I152" s="255" t="s">
        <v>3138</v>
      </c>
      <c r="J152" s="46" t="str">
        <f t="shared" si="4"/>
        <v>GoldProduits Artistiques de Métaux</v>
      </c>
      <c r="K152" s="46" t="str">
        <f t="shared" si="5"/>
        <v>GoldProduits Artistiques de Métaux</v>
      </c>
      <c r="L152" s="255"/>
    </row>
    <row r="153" spans="1:12" ht="10.5" customHeight="1">
      <c r="A153" s="255" t="s">
        <v>2323</v>
      </c>
      <c r="B153" s="255" t="s">
        <v>2456</v>
      </c>
      <c r="C153" s="255" t="s">
        <v>2456</v>
      </c>
      <c r="D153" s="255" t="s">
        <v>2238</v>
      </c>
      <c r="E153" s="255" t="s">
        <v>1308</v>
      </c>
      <c r="F153" s="255" t="s">
        <v>3125</v>
      </c>
      <c r="G153" s="255"/>
      <c r="H153" s="255" t="s">
        <v>3267</v>
      </c>
      <c r="I153" s="255" t="s">
        <v>3268</v>
      </c>
      <c r="J153" s="46" t="str">
        <f t="shared" si="4"/>
        <v>GoldPT Aneka Tambang (Persero) Tbk</v>
      </c>
      <c r="K153" s="46" t="str">
        <f t="shared" si="5"/>
        <v>GoldPT Aneka Tambang (Persero) Tbk</v>
      </c>
      <c r="L153" s="255"/>
    </row>
    <row r="154" spans="1:12" ht="10.5" customHeight="1">
      <c r="A154" s="255" t="s">
        <v>2323</v>
      </c>
      <c r="B154" s="255" t="s">
        <v>4706</v>
      </c>
      <c r="C154" s="255" t="s">
        <v>4706</v>
      </c>
      <c r="D154" s="255" t="s">
        <v>2179</v>
      </c>
      <c r="E154" s="255" t="s">
        <v>1309</v>
      </c>
      <c r="F154" s="255" t="s">
        <v>3125</v>
      </c>
      <c r="G154" s="255"/>
      <c r="H154" s="255" t="s">
        <v>3269</v>
      </c>
      <c r="I154" s="255" t="s">
        <v>3240</v>
      </c>
      <c r="J154" s="46" t="str">
        <f t="shared" si="4"/>
        <v>GoldPX Précinox S.A.</v>
      </c>
      <c r="K154" s="46" t="str">
        <f t="shared" si="5"/>
        <v>GoldPX Précinox S.A.</v>
      </c>
      <c r="L154" s="255"/>
    </row>
    <row r="155" spans="1:12" ht="10.5" customHeight="1">
      <c r="A155" s="255" t="s">
        <v>2323</v>
      </c>
      <c r="B155" s="255" t="s">
        <v>4171</v>
      </c>
      <c r="C155" s="255" t="s">
        <v>4171</v>
      </c>
      <c r="D155" s="255" t="s">
        <v>1772</v>
      </c>
      <c r="E155" s="255" t="s">
        <v>1310</v>
      </c>
      <c r="F155" s="255" t="s">
        <v>3125</v>
      </c>
      <c r="G155" s="255"/>
      <c r="H155" s="255" t="s">
        <v>3270</v>
      </c>
      <c r="I155" s="255" t="s">
        <v>3271</v>
      </c>
      <c r="J155" s="46" t="str">
        <f t="shared" si="4"/>
        <v>GoldRand Refinery (Pty) Ltd.</v>
      </c>
      <c r="K155" s="46" t="str">
        <f t="shared" si="5"/>
        <v>GoldRand Refinery (Pty) Ltd.</v>
      </c>
      <c r="L155" s="255"/>
    </row>
    <row r="156" spans="1:12" ht="10.5" customHeight="1">
      <c r="A156" s="255" t="s">
        <v>2323</v>
      </c>
      <c r="B156" s="255" t="s">
        <v>40</v>
      </c>
      <c r="C156" s="255" t="s">
        <v>74</v>
      </c>
      <c r="D156" s="255" t="s">
        <v>2256</v>
      </c>
      <c r="E156" s="255" t="s">
        <v>1286</v>
      </c>
      <c r="F156" s="255" t="s">
        <v>3125</v>
      </c>
      <c r="G156" s="255"/>
      <c r="H156" s="255" t="s">
        <v>3225</v>
      </c>
      <c r="I156" s="255" t="s">
        <v>3226</v>
      </c>
      <c r="J156" s="46" t="str">
        <f t="shared" si="4"/>
        <v>GoldRefinery LS-Nikko Copper Inc.</v>
      </c>
      <c r="K156" s="46" t="str">
        <f t="shared" si="5"/>
        <v>GoldRefinery LS-Nikko Copper Inc.</v>
      </c>
      <c r="L156" s="255"/>
    </row>
    <row r="157" spans="1:12" ht="10.5" customHeight="1">
      <c r="A157" s="255" t="s">
        <v>2323</v>
      </c>
      <c r="B157" s="255" t="s">
        <v>4707</v>
      </c>
      <c r="C157" s="255" t="s">
        <v>4707</v>
      </c>
      <c r="D157" s="255" t="s">
        <v>2298</v>
      </c>
      <c r="E157" s="255" t="s">
        <v>4708</v>
      </c>
      <c r="F157" s="255" t="s">
        <v>3125</v>
      </c>
      <c r="G157" s="255"/>
      <c r="H157" s="255" t="s">
        <v>4766</v>
      </c>
      <c r="I157" s="255" t="s">
        <v>4767</v>
      </c>
      <c r="J157" s="46" t="str">
        <f t="shared" si="4"/>
        <v>GoldRemondis Argentia B.V.</v>
      </c>
      <c r="K157" s="46" t="str">
        <f t="shared" si="5"/>
        <v>GoldRemondis Argentia B.V.</v>
      </c>
      <c r="L157" s="255"/>
    </row>
    <row r="158" spans="1:12" ht="10.5" customHeight="1">
      <c r="A158" s="255" t="s">
        <v>2323</v>
      </c>
      <c r="B158" s="255" t="s">
        <v>2692</v>
      </c>
      <c r="C158" s="255" t="s">
        <v>2692</v>
      </c>
      <c r="D158" s="255" t="s">
        <v>1759</v>
      </c>
      <c r="E158" s="255" t="s">
        <v>2693</v>
      </c>
      <c r="F158" s="255" t="s">
        <v>3125</v>
      </c>
      <c r="G158" s="255"/>
      <c r="H158" s="255" t="s">
        <v>3347</v>
      </c>
      <c r="I158" s="255" t="s">
        <v>3348</v>
      </c>
      <c r="J158" s="46" t="str">
        <f t="shared" si="4"/>
        <v>GoldRepublic Metals Corporation</v>
      </c>
      <c r="K158" s="46" t="str">
        <f t="shared" si="5"/>
        <v>GoldRepublic Metals Corporation</v>
      </c>
      <c r="L158" s="255"/>
    </row>
    <row r="159" spans="1:12" ht="10.5" customHeight="1">
      <c r="A159" s="255" t="s">
        <v>2323</v>
      </c>
      <c r="B159" s="255" t="s">
        <v>1795</v>
      </c>
      <c r="C159" s="255" t="s">
        <v>1795</v>
      </c>
      <c r="D159" s="255" t="s">
        <v>2177</v>
      </c>
      <c r="E159" s="255" t="s">
        <v>1311</v>
      </c>
      <c r="F159" s="255" t="s">
        <v>3125</v>
      </c>
      <c r="G159" s="255"/>
      <c r="H159" s="255" t="s">
        <v>3272</v>
      </c>
      <c r="I159" s="255" t="s">
        <v>3210</v>
      </c>
      <c r="J159" s="46" t="str">
        <f t="shared" si="4"/>
        <v>GoldRoyal Canadian Mint</v>
      </c>
      <c r="K159" s="46" t="str">
        <f t="shared" si="5"/>
        <v>GoldRoyal Canadian Mint</v>
      </c>
      <c r="L159" s="255"/>
    </row>
    <row r="160" spans="1:12" ht="10.5" customHeight="1">
      <c r="A160" s="255" t="s">
        <v>2323</v>
      </c>
      <c r="B160" s="255" t="s">
        <v>4344</v>
      </c>
      <c r="C160" s="255" t="s">
        <v>4344</v>
      </c>
      <c r="D160" s="255" t="s">
        <v>2211</v>
      </c>
      <c r="E160" s="255" t="s">
        <v>4345</v>
      </c>
      <c r="F160" s="255" t="s">
        <v>3125</v>
      </c>
      <c r="G160" s="255"/>
      <c r="H160" s="255" t="s">
        <v>4346</v>
      </c>
      <c r="I160" s="255" t="s">
        <v>4347</v>
      </c>
      <c r="J160" s="46" t="str">
        <f t="shared" si="4"/>
        <v>GoldSAAMP</v>
      </c>
      <c r="K160" s="46" t="str">
        <f t="shared" si="5"/>
        <v>GoldSAAMP</v>
      </c>
      <c r="L160" s="255"/>
    </row>
    <row r="161" spans="1:12" ht="10.5" customHeight="1">
      <c r="A161" s="255" t="s">
        <v>2323</v>
      </c>
      <c r="B161" s="255" t="s">
        <v>2372</v>
      </c>
      <c r="C161" s="255" t="s">
        <v>2372</v>
      </c>
      <c r="D161" s="255" t="s">
        <v>1759</v>
      </c>
      <c r="E161" s="255" t="s">
        <v>1312</v>
      </c>
      <c r="F161" s="255" t="s">
        <v>3125</v>
      </c>
      <c r="G161" s="255"/>
      <c r="H161" s="255" t="s">
        <v>3273</v>
      </c>
      <c r="I161" s="255" t="s">
        <v>3274</v>
      </c>
      <c r="J161" s="46" t="str">
        <f t="shared" si="4"/>
        <v>GoldSabin Metal Corp.</v>
      </c>
      <c r="K161" s="46" t="str">
        <f t="shared" si="5"/>
        <v>GoldSabin Metal Corp.</v>
      </c>
      <c r="L161" s="255"/>
    </row>
    <row r="162" spans="1:12" ht="10.5" customHeight="1">
      <c r="A162" s="255" t="s">
        <v>2323</v>
      </c>
      <c r="B162" s="255" t="s">
        <v>4709</v>
      </c>
      <c r="C162" s="255" t="s">
        <v>4709</v>
      </c>
      <c r="D162" s="255" t="s">
        <v>2194</v>
      </c>
      <c r="E162" s="255" t="s">
        <v>4710</v>
      </c>
      <c r="F162" s="255" t="s">
        <v>3125</v>
      </c>
      <c r="G162" s="255"/>
      <c r="H162" s="255" t="s">
        <v>4711</v>
      </c>
      <c r="I162" s="255" t="s">
        <v>3352</v>
      </c>
      <c r="J162" s="46" t="str">
        <f t="shared" si="4"/>
        <v>GoldSAFINA A.S.</v>
      </c>
      <c r="K162" s="46" t="str">
        <f t="shared" si="5"/>
        <v>GoldSAFINA A.S.</v>
      </c>
      <c r="L162" s="255"/>
    </row>
    <row r="163" spans="1:12" ht="10.5" customHeight="1">
      <c r="A163" s="255" t="s">
        <v>2323</v>
      </c>
      <c r="B163" s="255" t="s">
        <v>4690</v>
      </c>
      <c r="C163" s="255" t="s">
        <v>73</v>
      </c>
      <c r="D163" s="255" t="s">
        <v>2249</v>
      </c>
      <c r="E163" s="255" t="s">
        <v>1277</v>
      </c>
      <c r="F163" s="255" t="s">
        <v>3125</v>
      </c>
      <c r="G163" s="255"/>
      <c r="H163" s="255" t="s">
        <v>4844</v>
      </c>
      <c r="I163" s="255" t="s">
        <v>4844</v>
      </c>
      <c r="J163" s="46" t="str">
        <f t="shared" si="4"/>
        <v>GoldSaganoseki Smelter &amp; Refinery</v>
      </c>
      <c r="K163" s="46" t="str">
        <f t="shared" si="5"/>
        <v>GoldSaganoseki Smelter &amp; Refinery</v>
      </c>
      <c r="L163" s="255"/>
    </row>
    <row r="164" spans="1:12" ht="10.5" customHeight="1">
      <c r="A164" s="255" t="s">
        <v>2323</v>
      </c>
      <c r="B164" s="255" t="s">
        <v>4712</v>
      </c>
      <c r="C164" s="255" t="s">
        <v>4712</v>
      </c>
      <c r="D164" s="255" t="s">
        <v>2239</v>
      </c>
      <c r="E164" s="255" t="s">
        <v>4713</v>
      </c>
      <c r="F164" s="255" t="s">
        <v>3125</v>
      </c>
      <c r="G164" s="255"/>
      <c r="H164" s="255" t="s">
        <v>4714</v>
      </c>
      <c r="I164" s="255" t="s">
        <v>4715</v>
      </c>
      <c r="J164" s="46" t="str">
        <f t="shared" si="4"/>
        <v>GoldSai Refinery</v>
      </c>
      <c r="K164" s="46" t="str">
        <f t="shared" si="5"/>
        <v>GoldSai Refinery</v>
      </c>
      <c r="L164" s="255"/>
    </row>
    <row r="165" spans="1:12" ht="10.5" customHeight="1">
      <c r="A165" s="255" t="s">
        <v>2323</v>
      </c>
      <c r="B165" s="255" t="s">
        <v>3275</v>
      </c>
      <c r="C165" s="255" t="s">
        <v>2730</v>
      </c>
      <c r="D165" s="255" t="s">
        <v>2256</v>
      </c>
      <c r="E165" s="255" t="s">
        <v>2731</v>
      </c>
      <c r="F165" s="255" t="s">
        <v>3125</v>
      </c>
      <c r="G165" s="255"/>
      <c r="H165" s="255" t="s">
        <v>3166</v>
      </c>
      <c r="I165" s="255" t="s">
        <v>3167</v>
      </c>
      <c r="J165" s="46" t="str">
        <f t="shared" si="4"/>
        <v>GoldSamdok Metal</v>
      </c>
      <c r="K165" s="46" t="str">
        <f t="shared" si="5"/>
        <v>GoldSamdok Metal</v>
      </c>
      <c r="L165" s="255"/>
    </row>
    <row r="166" spans="1:12" ht="10.5" customHeight="1">
      <c r="A166" s="255" t="s">
        <v>2323</v>
      </c>
      <c r="B166" s="255" t="s">
        <v>2730</v>
      </c>
      <c r="C166" s="255" t="s">
        <v>2730</v>
      </c>
      <c r="D166" s="255" t="s">
        <v>2256</v>
      </c>
      <c r="E166" s="255" t="s">
        <v>2731</v>
      </c>
      <c r="F166" s="255" t="s">
        <v>3125</v>
      </c>
      <c r="G166" s="255"/>
      <c r="H166" s="255" t="s">
        <v>3166</v>
      </c>
      <c r="I166" s="255" t="s">
        <v>3167</v>
      </c>
      <c r="J166" s="46" t="str">
        <f t="shared" si="4"/>
        <v>GoldSamduck Precious Metals</v>
      </c>
      <c r="K166" s="46" t="str">
        <f t="shared" si="5"/>
        <v>GoldSamduck Precious Metals</v>
      </c>
      <c r="L166" s="255"/>
    </row>
    <row r="167" spans="1:12" ht="10.5" customHeight="1">
      <c r="A167" s="255" t="s">
        <v>2323</v>
      </c>
      <c r="B167" s="255" t="s">
        <v>4173</v>
      </c>
      <c r="C167" s="255" t="s">
        <v>4173</v>
      </c>
      <c r="D167" s="255" t="s">
        <v>2256</v>
      </c>
      <c r="E167" s="255" t="s">
        <v>1313</v>
      </c>
      <c r="F167" s="255" t="s">
        <v>3125</v>
      </c>
      <c r="G167" s="255"/>
      <c r="H167" s="255" t="s">
        <v>3277</v>
      </c>
      <c r="I167" s="255" t="s">
        <v>3278</v>
      </c>
      <c r="J167" s="46" t="str">
        <f t="shared" si="4"/>
        <v>GoldSAMWON Metals Corp.</v>
      </c>
      <c r="K167" s="46" t="str">
        <f t="shared" si="5"/>
        <v>GoldSAMWON Metals Corp.</v>
      </c>
      <c r="L167" s="255"/>
    </row>
    <row r="168" spans="1:12" ht="10.5" customHeight="1">
      <c r="A168" s="255" t="s">
        <v>2323</v>
      </c>
      <c r="B168" s="255" t="s">
        <v>4270</v>
      </c>
      <c r="C168" s="255" t="s">
        <v>4270</v>
      </c>
      <c r="D168" s="255" t="s">
        <v>2195</v>
      </c>
      <c r="E168" s="255" t="s">
        <v>4273</v>
      </c>
      <c r="F168" s="255" t="s">
        <v>3125</v>
      </c>
      <c r="G168" s="255"/>
      <c r="H168" s="255" t="s">
        <v>3464</v>
      </c>
      <c r="I168" s="255" t="s">
        <v>3465</v>
      </c>
      <c r="J168" s="46" t="str">
        <f t="shared" si="4"/>
        <v>GoldSAXONIA Edelmetalle GmbH</v>
      </c>
      <c r="K168" s="46" t="str">
        <f t="shared" si="5"/>
        <v>GoldSAXONIA Edelmetalle GmbH</v>
      </c>
      <c r="L168" s="255"/>
    </row>
    <row r="169" spans="1:12" ht="10.5" customHeight="1">
      <c r="A169" s="255" t="s">
        <v>2323</v>
      </c>
      <c r="B169" s="255" t="s">
        <v>4285</v>
      </c>
      <c r="C169" s="255" t="s">
        <v>4285</v>
      </c>
      <c r="D169" s="255" t="s">
        <v>2298</v>
      </c>
      <c r="E169" s="255" t="s">
        <v>1314</v>
      </c>
      <c r="F169" s="255" t="s">
        <v>3125</v>
      </c>
      <c r="G169" s="255"/>
      <c r="H169" s="255" t="s">
        <v>3279</v>
      </c>
      <c r="I169" s="255" t="s">
        <v>3280</v>
      </c>
      <c r="J169" s="46" t="str">
        <f t="shared" si="4"/>
        <v>GoldSchone Edelmetaal B.V.</v>
      </c>
      <c r="K169" s="46" t="str">
        <f t="shared" si="5"/>
        <v>GoldSchone Edelmetaal B.V.</v>
      </c>
      <c r="L169" s="255"/>
    </row>
    <row r="170" spans="1:12" ht="10.5" customHeight="1">
      <c r="A170" s="255" t="s">
        <v>2323</v>
      </c>
      <c r="B170" s="255" t="s">
        <v>3276</v>
      </c>
      <c r="C170" s="255" t="s">
        <v>2730</v>
      </c>
      <c r="D170" s="255" t="s">
        <v>2256</v>
      </c>
      <c r="E170" s="255" t="s">
        <v>2731</v>
      </c>
      <c r="F170" s="255" t="s">
        <v>3125</v>
      </c>
      <c r="G170" s="255"/>
      <c r="H170" s="255" t="s">
        <v>3166</v>
      </c>
      <c r="I170" s="255" t="s">
        <v>3167</v>
      </c>
      <c r="J170" s="46" t="str">
        <f t="shared" si="4"/>
        <v>GoldSD (Samdok) Metal</v>
      </c>
      <c r="K170" s="46" t="str">
        <f t="shared" si="5"/>
        <v>GoldSD (Samdok) Metal</v>
      </c>
      <c r="L170" s="255"/>
    </row>
    <row r="171" spans="1:12" ht="10.5" customHeight="1">
      <c r="A171" s="255" t="s">
        <v>2323</v>
      </c>
      <c r="B171" s="255" t="s">
        <v>4716</v>
      </c>
      <c r="C171" s="255" t="s">
        <v>4716</v>
      </c>
      <c r="D171" s="255" t="s">
        <v>2205</v>
      </c>
      <c r="E171" s="255" t="s">
        <v>1315</v>
      </c>
      <c r="F171" s="255" t="s">
        <v>3125</v>
      </c>
      <c r="G171" s="255"/>
      <c r="H171" s="255" t="s">
        <v>3281</v>
      </c>
      <c r="I171" s="255" t="s">
        <v>3282</v>
      </c>
      <c r="J171" s="46" t="str">
        <f t="shared" si="4"/>
        <v>GoldSEMPSA Joyería Platería S.A.</v>
      </c>
      <c r="K171" s="46" t="str">
        <f t="shared" si="5"/>
        <v>GoldSEMPSA Joyería Platería S.A.</v>
      </c>
      <c r="L171" s="255"/>
    </row>
    <row r="172" spans="1:12" ht="10.5" customHeight="1">
      <c r="A172" s="255" t="s">
        <v>2323</v>
      </c>
      <c r="B172" s="255" t="s">
        <v>3283</v>
      </c>
      <c r="C172" s="255" t="s">
        <v>4716</v>
      </c>
      <c r="D172" s="255" t="s">
        <v>2205</v>
      </c>
      <c r="E172" s="255" t="s">
        <v>1315</v>
      </c>
      <c r="F172" s="255" t="s">
        <v>3125</v>
      </c>
      <c r="G172" s="255"/>
      <c r="H172" s="255" t="s">
        <v>3281</v>
      </c>
      <c r="I172" s="255" t="s">
        <v>3282</v>
      </c>
      <c r="J172" s="46" t="str">
        <f t="shared" si="4"/>
        <v>GoldSempsa JP (Cookson Sempsa)</v>
      </c>
      <c r="K172" s="46" t="str">
        <f t="shared" si="5"/>
        <v>GoldSempsa JP (Cookson Sempsa)</v>
      </c>
      <c r="L172" s="255"/>
    </row>
    <row r="173" spans="1:12" ht="10.5" customHeight="1">
      <c r="A173" s="255" t="s">
        <v>2323</v>
      </c>
      <c r="B173" s="255" t="s">
        <v>3304</v>
      </c>
      <c r="C173" s="255" t="s">
        <v>4177</v>
      </c>
      <c r="D173" s="255" t="s">
        <v>2181</v>
      </c>
      <c r="E173" s="255" t="s">
        <v>1324</v>
      </c>
      <c r="F173" s="255" t="s">
        <v>3125</v>
      </c>
      <c r="G173" s="255"/>
      <c r="H173" s="255" t="s">
        <v>3286</v>
      </c>
      <c r="I173" s="255" t="s">
        <v>3263</v>
      </c>
      <c r="J173" s="46" t="str">
        <f t="shared" si="4"/>
        <v>GoldShandong Gold Mine(Laizhou) Smelter Co., Ltd.</v>
      </c>
      <c r="K173" s="46" t="str">
        <f t="shared" si="5"/>
        <v>GoldShandong Gold Mine(Laizhou) Smelter Co., Ltd.</v>
      </c>
      <c r="L173" s="255"/>
    </row>
    <row r="174" spans="1:12" ht="10.5" customHeight="1">
      <c r="A174" s="255" t="s">
        <v>2323</v>
      </c>
      <c r="B174" s="255" t="s">
        <v>3287</v>
      </c>
      <c r="C174" s="255" t="s">
        <v>3284</v>
      </c>
      <c r="D174" s="255" t="s">
        <v>2181</v>
      </c>
      <c r="E174" s="255" t="s">
        <v>3285</v>
      </c>
      <c r="F174" s="255" t="s">
        <v>3125</v>
      </c>
      <c r="G174" s="255"/>
      <c r="H174" s="255" t="s">
        <v>3286</v>
      </c>
      <c r="I174" s="255" t="s">
        <v>3263</v>
      </c>
      <c r="J174" s="46" t="str">
        <f t="shared" si="4"/>
        <v>GoldShandong Tarzan Bio-Gold Industry Co., Ltd.</v>
      </c>
      <c r="K174" s="46" t="str">
        <f t="shared" si="5"/>
        <v>GoldShandong Tarzan Bio-Gold Industry Co., Ltd.</v>
      </c>
      <c r="L174" s="255"/>
    </row>
    <row r="175" spans="1:12" ht="10.5" customHeight="1">
      <c r="A175" s="255" t="s">
        <v>2323</v>
      </c>
      <c r="B175" s="255" t="s">
        <v>3284</v>
      </c>
      <c r="C175" s="255" t="s">
        <v>3284</v>
      </c>
      <c r="D175" s="255" t="s">
        <v>2181</v>
      </c>
      <c r="E175" s="255" t="s">
        <v>3285</v>
      </c>
      <c r="F175" s="255" t="s">
        <v>3125</v>
      </c>
      <c r="G175" s="255"/>
      <c r="H175" s="255" t="s">
        <v>3286</v>
      </c>
      <c r="I175" s="255" t="s">
        <v>3263</v>
      </c>
      <c r="J175" s="46" t="str">
        <f t="shared" si="4"/>
        <v>GoldShandong Tiancheng Biological Gold Industrial Co., Ltd.</v>
      </c>
      <c r="K175" s="46" t="str">
        <f t="shared" si="5"/>
        <v>GoldShandong Tiancheng Biological Gold Industrial Co., Ltd.</v>
      </c>
      <c r="L175" s="255"/>
    </row>
    <row r="176" spans="1:12" ht="10.5" customHeight="1">
      <c r="A176" s="255" t="s">
        <v>2323</v>
      </c>
      <c r="B176" s="255" t="s">
        <v>4174</v>
      </c>
      <c r="C176" s="255" t="s">
        <v>4174</v>
      </c>
      <c r="D176" s="255" t="s">
        <v>2181</v>
      </c>
      <c r="E176" s="255" t="s">
        <v>1316</v>
      </c>
      <c r="F176" s="255" t="s">
        <v>3125</v>
      </c>
      <c r="G176" s="255"/>
      <c r="H176" s="255" t="s">
        <v>3185</v>
      </c>
      <c r="I176" s="255" t="s">
        <v>3264</v>
      </c>
      <c r="J176" s="46" t="str">
        <f t="shared" si="4"/>
        <v>GoldShandong Zhaojin Gold &amp; Silver Refinery Co., Ltd.</v>
      </c>
      <c r="K176" s="46" t="str">
        <f t="shared" si="5"/>
        <v>GoldShandong Zhaojin Gold &amp; Silver Refinery Co., Ltd.</v>
      </c>
      <c r="L176" s="255"/>
    </row>
    <row r="177" spans="1:12" ht="10.5" customHeight="1">
      <c r="A177" s="255" t="s">
        <v>2323</v>
      </c>
      <c r="B177" s="255" t="s">
        <v>3288</v>
      </c>
      <c r="C177" s="255" t="s">
        <v>4177</v>
      </c>
      <c r="D177" s="255" t="s">
        <v>2181</v>
      </c>
      <c r="E177" s="255" t="s">
        <v>1324</v>
      </c>
      <c r="F177" s="255" t="s">
        <v>3125</v>
      </c>
      <c r="G177" s="255"/>
      <c r="H177" s="255" t="s">
        <v>3286</v>
      </c>
      <c r="I177" s="255" t="s">
        <v>3263</v>
      </c>
      <c r="J177" s="46" t="str">
        <f t="shared" si="4"/>
        <v>GoldShangdong Gold (Laizhou)</v>
      </c>
      <c r="K177" s="46" t="str">
        <f t="shared" si="5"/>
        <v>GoldShangdong Gold (Laizhou)</v>
      </c>
      <c r="L177" s="255"/>
    </row>
    <row r="178" spans="1:12" ht="10.5" customHeight="1">
      <c r="A178" s="255" t="s">
        <v>2323</v>
      </c>
      <c r="B178" s="255" t="s">
        <v>41</v>
      </c>
      <c r="C178" s="255" t="s">
        <v>2457</v>
      </c>
      <c r="D178" s="255" t="s">
        <v>2249</v>
      </c>
      <c r="E178" s="255" t="s">
        <v>1322</v>
      </c>
      <c r="F178" s="255" t="s">
        <v>3125</v>
      </c>
      <c r="G178" s="255"/>
      <c r="H178" s="255" t="s">
        <v>3299</v>
      </c>
      <c r="I178" s="255" t="s">
        <v>3300</v>
      </c>
      <c r="J178" s="46" t="str">
        <f t="shared" si="4"/>
        <v>GoldShonan Plant Tanaka Kikinzoku</v>
      </c>
      <c r="K178" s="46" t="str">
        <f t="shared" si="5"/>
        <v>GoldShonan Plant Tanaka Kikinzoku</v>
      </c>
      <c r="L178" s="255"/>
    </row>
    <row r="179" spans="1:12" ht="10.5" customHeight="1">
      <c r="A179" s="255" t="s">
        <v>2323</v>
      </c>
      <c r="B179" s="255" t="s">
        <v>4175</v>
      </c>
      <c r="C179" s="255" t="s">
        <v>4175</v>
      </c>
      <c r="D179" s="255" t="s">
        <v>2181</v>
      </c>
      <c r="E179" s="255" t="s">
        <v>2694</v>
      </c>
      <c r="F179" s="255" t="s">
        <v>3125</v>
      </c>
      <c r="G179" s="255"/>
      <c r="H179" s="255" t="s">
        <v>3290</v>
      </c>
      <c r="I179" s="255" t="s">
        <v>3291</v>
      </c>
      <c r="J179" s="46" t="str">
        <f t="shared" si="4"/>
        <v>GoldSichuan Tianze Precious Metals Co., Ltd.</v>
      </c>
      <c r="K179" s="46" t="str">
        <f t="shared" si="5"/>
        <v>GoldSichuan Tianze Precious Metals Co., Ltd.</v>
      </c>
      <c r="L179" s="255"/>
    </row>
    <row r="180" spans="1:12" ht="10.5" customHeight="1">
      <c r="A180" s="255" t="s">
        <v>2323</v>
      </c>
      <c r="B180" s="255" t="s">
        <v>42</v>
      </c>
      <c r="C180" s="255" t="s">
        <v>2457</v>
      </c>
      <c r="D180" s="255" t="s">
        <v>2249</v>
      </c>
      <c r="E180" s="255" t="s">
        <v>1322</v>
      </c>
      <c r="F180" s="255" t="s">
        <v>3125</v>
      </c>
      <c r="G180" s="255"/>
      <c r="H180" s="255" t="s">
        <v>3299</v>
      </c>
      <c r="I180" s="255" t="s">
        <v>3300</v>
      </c>
      <c r="J180" s="46" t="str">
        <f t="shared" si="4"/>
        <v>GoldSingapore Tanaka</v>
      </c>
      <c r="K180" s="46" t="str">
        <f t="shared" si="5"/>
        <v>GoldSingapore Tanaka</v>
      </c>
      <c r="L180" s="255"/>
    </row>
    <row r="181" spans="1:12" ht="10.5" customHeight="1">
      <c r="A181" s="255" t="s">
        <v>2323</v>
      </c>
      <c r="B181" s="255" t="s">
        <v>2695</v>
      </c>
      <c r="C181" s="255" t="s">
        <v>2695</v>
      </c>
      <c r="D181" s="255" t="s">
        <v>1753</v>
      </c>
      <c r="E181" s="255" t="s">
        <v>2696</v>
      </c>
      <c r="F181" s="255" t="s">
        <v>3125</v>
      </c>
      <c r="G181" s="255"/>
      <c r="H181" s="255" t="s">
        <v>3353</v>
      </c>
      <c r="I181" s="255" t="s">
        <v>3354</v>
      </c>
      <c r="J181" s="46" t="str">
        <f t="shared" si="4"/>
        <v>GoldSingway Technology Co., Ltd.</v>
      </c>
      <c r="K181" s="46" t="str">
        <f t="shared" si="5"/>
        <v>GoldSingway Technology Co., Ltd.</v>
      </c>
      <c r="L181" s="255"/>
    </row>
    <row r="182" spans="1:12" ht="10.5" customHeight="1">
      <c r="A182" s="255" t="s">
        <v>2323</v>
      </c>
      <c r="B182" s="255" t="s">
        <v>1935</v>
      </c>
      <c r="C182" s="255" t="s">
        <v>77</v>
      </c>
      <c r="D182" s="255" t="s">
        <v>2249</v>
      </c>
      <c r="E182" s="255" t="s">
        <v>1321</v>
      </c>
      <c r="F182" s="255" t="s">
        <v>3125</v>
      </c>
      <c r="G182" s="255"/>
      <c r="H182" s="255" t="s">
        <v>3297</v>
      </c>
      <c r="I182" s="255" t="s">
        <v>4284</v>
      </c>
      <c r="J182" s="46" t="str">
        <f t="shared" si="4"/>
        <v>GoldSMM</v>
      </c>
      <c r="K182" s="46" t="str">
        <f t="shared" si="5"/>
        <v>GoldSMM</v>
      </c>
      <c r="L182" s="255"/>
    </row>
    <row r="183" spans="1:12" ht="10.5" customHeight="1">
      <c r="A183" s="255" t="s">
        <v>2323</v>
      </c>
      <c r="B183" s="255" t="s">
        <v>1317</v>
      </c>
      <c r="C183" s="255" t="s">
        <v>1317</v>
      </c>
      <c r="D183" s="255" t="s">
        <v>1759</v>
      </c>
      <c r="E183" s="255" t="s">
        <v>1318</v>
      </c>
      <c r="F183" s="255" t="s">
        <v>3125</v>
      </c>
      <c r="G183" s="255"/>
      <c r="H183" s="255" t="s">
        <v>3292</v>
      </c>
      <c r="I183" s="255" t="s">
        <v>3230</v>
      </c>
      <c r="J183" s="46" t="str">
        <f t="shared" si="4"/>
        <v>GoldSo Accurate Group, Inc.</v>
      </c>
      <c r="K183" s="46" t="str">
        <f t="shared" si="5"/>
        <v>GoldSo Accurate Group, Inc.</v>
      </c>
      <c r="L183" s="255"/>
    </row>
    <row r="184" spans="1:12" ht="10.5" customHeight="1">
      <c r="A184" s="255" t="s">
        <v>2323</v>
      </c>
      <c r="B184" s="255" t="s">
        <v>1796</v>
      </c>
      <c r="C184" s="255" t="s">
        <v>1796</v>
      </c>
      <c r="D184" s="255" t="s">
        <v>1717</v>
      </c>
      <c r="E184" s="255" t="s">
        <v>1319</v>
      </c>
      <c r="F184" s="255" t="s">
        <v>3125</v>
      </c>
      <c r="G184" s="255"/>
      <c r="H184" s="255" t="s">
        <v>3293</v>
      </c>
      <c r="I184" s="255" t="s">
        <v>3294</v>
      </c>
      <c r="J184" s="46" t="str">
        <f t="shared" si="4"/>
        <v>GoldSOE Shyolkovsky Factory of Secondary Precious Metals</v>
      </c>
      <c r="K184" s="46" t="str">
        <f t="shared" si="5"/>
        <v>GoldSOE Shyolkovsky Factory of Secondary Precious Metals</v>
      </c>
      <c r="L184" s="255"/>
    </row>
    <row r="185" spans="1:12" ht="10.5" customHeight="1">
      <c r="A185" s="255" t="s">
        <v>2323</v>
      </c>
      <c r="B185" s="255" t="s">
        <v>1797</v>
      </c>
      <c r="C185" s="255" t="s">
        <v>1797</v>
      </c>
      <c r="D185" s="255" t="s">
        <v>1753</v>
      </c>
      <c r="E185" s="255" t="s">
        <v>1320</v>
      </c>
      <c r="F185" s="255" t="s">
        <v>3125</v>
      </c>
      <c r="G185" s="255"/>
      <c r="H185" s="255" t="s">
        <v>3295</v>
      </c>
      <c r="I185" s="255" t="s">
        <v>3296</v>
      </c>
      <c r="J185" s="46" t="str">
        <f t="shared" si="4"/>
        <v>GoldSolar Applied Materials Technology Corp.</v>
      </c>
      <c r="K185" s="46" t="str">
        <f t="shared" si="5"/>
        <v>GoldSolar Applied Materials Technology Corp.</v>
      </c>
      <c r="L185" s="255"/>
    </row>
    <row r="186" spans="1:12" ht="10.5" customHeight="1">
      <c r="A186" s="255" t="s">
        <v>2323</v>
      </c>
      <c r="B186" s="255" t="s">
        <v>43</v>
      </c>
      <c r="C186" s="255" t="s">
        <v>1797</v>
      </c>
      <c r="D186" s="255" t="s">
        <v>1753</v>
      </c>
      <c r="E186" s="255" t="s">
        <v>1320</v>
      </c>
      <c r="F186" s="255" t="s">
        <v>3125</v>
      </c>
      <c r="G186" s="255"/>
      <c r="H186" s="255" t="s">
        <v>3295</v>
      </c>
      <c r="I186" s="255" t="s">
        <v>3296</v>
      </c>
      <c r="J186" s="47" t="str">
        <f t="shared" si="4"/>
        <v>GoldSOLAR CHEMICALAPPLIED MATERIALS TECHNOLOGY (KUN SHAN)</v>
      </c>
      <c r="K186" s="46" t="str">
        <f t="shared" si="5"/>
        <v>GoldSOLAR CHEMICALAPPLIED MATERIALS TECHNOLOGY (KUN SHAN)</v>
      </c>
      <c r="L186" s="255"/>
    </row>
    <row r="187" spans="1:12" ht="10.5" customHeight="1">
      <c r="A187" s="255" t="s">
        <v>2323</v>
      </c>
      <c r="B187" s="255" t="s">
        <v>44</v>
      </c>
      <c r="C187" s="255" t="s">
        <v>1797</v>
      </c>
      <c r="D187" s="255" t="s">
        <v>1753</v>
      </c>
      <c r="E187" s="255" t="s">
        <v>1320</v>
      </c>
      <c r="F187" s="255" t="s">
        <v>3125</v>
      </c>
      <c r="G187" s="255"/>
      <c r="H187" s="255" t="s">
        <v>3295</v>
      </c>
      <c r="I187" s="255" t="s">
        <v>3296</v>
      </c>
      <c r="J187" s="46" t="str">
        <f t="shared" si="4"/>
        <v>GoldSolartech</v>
      </c>
      <c r="K187" s="46" t="str">
        <f t="shared" si="5"/>
        <v>GoldSolartech</v>
      </c>
      <c r="L187" s="255"/>
    </row>
    <row r="188" spans="1:12" ht="10.5" customHeight="1">
      <c r="A188" s="255" t="s">
        <v>2323</v>
      </c>
      <c r="B188" s="255" t="s">
        <v>3362</v>
      </c>
      <c r="C188" s="255" t="s">
        <v>3362</v>
      </c>
      <c r="D188" s="255" t="s">
        <v>1720</v>
      </c>
      <c r="E188" s="255" t="s">
        <v>3363</v>
      </c>
      <c r="F188" s="255" t="s">
        <v>3125</v>
      </c>
      <c r="G188" s="255"/>
      <c r="H188" s="255" t="s">
        <v>3364</v>
      </c>
      <c r="I188" s="255" t="s">
        <v>3365</v>
      </c>
      <c r="J188" s="46" t="str">
        <f t="shared" si="4"/>
        <v>GoldSudan Gold Refinery</v>
      </c>
      <c r="K188" s="46" t="str">
        <f t="shared" si="5"/>
        <v>GoldSudan Gold Refinery</v>
      </c>
      <c r="L188" s="255"/>
    </row>
    <row r="189" spans="1:12" ht="10.5" customHeight="1">
      <c r="A189" s="255" t="s">
        <v>2323</v>
      </c>
      <c r="B189" s="255" t="s">
        <v>4300</v>
      </c>
      <c r="C189" s="255" t="s">
        <v>77</v>
      </c>
      <c r="D189" s="255" t="s">
        <v>2249</v>
      </c>
      <c r="E189" s="255" t="s">
        <v>1321</v>
      </c>
      <c r="F189" s="255" t="s">
        <v>3125</v>
      </c>
      <c r="G189" s="255"/>
      <c r="H189" s="255" t="s">
        <v>3297</v>
      </c>
      <c r="I189" s="255" t="s">
        <v>4284</v>
      </c>
      <c r="J189" s="46" t="str">
        <f t="shared" si="4"/>
        <v>GoldSumitomo Kinzoku Kozan K.K.</v>
      </c>
      <c r="K189" s="46" t="str">
        <f t="shared" si="5"/>
        <v>GoldSumitomo Kinzoku Kozan K.K.</v>
      </c>
      <c r="L189" s="255"/>
    </row>
    <row r="190" spans="1:12" ht="10.5" customHeight="1">
      <c r="A190" s="255" t="s">
        <v>2323</v>
      </c>
      <c r="B190" s="255" t="s">
        <v>77</v>
      </c>
      <c r="C190" s="255" t="s">
        <v>77</v>
      </c>
      <c r="D190" s="255" t="s">
        <v>2249</v>
      </c>
      <c r="E190" s="255" t="s">
        <v>1321</v>
      </c>
      <c r="F190" s="255" t="s">
        <v>3125</v>
      </c>
      <c r="G190" s="255"/>
      <c r="H190" s="255" t="s">
        <v>3297</v>
      </c>
      <c r="I190" s="255" t="s">
        <v>4284</v>
      </c>
      <c r="J190" s="46" t="str">
        <f t="shared" si="4"/>
        <v>GoldSumitomo Metal Mining Co., Ltd.</v>
      </c>
      <c r="K190" s="46" t="str">
        <f t="shared" si="5"/>
        <v>GoldSumitomo Metal Mining Co., Ltd.</v>
      </c>
      <c r="L190" s="255"/>
    </row>
    <row r="191" spans="1:12" ht="10.5" customHeight="1">
      <c r="A191" s="255" t="s">
        <v>2323</v>
      </c>
      <c r="B191" s="255" t="s">
        <v>4291</v>
      </c>
      <c r="C191" s="255" t="s">
        <v>4291</v>
      </c>
      <c r="D191" s="255" t="s">
        <v>2246</v>
      </c>
      <c r="E191" s="255" t="s">
        <v>3366</v>
      </c>
      <c r="F191" s="255" t="s">
        <v>3125</v>
      </c>
      <c r="G191" s="255"/>
      <c r="H191" s="255" t="s">
        <v>3367</v>
      </c>
      <c r="I191" s="255" t="s">
        <v>3164</v>
      </c>
      <c r="J191" s="46" t="str">
        <f t="shared" si="4"/>
        <v>GoldT.C.A S.p.A</v>
      </c>
      <c r="K191" s="46" t="str">
        <f t="shared" si="5"/>
        <v>GoldT.C.A S.p.A</v>
      </c>
      <c r="L191" s="255"/>
    </row>
    <row r="192" spans="1:12" ht="10.5" customHeight="1">
      <c r="A192" s="255" t="s">
        <v>2323</v>
      </c>
      <c r="B192" s="255" t="s">
        <v>4701</v>
      </c>
      <c r="C192" s="255" t="s">
        <v>2454</v>
      </c>
      <c r="D192" s="255" t="s">
        <v>2249</v>
      </c>
      <c r="E192" s="255" t="s">
        <v>1297</v>
      </c>
      <c r="F192" s="255" t="s">
        <v>3125</v>
      </c>
      <c r="G192" s="255"/>
      <c r="H192" s="255" t="s">
        <v>3247</v>
      </c>
      <c r="I192" s="255" t="s">
        <v>3246</v>
      </c>
      <c r="J192" s="46" t="str">
        <f t="shared" si="4"/>
        <v>GoldTakehara Refinery</v>
      </c>
      <c r="K192" s="46" t="str">
        <f t="shared" si="5"/>
        <v>GoldTakehara Refinery</v>
      </c>
      <c r="L192" s="255"/>
    </row>
    <row r="193" spans="1:12" ht="10.5" customHeight="1">
      <c r="A193" s="255" t="s">
        <v>2323</v>
      </c>
      <c r="B193" s="255" t="s">
        <v>4691</v>
      </c>
      <c r="C193" s="255" t="s">
        <v>73</v>
      </c>
      <c r="D193" s="255" t="s">
        <v>2249</v>
      </c>
      <c r="E193" s="255" t="s">
        <v>1277</v>
      </c>
      <c r="F193" s="255" t="s">
        <v>3125</v>
      </c>
      <c r="G193" s="255"/>
      <c r="H193" s="255" t="s">
        <v>4844</v>
      </c>
      <c r="I193" s="255" t="s">
        <v>4844</v>
      </c>
      <c r="J193" s="46" t="str">
        <f t="shared" si="4"/>
        <v>GoldTamano Smelter</v>
      </c>
      <c r="K193" s="46" t="str">
        <f t="shared" si="5"/>
        <v>GoldTamano Smelter</v>
      </c>
      <c r="L193" s="255"/>
    </row>
    <row r="194" spans="1:12" ht="10.5" customHeight="1">
      <c r="A194" s="255" t="s">
        <v>2323</v>
      </c>
      <c r="B194" s="255" t="s">
        <v>4301</v>
      </c>
      <c r="C194" s="255" t="s">
        <v>2457</v>
      </c>
      <c r="D194" s="255" t="s">
        <v>2249</v>
      </c>
      <c r="E194" s="255" t="s">
        <v>1322</v>
      </c>
      <c r="F194" s="255" t="s">
        <v>3125</v>
      </c>
      <c r="G194" s="255"/>
      <c r="H194" s="255" t="s">
        <v>3299</v>
      </c>
      <c r="I194" s="255" t="s">
        <v>3300</v>
      </c>
      <c r="J194" s="46" t="str">
        <f t="shared" si="4"/>
        <v>GoldTanaka Denshi Kogyo K.K</v>
      </c>
      <c r="K194" s="46" t="str">
        <f t="shared" si="5"/>
        <v>GoldTanaka Denshi Kogyo K.K</v>
      </c>
      <c r="L194" s="255"/>
    </row>
    <row r="195" spans="1:12" ht="10.5" customHeight="1">
      <c r="A195" s="255" t="s">
        <v>2323</v>
      </c>
      <c r="B195" s="255" t="s">
        <v>4717</v>
      </c>
      <c r="C195" s="255" t="s">
        <v>2457</v>
      </c>
      <c r="D195" s="255" t="s">
        <v>2249</v>
      </c>
      <c r="E195" s="255" t="s">
        <v>1322</v>
      </c>
      <c r="F195" s="255" t="s">
        <v>3125</v>
      </c>
      <c r="G195" s="255"/>
      <c r="H195" s="255" t="s">
        <v>3299</v>
      </c>
      <c r="I195" s="255" t="s">
        <v>3300</v>
      </c>
      <c r="J195" s="46" t="str">
        <f t="shared" si="4"/>
        <v>GoldTanaka Electronics (Hong Kong) Pte. Ltd.</v>
      </c>
      <c r="K195" s="46" t="str">
        <f t="shared" si="5"/>
        <v>GoldTanaka Electronics (Hong Kong) Pte. Ltd.</v>
      </c>
      <c r="L195" s="255"/>
    </row>
    <row r="196" spans="1:12" ht="10.5" customHeight="1">
      <c r="A196" s="255" t="s">
        <v>2323</v>
      </c>
      <c r="B196" s="255" t="s">
        <v>4759</v>
      </c>
      <c r="C196" s="255" t="s">
        <v>2457</v>
      </c>
      <c r="D196" s="255" t="s">
        <v>2249</v>
      </c>
      <c r="E196" s="255" t="s">
        <v>1322</v>
      </c>
      <c r="F196" s="255" t="s">
        <v>3125</v>
      </c>
      <c r="G196" s="255"/>
      <c r="H196" s="255" t="s">
        <v>3299</v>
      </c>
      <c r="I196" s="255" t="s">
        <v>3300</v>
      </c>
      <c r="J196" s="46" t="str">
        <f t="shared" si="4"/>
        <v>GoldTANAKA Electronics (Malaysia) SDN. BHD.</v>
      </c>
      <c r="K196" s="46" t="str">
        <f t="shared" si="5"/>
        <v>GoldTANAKA Electronics (Malaysia) SDN. BHD.</v>
      </c>
      <c r="L196" s="255"/>
    </row>
    <row r="197" spans="1:12" ht="10.5" customHeight="1">
      <c r="A197" s="255" t="s">
        <v>2323</v>
      </c>
      <c r="B197" s="255" t="s">
        <v>4718</v>
      </c>
      <c r="C197" s="255" t="s">
        <v>2457</v>
      </c>
      <c r="D197" s="255" t="s">
        <v>2249</v>
      </c>
      <c r="E197" s="255" t="s">
        <v>1322</v>
      </c>
      <c r="F197" s="255" t="s">
        <v>3125</v>
      </c>
      <c r="G197" s="255"/>
      <c r="H197" s="255" t="s">
        <v>3299</v>
      </c>
      <c r="I197" s="255" t="s">
        <v>3300</v>
      </c>
      <c r="J197" s="46" t="str">
        <f t="shared" ref="J197:J260" si="6">A197&amp;B197</f>
        <v>GoldTanaka Electronics (Singapore) Pte. Ltd.</v>
      </c>
      <c r="K197" s="46" t="str">
        <f t="shared" ref="K197:K260" si="7">A197&amp;B197</f>
        <v>GoldTanaka Electronics (Singapore) Pte. Ltd.</v>
      </c>
      <c r="L197" s="255"/>
    </row>
    <row r="198" spans="1:12" ht="10.5" customHeight="1">
      <c r="A198" s="255" t="s">
        <v>2323</v>
      </c>
      <c r="B198" s="255" t="s">
        <v>3301</v>
      </c>
      <c r="C198" s="255" t="s">
        <v>2457</v>
      </c>
      <c r="D198" s="255" t="s">
        <v>2249</v>
      </c>
      <c r="E198" s="255" t="s">
        <v>1322</v>
      </c>
      <c r="F198" s="255" t="s">
        <v>3125</v>
      </c>
      <c r="G198" s="255"/>
      <c r="H198" s="255" t="s">
        <v>3299</v>
      </c>
      <c r="I198" s="255" t="s">
        <v>3300</v>
      </c>
      <c r="J198" s="46" t="str">
        <f t="shared" si="6"/>
        <v>GoldTanaka Kikinzoku International</v>
      </c>
      <c r="K198" s="46" t="str">
        <f t="shared" si="7"/>
        <v>GoldTanaka Kikinzoku International</v>
      </c>
      <c r="L198" s="255"/>
    </row>
    <row r="199" spans="1:12" ht="10.5" customHeight="1">
      <c r="A199" s="255" t="s">
        <v>2323</v>
      </c>
      <c r="B199" s="255" t="s">
        <v>4719</v>
      </c>
      <c r="C199" s="255" t="s">
        <v>2457</v>
      </c>
      <c r="D199" s="255" t="s">
        <v>2249</v>
      </c>
      <c r="E199" s="255" t="s">
        <v>1322</v>
      </c>
      <c r="F199" s="255" t="s">
        <v>3125</v>
      </c>
      <c r="G199" s="255"/>
      <c r="H199" s="255" t="s">
        <v>3299</v>
      </c>
      <c r="I199" s="255" t="s">
        <v>3300</v>
      </c>
      <c r="J199" s="46" t="str">
        <f t="shared" si="6"/>
        <v>GoldTanaka Kikinzoku Kogyo K.K</v>
      </c>
      <c r="K199" s="46" t="str">
        <f t="shared" si="7"/>
        <v>GoldTanaka Kikinzoku Kogyo K.K</v>
      </c>
      <c r="L199" s="255"/>
    </row>
    <row r="200" spans="1:12" ht="10.5" customHeight="1">
      <c r="A200" s="255" t="s">
        <v>2323</v>
      </c>
      <c r="B200" s="255" t="s">
        <v>2457</v>
      </c>
      <c r="C200" s="255" t="s">
        <v>2457</v>
      </c>
      <c r="D200" s="255" t="s">
        <v>2249</v>
      </c>
      <c r="E200" s="255" t="s">
        <v>1322</v>
      </c>
      <c r="F200" s="255" t="s">
        <v>3125</v>
      </c>
      <c r="G200" s="255"/>
      <c r="H200" s="255" t="s">
        <v>3299</v>
      </c>
      <c r="I200" s="255" t="s">
        <v>3300</v>
      </c>
      <c r="J200" s="46" t="str">
        <f t="shared" si="6"/>
        <v>GoldTanaka Kikinzoku Kogyo K.K.</v>
      </c>
      <c r="K200" s="46" t="str">
        <f t="shared" si="7"/>
        <v>GoldTanaka Kikinzoku Kogyo K.K.</v>
      </c>
      <c r="L200" s="255"/>
    </row>
    <row r="201" spans="1:12" ht="10.5" customHeight="1">
      <c r="A201" s="255" t="s">
        <v>2323</v>
      </c>
      <c r="B201" s="255" t="s">
        <v>3302</v>
      </c>
      <c r="C201" s="255" t="s">
        <v>2457</v>
      </c>
      <c r="D201" s="255" t="s">
        <v>2249</v>
      </c>
      <c r="E201" s="255" t="s">
        <v>1322</v>
      </c>
      <c r="F201" s="255" t="s">
        <v>3125</v>
      </c>
      <c r="G201" s="255"/>
      <c r="H201" s="255" t="s">
        <v>3299</v>
      </c>
      <c r="I201" s="255" t="s">
        <v>3300</v>
      </c>
      <c r="J201" s="46" t="str">
        <f t="shared" si="6"/>
        <v>GoldTanaka Precious Metals</v>
      </c>
      <c r="K201" s="46" t="str">
        <f t="shared" si="7"/>
        <v>GoldTanaka Precious Metals</v>
      </c>
      <c r="L201" s="255"/>
    </row>
    <row r="202" spans="1:12" ht="10.5" customHeight="1">
      <c r="A202" s="255" t="s">
        <v>2323</v>
      </c>
      <c r="B202" s="255" t="s">
        <v>1192</v>
      </c>
      <c r="C202" s="255" t="s">
        <v>4293</v>
      </c>
      <c r="D202" s="255" t="s">
        <v>2181</v>
      </c>
      <c r="E202" s="255" t="s">
        <v>1323</v>
      </c>
      <c r="F202" s="255" t="s">
        <v>3125</v>
      </c>
      <c r="G202" s="255"/>
      <c r="H202" s="255" t="s">
        <v>3290</v>
      </c>
      <c r="I202" s="255" t="s">
        <v>3291</v>
      </c>
      <c r="J202" s="46" t="str">
        <f t="shared" si="6"/>
        <v>GoldThe Great Wall Gold and Silver Refinery of China</v>
      </c>
      <c r="K202" s="46" t="str">
        <f t="shared" si="7"/>
        <v>GoldThe Great Wall Gold and Silver Refinery of China</v>
      </c>
      <c r="L202" s="255"/>
    </row>
    <row r="203" spans="1:12" ht="10.5" customHeight="1">
      <c r="A203" s="255" t="s">
        <v>2323</v>
      </c>
      <c r="B203" s="255" t="s">
        <v>1934</v>
      </c>
      <c r="C203" s="255" t="s">
        <v>2322</v>
      </c>
      <c r="D203" s="255" t="s">
        <v>2154</v>
      </c>
      <c r="E203" s="255" t="s">
        <v>1332</v>
      </c>
      <c r="F203" s="255" t="s">
        <v>3125</v>
      </c>
      <c r="G203" s="255"/>
      <c r="H203" s="255" t="s">
        <v>3318</v>
      </c>
      <c r="I203" s="255" t="s">
        <v>3319</v>
      </c>
      <c r="J203" s="46" t="str">
        <f t="shared" si="6"/>
        <v>GoldThe Perth Mint</v>
      </c>
      <c r="K203" s="46" t="str">
        <f t="shared" si="7"/>
        <v>GoldThe Perth Mint</v>
      </c>
      <c r="L203" s="255"/>
    </row>
    <row r="204" spans="1:12" ht="10.5" customHeight="1">
      <c r="A204" s="255" t="s">
        <v>2323</v>
      </c>
      <c r="B204" s="255" t="s">
        <v>4177</v>
      </c>
      <c r="C204" s="255" t="s">
        <v>4177</v>
      </c>
      <c r="D204" s="255" t="s">
        <v>2181</v>
      </c>
      <c r="E204" s="255" t="s">
        <v>1324</v>
      </c>
      <c r="F204" s="255" t="s">
        <v>3125</v>
      </c>
      <c r="G204" s="255"/>
      <c r="H204" s="255" t="s">
        <v>3286</v>
      </c>
      <c r="I204" s="255" t="s">
        <v>3263</v>
      </c>
      <c r="J204" s="46" t="str">
        <f t="shared" si="6"/>
        <v>GoldThe Refinery of Shandong Gold Mining Co., Ltd.</v>
      </c>
      <c r="K204" s="46" t="str">
        <f t="shared" si="7"/>
        <v>GoldThe Refinery of Shandong Gold Mining Co., Ltd.</v>
      </c>
      <c r="L204" s="255"/>
    </row>
    <row r="205" spans="1:12" ht="10.5" customHeight="1">
      <c r="A205" s="255" t="s">
        <v>2323</v>
      </c>
      <c r="B205" s="255" t="s">
        <v>4178</v>
      </c>
      <c r="C205" s="255" t="s">
        <v>4178</v>
      </c>
      <c r="D205" s="255" t="s">
        <v>2249</v>
      </c>
      <c r="E205" s="255" t="s">
        <v>1325</v>
      </c>
      <c r="F205" s="255" t="s">
        <v>3125</v>
      </c>
      <c r="G205" s="255"/>
      <c r="H205" s="255" t="s">
        <v>3305</v>
      </c>
      <c r="I205" s="255" t="s">
        <v>3179</v>
      </c>
      <c r="J205" s="46" t="str">
        <f t="shared" si="6"/>
        <v>GoldTokuriki Honten Co., Ltd.</v>
      </c>
      <c r="K205" s="46" t="str">
        <f t="shared" si="7"/>
        <v>GoldTokuriki Honten Co., Ltd.</v>
      </c>
      <c r="L205" s="255"/>
    </row>
    <row r="206" spans="1:12" ht="10.5" customHeight="1">
      <c r="A206" s="255" t="s">
        <v>2323</v>
      </c>
      <c r="B206" s="255" t="s">
        <v>4251</v>
      </c>
      <c r="C206" s="255" t="s">
        <v>4251</v>
      </c>
      <c r="D206" s="255" t="s">
        <v>2181</v>
      </c>
      <c r="E206" s="255" t="s">
        <v>1326</v>
      </c>
      <c r="F206" s="255" t="s">
        <v>3125</v>
      </c>
      <c r="G206" s="255"/>
      <c r="H206" s="255" t="s">
        <v>3306</v>
      </c>
      <c r="I206" s="255" t="s">
        <v>3307</v>
      </c>
      <c r="J206" s="46" t="str">
        <f t="shared" si="6"/>
        <v>GoldTongling Nonferrous Metals Group Co., Ltd.</v>
      </c>
      <c r="K206" s="46" t="str">
        <f t="shared" si="7"/>
        <v>GoldTongling Nonferrous Metals Group Co., Ltd.</v>
      </c>
      <c r="L206" s="255"/>
    </row>
    <row r="207" spans="1:12" ht="10.5" customHeight="1">
      <c r="A207" s="255" t="s">
        <v>2323</v>
      </c>
      <c r="B207" s="255" t="s">
        <v>3309</v>
      </c>
      <c r="C207" s="255" t="s">
        <v>4251</v>
      </c>
      <c r="D207" s="255" t="s">
        <v>2181</v>
      </c>
      <c r="E207" s="255" t="s">
        <v>1326</v>
      </c>
      <c r="F207" s="255" t="s">
        <v>3125</v>
      </c>
      <c r="G207" s="255"/>
      <c r="H207" s="255" t="s">
        <v>3306</v>
      </c>
      <c r="I207" s="255" t="s">
        <v>3307</v>
      </c>
      <c r="J207" s="46" t="str">
        <f t="shared" si="6"/>
        <v>GoldTongLing Nonferrous Metals Group Holdings Co., Ltd.</v>
      </c>
      <c r="K207" s="46" t="str">
        <f t="shared" si="7"/>
        <v>GoldTongLing Nonferrous Metals Group Holdings Co., Ltd.</v>
      </c>
      <c r="L207" s="255"/>
    </row>
    <row r="208" spans="1:12" ht="10.5" customHeight="1">
      <c r="A208" s="255" t="s">
        <v>2323</v>
      </c>
      <c r="B208" s="255" t="s">
        <v>4348</v>
      </c>
      <c r="C208" s="255" t="s">
        <v>4348</v>
      </c>
      <c r="D208" s="255" t="s">
        <v>2158</v>
      </c>
      <c r="E208" s="255" t="s">
        <v>4349</v>
      </c>
      <c r="F208" s="255" t="s">
        <v>3125</v>
      </c>
      <c r="G208" s="255"/>
      <c r="H208" s="255" t="s">
        <v>3315</v>
      </c>
      <c r="I208" s="255" t="s">
        <v>3315</v>
      </c>
      <c r="J208" s="46" t="str">
        <f t="shared" si="6"/>
        <v>GoldTony Goetz NV</v>
      </c>
      <c r="K208" s="46" t="str">
        <f t="shared" si="7"/>
        <v>GoldTony Goetz NV</v>
      </c>
      <c r="L208" s="255"/>
    </row>
    <row r="209" spans="1:12" ht="10.5" customHeight="1">
      <c r="A209" s="255" t="s">
        <v>2323</v>
      </c>
      <c r="B209" s="255" t="s">
        <v>4720</v>
      </c>
      <c r="C209" s="255" t="s">
        <v>4720</v>
      </c>
      <c r="D209" s="255" t="s">
        <v>2250</v>
      </c>
      <c r="E209" s="255" t="s">
        <v>4721</v>
      </c>
      <c r="F209" s="255" t="s">
        <v>3125</v>
      </c>
      <c r="G209" s="256"/>
      <c r="H209" s="255" t="s">
        <v>4722</v>
      </c>
      <c r="I209" s="255" t="s">
        <v>4723</v>
      </c>
      <c r="J209" s="46" t="str">
        <f t="shared" si="6"/>
        <v>GoldTOO Tau-Ken-Altyn</v>
      </c>
      <c r="K209" s="46" t="str">
        <f t="shared" si="7"/>
        <v>GoldTOO Tau-Ken-Altyn</v>
      </c>
      <c r="L209" s="255"/>
    </row>
    <row r="210" spans="1:12" ht="10.5" customHeight="1">
      <c r="A210" s="255" t="s">
        <v>2323</v>
      </c>
      <c r="B210" s="255" t="s">
        <v>1170</v>
      </c>
      <c r="C210" s="255" t="s">
        <v>1170</v>
      </c>
      <c r="D210" s="255" t="s">
        <v>2256</v>
      </c>
      <c r="E210" s="255" t="s">
        <v>1327</v>
      </c>
      <c r="F210" s="255" t="s">
        <v>3125</v>
      </c>
      <c r="G210" s="255"/>
      <c r="H210" s="255" t="s">
        <v>3310</v>
      </c>
      <c r="I210" s="255" t="s">
        <v>3311</v>
      </c>
      <c r="J210" s="46" t="str">
        <f t="shared" si="6"/>
        <v>GoldTorecom</v>
      </c>
      <c r="K210" s="46" t="str">
        <f t="shared" si="7"/>
        <v>GoldTorecom</v>
      </c>
      <c r="L210" s="255"/>
    </row>
    <row r="211" spans="1:12" ht="10.5" customHeight="1">
      <c r="A211" s="255" t="s">
        <v>2323</v>
      </c>
      <c r="B211" s="255" t="s">
        <v>3298</v>
      </c>
      <c r="C211" s="255" t="s">
        <v>77</v>
      </c>
      <c r="D211" s="255" t="s">
        <v>2249</v>
      </c>
      <c r="E211" s="255" t="s">
        <v>1321</v>
      </c>
      <c r="F211" s="255" t="s">
        <v>3125</v>
      </c>
      <c r="G211" s="255"/>
      <c r="H211" s="255" t="s">
        <v>3297</v>
      </c>
      <c r="I211" s="255" t="s">
        <v>4284</v>
      </c>
      <c r="J211" s="46" t="str">
        <f t="shared" si="6"/>
        <v>GoldToyo Smelter &amp; Refinery</v>
      </c>
      <c r="K211" s="46" t="str">
        <f t="shared" si="7"/>
        <v>GoldToyo Smelter &amp; Refinery</v>
      </c>
      <c r="L211" s="255"/>
    </row>
    <row r="212" spans="1:12" ht="10.5" customHeight="1">
      <c r="A212" s="255" t="s">
        <v>2323</v>
      </c>
      <c r="B212" s="255" t="s">
        <v>4179</v>
      </c>
      <c r="C212" s="255" t="s">
        <v>4179</v>
      </c>
      <c r="D212" s="255" t="s">
        <v>2170</v>
      </c>
      <c r="E212" s="255" t="s">
        <v>1328</v>
      </c>
      <c r="F212" s="255" t="s">
        <v>3125</v>
      </c>
      <c r="G212" s="255"/>
      <c r="H212" s="255" t="s">
        <v>3312</v>
      </c>
      <c r="I212" s="255" t="s">
        <v>3313</v>
      </c>
      <c r="J212" s="46" t="str">
        <f t="shared" si="6"/>
        <v>GoldUmicore Brasil Ltda.</v>
      </c>
      <c r="K212" s="46" t="str">
        <f t="shared" si="7"/>
        <v>GoldUmicore Brasil Ltda.</v>
      </c>
      <c r="L212" s="255"/>
    </row>
    <row r="213" spans="1:12" ht="10.5" customHeight="1">
      <c r="A213" s="255" t="s">
        <v>2323</v>
      </c>
      <c r="B213" s="255" t="s">
        <v>207</v>
      </c>
      <c r="C213" s="255" t="s">
        <v>207</v>
      </c>
      <c r="D213" s="255" t="s">
        <v>1743</v>
      </c>
      <c r="E213" s="255" t="s">
        <v>208</v>
      </c>
      <c r="F213" s="255" t="s">
        <v>3125</v>
      </c>
      <c r="G213" s="255"/>
      <c r="H213" s="255" t="s">
        <v>3337</v>
      </c>
      <c r="I213" s="255" t="s">
        <v>3338</v>
      </c>
      <c r="J213" s="46" t="str">
        <f t="shared" si="6"/>
        <v>GoldUmicore Precious Metals Thailand</v>
      </c>
      <c r="K213" s="46" t="str">
        <f t="shared" si="7"/>
        <v>GoldUmicore Precious Metals Thailand</v>
      </c>
      <c r="L213" s="255"/>
    </row>
    <row r="214" spans="1:12" ht="10.5" customHeight="1">
      <c r="A214" s="255" t="s">
        <v>2323</v>
      </c>
      <c r="B214" s="255" t="s">
        <v>4724</v>
      </c>
      <c r="C214" s="255" t="s">
        <v>4724</v>
      </c>
      <c r="D214" s="255" t="s">
        <v>2158</v>
      </c>
      <c r="E214" s="255" t="s">
        <v>1329</v>
      </c>
      <c r="F214" s="255" t="s">
        <v>3125</v>
      </c>
      <c r="G214" s="255"/>
      <c r="H214" s="255" t="s">
        <v>3314</v>
      </c>
      <c r="I214" s="255" t="s">
        <v>3315</v>
      </c>
      <c r="J214" s="46" t="str">
        <f t="shared" si="6"/>
        <v>GoldUmicore S.A. Business Unit Precious Metals Refining</v>
      </c>
      <c r="K214" s="46" t="str">
        <f t="shared" si="7"/>
        <v>GoldUmicore S.A. Business Unit Precious Metals Refining</v>
      </c>
      <c r="L214" s="255"/>
    </row>
    <row r="215" spans="1:12" ht="10.5" customHeight="1">
      <c r="A215" s="255" t="s">
        <v>2323</v>
      </c>
      <c r="B215" s="255" t="s">
        <v>1470</v>
      </c>
      <c r="C215" s="255" t="s">
        <v>1470</v>
      </c>
      <c r="D215" s="255" t="s">
        <v>1759</v>
      </c>
      <c r="E215" s="255" t="s">
        <v>1330</v>
      </c>
      <c r="F215" s="255" t="s">
        <v>3125</v>
      </c>
      <c r="G215" s="255"/>
      <c r="H215" s="255" t="s">
        <v>3316</v>
      </c>
      <c r="I215" s="255" t="s">
        <v>3230</v>
      </c>
      <c r="J215" s="46" t="str">
        <f t="shared" si="6"/>
        <v>GoldUnited Precious Metal Refining, Inc.</v>
      </c>
      <c r="K215" s="46" t="str">
        <f t="shared" si="7"/>
        <v>GoldUnited Precious Metal Refining, Inc.</v>
      </c>
      <c r="L215" s="255"/>
    </row>
    <row r="216" spans="1:12" ht="10.5" customHeight="1">
      <c r="A216" s="255" t="s">
        <v>2323</v>
      </c>
      <c r="B216" s="255" t="s">
        <v>4725</v>
      </c>
      <c r="C216" s="255" t="s">
        <v>4725</v>
      </c>
      <c r="D216" s="255" t="s">
        <v>1774</v>
      </c>
      <c r="E216" s="255" t="s">
        <v>4726</v>
      </c>
      <c r="F216" s="255" t="s">
        <v>3125</v>
      </c>
      <c r="G216" s="255"/>
      <c r="H216" s="255" t="s">
        <v>4727</v>
      </c>
      <c r="I216" s="255" t="s">
        <v>4768</v>
      </c>
      <c r="J216" s="46" t="str">
        <f t="shared" si="6"/>
        <v>GoldUniversal Precious Metals Refining Zambia</v>
      </c>
      <c r="K216" s="46" t="str">
        <f t="shared" si="7"/>
        <v>GoldUniversal Precious Metals Refining Zambia</v>
      </c>
      <c r="L216" s="255"/>
    </row>
    <row r="217" spans="1:12" ht="10.5" customHeight="1">
      <c r="A217" s="255" t="s">
        <v>2323</v>
      </c>
      <c r="B217" s="255" t="s">
        <v>4728</v>
      </c>
      <c r="C217" s="255" t="s">
        <v>4728</v>
      </c>
      <c r="D217" s="255" t="s">
        <v>2179</v>
      </c>
      <c r="E217" s="255" t="s">
        <v>1331</v>
      </c>
      <c r="F217" s="255" t="s">
        <v>3125</v>
      </c>
      <c r="G217" s="255"/>
      <c r="H217" s="255" t="s">
        <v>3317</v>
      </c>
      <c r="I217" s="255" t="s">
        <v>3138</v>
      </c>
      <c r="J217" s="46" t="str">
        <f t="shared" si="6"/>
        <v>GoldValcambi S.A.</v>
      </c>
      <c r="K217" s="46" t="str">
        <f t="shared" si="7"/>
        <v>GoldValcambi S.A.</v>
      </c>
      <c r="L217" s="255"/>
    </row>
    <row r="218" spans="1:12" ht="10.5" customHeight="1">
      <c r="A218" s="255" t="s">
        <v>2323</v>
      </c>
      <c r="B218" s="255" t="s">
        <v>2322</v>
      </c>
      <c r="C218" s="255" t="s">
        <v>2322</v>
      </c>
      <c r="D218" s="255" t="s">
        <v>2154</v>
      </c>
      <c r="E218" s="255" t="s">
        <v>1332</v>
      </c>
      <c r="F218" s="255" t="s">
        <v>3125</v>
      </c>
      <c r="G218" s="255"/>
      <c r="H218" s="255" t="s">
        <v>3318</v>
      </c>
      <c r="I218" s="255" t="s">
        <v>3319</v>
      </c>
      <c r="J218" s="46" t="str">
        <f t="shared" si="6"/>
        <v>GoldWestern Australian Mint trading as The Perth Mint</v>
      </c>
      <c r="K218" s="46" t="str">
        <f t="shared" si="7"/>
        <v>GoldWestern Australian Mint trading as The Perth Mint</v>
      </c>
      <c r="L218" s="255"/>
    </row>
    <row r="219" spans="1:12" ht="10.5" customHeight="1">
      <c r="A219" s="255" t="s">
        <v>2323</v>
      </c>
      <c r="B219" s="255" t="s">
        <v>4271</v>
      </c>
      <c r="C219" s="255" t="s">
        <v>4271</v>
      </c>
      <c r="D219" s="255" t="s">
        <v>2195</v>
      </c>
      <c r="E219" s="255" t="s">
        <v>4274</v>
      </c>
      <c r="F219" s="255" t="s">
        <v>3125</v>
      </c>
      <c r="G219" s="255"/>
      <c r="H219" s="255" t="s">
        <v>3130</v>
      </c>
      <c r="I219" s="255" t="s">
        <v>3131</v>
      </c>
      <c r="J219" s="46" t="str">
        <f t="shared" si="6"/>
        <v>GoldWIELAND Edelmetalle GmbH</v>
      </c>
      <c r="K219" s="46" t="str">
        <f t="shared" si="7"/>
        <v>GoldWIELAND Edelmetalle GmbH</v>
      </c>
      <c r="L219" s="255"/>
    </row>
    <row r="220" spans="1:12" ht="10.5" customHeight="1">
      <c r="A220" s="255" t="s">
        <v>2323</v>
      </c>
      <c r="B220" s="255" t="s">
        <v>45</v>
      </c>
      <c r="C220" s="255" t="s">
        <v>1792</v>
      </c>
      <c r="D220" s="255" t="s">
        <v>1759</v>
      </c>
      <c r="E220" s="255" t="s">
        <v>1289</v>
      </c>
      <c r="F220" s="255" t="s">
        <v>3125</v>
      </c>
      <c r="G220" s="255"/>
      <c r="H220" s="255" t="s">
        <v>3229</v>
      </c>
      <c r="I220" s="255" t="s">
        <v>3230</v>
      </c>
      <c r="J220" s="46" t="str">
        <f t="shared" si="6"/>
        <v>GoldWilliams Advanced Materials</v>
      </c>
      <c r="K220" s="46" t="str">
        <f t="shared" si="7"/>
        <v>GoldWilliams Advanced Materials</v>
      </c>
      <c r="L220" s="255"/>
    </row>
    <row r="221" spans="1:12" ht="10.5" customHeight="1">
      <c r="A221" s="255" t="s">
        <v>2323</v>
      </c>
      <c r="B221" s="255" t="s">
        <v>3157</v>
      </c>
      <c r="C221" s="255" t="s">
        <v>4323</v>
      </c>
      <c r="D221" s="255" t="s">
        <v>2177</v>
      </c>
      <c r="E221" s="255" t="s">
        <v>1248</v>
      </c>
      <c r="F221" s="255" t="s">
        <v>3125</v>
      </c>
      <c r="G221" s="255"/>
      <c r="H221" s="255" t="s">
        <v>3154</v>
      </c>
      <c r="I221" s="255" t="s">
        <v>3155</v>
      </c>
      <c r="J221" s="46" t="str">
        <f t="shared" si="6"/>
        <v>GoldXstrata</v>
      </c>
      <c r="K221" s="46" t="str">
        <f t="shared" si="7"/>
        <v>GoldXstrata</v>
      </c>
      <c r="L221" s="255"/>
    </row>
    <row r="222" spans="1:12" ht="10.5" customHeight="1">
      <c r="A222" s="255" t="s">
        <v>2323</v>
      </c>
      <c r="B222" s="255" t="s">
        <v>4181</v>
      </c>
      <c r="C222" s="255" t="s">
        <v>4181</v>
      </c>
      <c r="D222" s="255" t="s">
        <v>2249</v>
      </c>
      <c r="E222" s="255" t="s">
        <v>1333</v>
      </c>
      <c r="F222" s="255" t="s">
        <v>3125</v>
      </c>
      <c r="G222" s="255"/>
      <c r="H222" s="255" t="s">
        <v>3201</v>
      </c>
      <c r="I222" s="255" t="s">
        <v>3202</v>
      </c>
      <c r="J222" s="46" t="str">
        <f t="shared" si="6"/>
        <v>GoldYamamoto Precious Metal Co., Ltd.</v>
      </c>
      <c r="K222" s="46" t="str">
        <f t="shared" si="7"/>
        <v>GoldYamamoto Precious Metal Co., Ltd.</v>
      </c>
      <c r="L222" s="255"/>
    </row>
    <row r="223" spans="1:12" ht="10.5" customHeight="1">
      <c r="A223" s="255" t="s">
        <v>2323</v>
      </c>
      <c r="B223" s="255" t="s">
        <v>3324</v>
      </c>
      <c r="C223" s="255" t="s">
        <v>4181</v>
      </c>
      <c r="D223" s="255" t="s">
        <v>2249</v>
      </c>
      <c r="E223" s="255" t="s">
        <v>1333</v>
      </c>
      <c r="F223" s="255" t="s">
        <v>3125</v>
      </c>
      <c r="G223" s="255"/>
      <c r="H223" s="255" t="s">
        <v>3201</v>
      </c>
      <c r="I223" s="255" t="s">
        <v>3202</v>
      </c>
      <c r="J223" s="46" t="str">
        <f t="shared" si="6"/>
        <v>GoldYamamoto Precision Metals</v>
      </c>
      <c r="K223" s="46" t="str">
        <f t="shared" si="7"/>
        <v>GoldYamamoto Precision Metals</v>
      </c>
      <c r="L223" s="255"/>
    </row>
    <row r="224" spans="1:12" ht="10.5" customHeight="1">
      <c r="A224" s="255" t="s">
        <v>2323</v>
      </c>
      <c r="B224" s="255" t="s">
        <v>3187</v>
      </c>
      <c r="C224" s="255" t="s">
        <v>3183</v>
      </c>
      <c r="D224" s="255" t="s">
        <v>2181</v>
      </c>
      <c r="E224" s="255" t="s">
        <v>3184</v>
      </c>
      <c r="F224" s="255" t="s">
        <v>3125</v>
      </c>
      <c r="G224" s="255"/>
      <c r="H224" s="255" t="s">
        <v>3185</v>
      </c>
      <c r="I224" s="255" t="s">
        <v>3264</v>
      </c>
      <c r="J224" s="46" t="str">
        <f t="shared" si="6"/>
        <v>GoldYantai NUS Safina tech environmental Refinery Co. Ltd.</v>
      </c>
      <c r="K224" s="46" t="str">
        <f t="shared" si="7"/>
        <v>GoldYantai NUS Safina tech environmental Refinery Co. Ltd.</v>
      </c>
      <c r="L224" s="255"/>
    </row>
    <row r="225" spans="1:12" ht="10.5" customHeight="1">
      <c r="A225" s="255" t="s">
        <v>2323</v>
      </c>
      <c r="B225" s="255" t="s">
        <v>4182</v>
      </c>
      <c r="C225" s="255" t="s">
        <v>4182</v>
      </c>
      <c r="D225" s="255" t="s">
        <v>2249</v>
      </c>
      <c r="E225" s="255" t="s">
        <v>1334</v>
      </c>
      <c r="F225" s="255" t="s">
        <v>3125</v>
      </c>
      <c r="G225" s="255"/>
      <c r="H225" s="255" t="s">
        <v>3325</v>
      </c>
      <c r="I225" s="255" t="s">
        <v>3300</v>
      </c>
      <c r="J225" s="46" t="str">
        <f t="shared" si="6"/>
        <v>GoldYokohama Metal Co., Ltd.</v>
      </c>
      <c r="K225" s="46" t="str">
        <f t="shared" si="7"/>
        <v>GoldYokohama Metal Co., Ltd.</v>
      </c>
      <c r="L225" s="255"/>
    </row>
    <row r="226" spans="1:12" ht="10.5" customHeight="1">
      <c r="A226" s="255" t="s">
        <v>2323</v>
      </c>
      <c r="B226" s="255" t="s">
        <v>4148</v>
      </c>
      <c r="C226" s="255" t="s">
        <v>4148</v>
      </c>
      <c r="D226" s="255" t="s">
        <v>2181</v>
      </c>
      <c r="E226" s="255" t="s">
        <v>1335</v>
      </c>
      <c r="F226" s="255" t="s">
        <v>3125</v>
      </c>
      <c r="G226" s="255"/>
      <c r="H226" s="255" t="s">
        <v>3160</v>
      </c>
      <c r="I226" s="255" t="s">
        <v>3161</v>
      </c>
      <c r="J226" s="46" t="str">
        <f t="shared" si="6"/>
        <v>GoldYunnan Copper Industry Co., Ltd.</v>
      </c>
      <c r="K226" s="46" t="str">
        <f t="shared" si="7"/>
        <v>GoldYunnan Copper Industry Co., Ltd.</v>
      </c>
      <c r="L226" s="255"/>
    </row>
    <row r="227" spans="1:12" ht="10.5" customHeight="1">
      <c r="A227" s="255" t="s">
        <v>2323</v>
      </c>
      <c r="B227" s="255" t="s">
        <v>46</v>
      </c>
      <c r="C227" s="255" t="s">
        <v>4174</v>
      </c>
      <c r="D227" s="255" t="s">
        <v>2181</v>
      </c>
      <c r="E227" s="255" t="s">
        <v>1316</v>
      </c>
      <c r="F227" s="255" t="s">
        <v>3125</v>
      </c>
      <c r="G227" s="255"/>
      <c r="H227" s="255" t="s">
        <v>3185</v>
      </c>
      <c r="I227" s="255" t="s">
        <v>3264</v>
      </c>
      <c r="J227" s="46" t="str">
        <f t="shared" si="6"/>
        <v>GoldZhao Jin Mining Industry Co Ltd</v>
      </c>
      <c r="K227" s="46" t="str">
        <f t="shared" si="7"/>
        <v>GoldZhao Jin Mining Industry Co Ltd</v>
      </c>
      <c r="L227" s="255"/>
    </row>
    <row r="228" spans="1:12" ht="10.5" customHeight="1">
      <c r="A228" s="255" t="s">
        <v>2323</v>
      </c>
      <c r="B228" s="255" t="s">
        <v>47</v>
      </c>
      <c r="C228" s="255" t="s">
        <v>4174</v>
      </c>
      <c r="D228" s="255" t="s">
        <v>2181</v>
      </c>
      <c r="E228" s="255" t="s">
        <v>1316</v>
      </c>
      <c r="F228" s="255" t="s">
        <v>3125</v>
      </c>
      <c r="G228" s="255"/>
      <c r="H228" s="255" t="s">
        <v>3185</v>
      </c>
      <c r="I228" s="255" t="s">
        <v>3264</v>
      </c>
      <c r="J228" s="46" t="str">
        <f t="shared" si="6"/>
        <v>GoldZhao Yuan Gold Mine</v>
      </c>
      <c r="K228" s="46" t="str">
        <f t="shared" si="7"/>
        <v>GoldZhao Yuan Gold Mine</v>
      </c>
      <c r="L228" s="255"/>
    </row>
    <row r="229" spans="1:12" ht="10.5" customHeight="1">
      <c r="A229" s="255" t="s">
        <v>2323</v>
      </c>
      <c r="B229" s="255" t="s">
        <v>3328</v>
      </c>
      <c r="C229" s="255" t="s">
        <v>4174</v>
      </c>
      <c r="D229" s="255" t="s">
        <v>2181</v>
      </c>
      <c r="E229" s="255" t="s">
        <v>1316</v>
      </c>
      <c r="F229" s="255" t="s">
        <v>3125</v>
      </c>
      <c r="G229" s="255"/>
      <c r="H229" s="255" t="s">
        <v>3185</v>
      </c>
      <c r="I229" s="255" t="s">
        <v>3264</v>
      </c>
      <c r="J229" s="46" t="str">
        <f t="shared" si="6"/>
        <v>GoldZhao Yuan Gold Smelter of ZhongJin</v>
      </c>
      <c r="K229" s="46" t="str">
        <f t="shared" si="7"/>
        <v>GoldZhao Yuan Gold Smelter of ZhongJin</v>
      </c>
      <c r="L229" s="255"/>
    </row>
    <row r="230" spans="1:12" ht="10.5" customHeight="1">
      <c r="A230" s="255" t="s">
        <v>2323</v>
      </c>
      <c r="B230" s="255" t="s">
        <v>48</v>
      </c>
      <c r="C230" s="255" t="s">
        <v>4174</v>
      </c>
      <c r="D230" s="255" t="s">
        <v>2181</v>
      </c>
      <c r="E230" s="255" t="s">
        <v>1316</v>
      </c>
      <c r="F230" s="255" t="s">
        <v>3125</v>
      </c>
      <c r="G230" s="255"/>
      <c r="H230" s="255" t="s">
        <v>3185</v>
      </c>
      <c r="I230" s="255" t="s">
        <v>3264</v>
      </c>
      <c r="J230" s="46" t="str">
        <f t="shared" si="6"/>
        <v>GoldZhao Yuan Jin Kuang</v>
      </c>
      <c r="K230" s="46" t="str">
        <f t="shared" si="7"/>
        <v>GoldZhao Yuan Jin Kuang</v>
      </c>
      <c r="L230" s="255"/>
    </row>
    <row r="231" spans="1:12" ht="10.5" customHeight="1">
      <c r="A231" s="255" t="s">
        <v>2323</v>
      </c>
      <c r="B231" s="255" t="s">
        <v>3289</v>
      </c>
      <c r="C231" s="255" t="s">
        <v>4174</v>
      </c>
      <c r="D231" s="255" t="s">
        <v>2181</v>
      </c>
      <c r="E231" s="255" t="s">
        <v>1316</v>
      </c>
      <c r="F231" s="255" t="s">
        <v>3125</v>
      </c>
      <c r="G231" s="255"/>
      <c r="H231" s="255" t="s">
        <v>3185</v>
      </c>
      <c r="I231" s="255" t="s">
        <v>3264</v>
      </c>
      <c r="J231" s="46" t="str">
        <f t="shared" si="6"/>
        <v>GoldZhaojin Mining Industry Co., Ltd.</v>
      </c>
      <c r="K231" s="46" t="str">
        <f t="shared" si="7"/>
        <v>GoldZhaojin Mining Industry Co., Ltd.</v>
      </c>
      <c r="L231" s="255"/>
    </row>
    <row r="232" spans="1:12" ht="10.5" customHeight="1">
      <c r="A232" s="255" t="s">
        <v>2323</v>
      </c>
      <c r="B232" s="255" t="s">
        <v>3329</v>
      </c>
      <c r="C232" s="255" t="s">
        <v>4174</v>
      </c>
      <c r="D232" s="255" t="s">
        <v>2181</v>
      </c>
      <c r="E232" s="255" t="s">
        <v>1316</v>
      </c>
      <c r="F232" s="255" t="s">
        <v>3125</v>
      </c>
      <c r="G232" s="255"/>
      <c r="H232" s="255" t="s">
        <v>3185</v>
      </c>
      <c r="I232" s="255" t="s">
        <v>3264</v>
      </c>
      <c r="J232" s="46" t="str">
        <f t="shared" si="6"/>
        <v>GoldZhaoyuan Gold Group</v>
      </c>
      <c r="K232" s="46" t="str">
        <f t="shared" si="7"/>
        <v>GoldZhaoyuan Gold Group</v>
      </c>
      <c r="L232" s="255"/>
    </row>
    <row r="233" spans="1:12" ht="10.5" customHeight="1">
      <c r="A233" s="255" t="s">
        <v>2323</v>
      </c>
      <c r="B233" s="255" t="s">
        <v>2458</v>
      </c>
      <c r="C233" s="255" t="s">
        <v>2575</v>
      </c>
      <c r="D233" s="255" t="s">
        <v>2181</v>
      </c>
      <c r="E233" s="255" t="s">
        <v>1336</v>
      </c>
      <c r="F233" s="255" t="s">
        <v>3125</v>
      </c>
      <c r="G233" s="255"/>
      <c r="H233" s="255" t="s">
        <v>3326</v>
      </c>
      <c r="I233" s="255" t="s">
        <v>3224</v>
      </c>
      <c r="J233" s="46" t="str">
        <f t="shared" si="6"/>
        <v>GoldZhongjin Gold Corporation Limited</v>
      </c>
      <c r="K233" s="46" t="str">
        <f t="shared" si="7"/>
        <v>GoldZhongjin Gold Corporation Limited</v>
      </c>
      <c r="L233" s="255"/>
    </row>
    <row r="234" spans="1:12" ht="10.5" customHeight="1">
      <c r="A234" s="255" t="s">
        <v>2323</v>
      </c>
      <c r="B234" s="255" t="s">
        <v>2575</v>
      </c>
      <c r="C234" s="255" t="s">
        <v>2575</v>
      </c>
      <c r="D234" s="255" t="s">
        <v>2181</v>
      </c>
      <c r="E234" s="255" t="s">
        <v>1336</v>
      </c>
      <c r="F234" s="255" t="s">
        <v>3125</v>
      </c>
      <c r="G234" s="255"/>
      <c r="H234" s="255" t="s">
        <v>3326</v>
      </c>
      <c r="I234" s="255" t="s">
        <v>3224</v>
      </c>
      <c r="J234" s="46" t="str">
        <f t="shared" si="6"/>
        <v>GoldZhongyuan Gold Smelter of Zhongjin Gold Corporation</v>
      </c>
      <c r="K234" s="46" t="str">
        <f t="shared" si="7"/>
        <v>GoldZhongyuan Gold Smelter of Zhongjin Gold Corporation</v>
      </c>
      <c r="L234" s="255"/>
    </row>
    <row r="235" spans="1:12" ht="10.5" customHeight="1">
      <c r="A235" s="255" t="s">
        <v>2323</v>
      </c>
      <c r="B235" s="255" t="s">
        <v>49</v>
      </c>
      <c r="C235" s="255" t="s">
        <v>4290</v>
      </c>
      <c r="D235" s="255" t="s">
        <v>2181</v>
      </c>
      <c r="E235" s="255" t="s">
        <v>1337</v>
      </c>
      <c r="F235" s="255" t="s">
        <v>3125</v>
      </c>
      <c r="G235" s="255"/>
      <c r="H235" s="255" t="s">
        <v>3331</v>
      </c>
      <c r="I235" s="255" t="s">
        <v>3332</v>
      </c>
      <c r="J235" s="46" t="str">
        <f t="shared" si="6"/>
        <v>GoldZijin Kuang Ye Refinery</v>
      </c>
      <c r="K235" s="46" t="str">
        <f t="shared" si="7"/>
        <v>GoldZijin Kuang Ye Refinery</v>
      </c>
      <c r="L235" s="255"/>
    </row>
    <row r="236" spans="1:12" ht="10.5" customHeight="1">
      <c r="A236" s="255" t="s">
        <v>2323</v>
      </c>
      <c r="B236" s="255" t="s">
        <v>4290</v>
      </c>
      <c r="C236" s="255" t="s">
        <v>4290</v>
      </c>
      <c r="D236" s="255" t="s">
        <v>2181</v>
      </c>
      <c r="E236" s="255" t="s">
        <v>1337</v>
      </c>
      <c r="F236" s="255" t="s">
        <v>3125</v>
      </c>
      <c r="G236" s="255"/>
      <c r="H236" s="255" t="s">
        <v>3331</v>
      </c>
      <c r="I236" s="255" t="s">
        <v>3332</v>
      </c>
      <c r="J236" s="46" t="str">
        <f t="shared" si="6"/>
        <v>GoldZijin Mining Group Co., Ltd. Gold Refinery</v>
      </c>
      <c r="K236" s="46" t="str">
        <f t="shared" si="7"/>
        <v>GoldZijin Mining Group Co., Ltd. Gold Refinery</v>
      </c>
      <c r="L236" s="255"/>
    </row>
    <row r="237" spans="1:12" ht="10.5" customHeight="1">
      <c r="A237" s="255" t="s">
        <v>2323</v>
      </c>
      <c r="B237" s="255" t="s">
        <v>3333</v>
      </c>
      <c r="C237" s="255" t="s">
        <v>4290</v>
      </c>
      <c r="D237" s="255" t="s">
        <v>2181</v>
      </c>
      <c r="E237" s="255" t="s">
        <v>1337</v>
      </c>
      <c r="F237" s="255" t="s">
        <v>3125</v>
      </c>
      <c r="G237" s="255"/>
      <c r="H237" s="255" t="s">
        <v>3331</v>
      </c>
      <c r="I237" s="255" t="s">
        <v>3332</v>
      </c>
      <c r="J237" s="46" t="str">
        <f t="shared" si="6"/>
        <v>GoldZijin Mining Industry Corporation</v>
      </c>
      <c r="K237" s="46" t="str">
        <f t="shared" si="7"/>
        <v>GoldZijin Mining Industry Corporation</v>
      </c>
      <c r="L237" s="255"/>
    </row>
    <row r="238" spans="1:12" ht="10.5" customHeight="1">
      <c r="A238" s="255" t="s">
        <v>2323</v>
      </c>
      <c r="B238" s="255" t="s">
        <v>3604</v>
      </c>
      <c r="C238" s="255"/>
      <c r="D238" s="255"/>
      <c r="E238" s="255"/>
      <c r="F238" s="255"/>
      <c r="G238" s="255"/>
      <c r="H238" s="255"/>
      <c r="I238" s="255"/>
      <c r="J238" s="46" t="str">
        <f t="shared" si="6"/>
        <v>GoldSmelter not listed</v>
      </c>
      <c r="K238" s="46" t="str">
        <f t="shared" si="7"/>
        <v>GoldSmelter not listed</v>
      </c>
      <c r="L238" s="255"/>
    </row>
    <row r="239" spans="1:12" ht="10.5" customHeight="1">
      <c r="A239" s="255" t="s">
        <v>2323</v>
      </c>
      <c r="B239" s="255" t="s">
        <v>2573</v>
      </c>
      <c r="C239" s="255" t="s">
        <v>926</v>
      </c>
      <c r="D239" s="255" t="s">
        <v>926</v>
      </c>
      <c r="E239" s="255"/>
      <c r="F239" s="255"/>
      <c r="G239" s="255"/>
      <c r="H239" s="255"/>
      <c r="I239" s="255"/>
      <c r="J239" s="46" t="str">
        <f t="shared" si="6"/>
        <v>GoldSmelter not yet identified</v>
      </c>
      <c r="K239" s="46" t="str">
        <f t="shared" si="7"/>
        <v>GoldSmelter not yet identified</v>
      </c>
      <c r="L239" s="255"/>
    </row>
    <row r="240" spans="1:12" ht="10.5" customHeight="1">
      <c r="A240" s="255" t="s">
        <v>2325</v>
      </c>
      <c r="B240" s="255" t="s">
        <v>3</v>
      </c>
      <c r="C240" s="255" t="s">
        <v>3</v>
      </c>
      <c r="D240" s="255" t="s">
        <v>2181</v>
      </c>
      <c r="E240" s="255" t="s">
        <v>1338</v>
      </c>
      <c r="F240" s="255" t="s">
        <v>3125</v>
      </c>
      <c r="G240" s="255"/>
      <c r="H240" s="255" t="s">
        <v>3194</v>
      </c>
      <c r="I240" s="255" t="s">
        <v>3186</v>
      </c>
      <c r="J240" s="46" t="str">
        <f t="shared" si="6"/>
        <v>TantalumChangsha South Tantalum Niobium Co., Ltd.</v>
      </c>
      <c r="K240" s="46" t="str">
        <f t="shared" si="7"/>
        <v>TantalumChangsha South Tantalum Niobium Co., Ltd.</v>
      </c>
      <c r="L240" s="255"/>
    </row>
    <row r="241" spans="1:12" ht="10.5" customHeight="1">
      <c r="A241" s="255" t="s">
        <v>2325</v>
      </c>
      <c r="B241" s="255" t="s">
        <v>3370</v>
      </c>
      <c r="C241" s="255" t="s">
        <v>3</v>
      </c>
      <c r="D241" s="255" t="s">
        <v>2181</v>
      </c>
      <c r="E241" s="255" t="s">
        <v>1338</v>
      </c>
      <c r="F241" s="255" t="s">
        <v>3125</v>
      </c>
      <c r="G241" s="255"/>
      <c r="H241" s="255" t="s">
        <v>3194</v>
      </c>
      <c r="I241" s="255" t="s">
        <v>3186</v>
      </c>
      <c r="J241" s="46" t="str">
        <f t="shared" si="6"/>
        <v>TantalumChangsha Southern</v>
      </c>
      <c r="K241" s="46" t="str">
        <f t="shared" si="7"/>
        <v>TantalumChangsha Southern</v>
      </c>
      <c r="L241" s="255"/>
    </row>
    <row r="242" spans="1:12" ht="10.5" customHeight="1">
      <c r="A242" s="255" t="s">
        <v>2325</v>
      </c>
      <c r="B242" s="255" t="s">
        <v>2374</v>
      </c>
      <c r="C242" s="255" t="s">
        <v>2374</v>
      </c>
      <c r="D242" s="255" t="s">
        <v>2181</v>
      </c>
      <c r="E242" s="255" t="s">
        <v>1339</v>
      </c>
      <c r="F242" s="255" t="s">
        <v>3125</v>
      </c>
      <c r="G242" s="255"/>
      <c r="H242" s="255" t="s">
        <v>3371</v>
      </c>
      <c r="I242" s="255" t="s">
        <v>3335</v>
      </c>
      <c r="J242" s="46" t="str">
        <f t="shared" si="6"/>
        <v>TantalumConghua Tantalum and Niobium Smeltry</v>
      </c>
      <c r="K242" s="46" t="str">
        <f t="shared" si="7"/>
        <v>TantalumConghua Tantalum and Niobium Smeltry</v>
      </c>
      <c r="L242" s="255"/>
    </row>
    <row r="243" spans="1:12" ht="10.5" customHeight="1">
      <c r="A243" s="255" t="s">
        <v>2325</v>
      </c>
      <c r="B243" s="255" t="s">
        <v>2697</v>
      </c>
      <c r="C243" s="255" t="s">
        <v>2697</v>
      </c>
      <c r="D243" s="255" t="s">
        <v>1759</v>
      </c>
      <c r="E243" s="255" t="s">
        <v>2698</v>
      </c>
      <c r="F243" s="255" t="s">
        <v>3125</v>
      </c>
      <c r="G243" s="255"/>
      <c r="H243" s="255" t="s">
        <v>3408</v>
      </c>
      <c r="I243" s="255" t="s">
        <v>3409</v>
      </c>
      <c r="J243" s="46" t="str">
        <f t="shared" si="6"/>
        <v>TantalumD Block Metals, LLC</v>
      </c>
      <c r="K243" s="46" t="str">
        <f t="shared" si="7"/>
        <v>TantalumD Block Metals, LLC</v>
      </c>
      <c r="L243" s="255"/>
    </row>
    <row r="244" spans="1:12" ht="10.5" customHeight="1">
      <c r="A244" s="255" t="s">
        <v>2325</v>
      </c>
      <c r="B244" s="255" t="s">
        <v>51</v>
      </c>
      <c r="C244" s="255" t="s">
        <v>2370</v>
      </c>
      <c r="D244" s="255" t="s">
        <v>2181</v>
      </c>
      <c r="E244" s="255" t="s">
        <v>1340</v>
      </c>
      <c r="F244" s="255" t="s">
        <v>3125</v>
      </c>
      <c r="G244" s="255"/>
      <c r="H244" s="255" t="s">
        <v>3372</v>
      </c>
      <c r="I244" s="255" t="s">
        <v>3335</v>
      </c>
      <c r="J244" s="46" t="str">
        <f t="shared" si="6"/>
        <v>TantalumDouluoshan Sapphire Rare Metal Co Ltd</v>
      </c>
      <c r="K244" s="46" t="str">
        <f t="shared" si="7"/>
        <v>TantalumDouluoshan Sapphire Rare Metal Co Ltd</v>
      </c>
      <c r="L244" s="255"/>
    </row>
    <row r="245" spans="1:12" ht="10.5" customHeight="1">
      <c r="A245" s="255" t="s">
        <v>2325</v>
      </c>
      <c r="B245" s="255" t="s">
        <v>2370</v>
      </c>
      <c r="C245" s="255" t="s">
        <v>2370</v>
      </c>
      <c r="D245" s="255" t="s">
        <v>2181</v>
      </c>
      <c r="E245" s="255" t="s">
        <v>1340</v>
      </c>
      <c r="F245" s="255" t="s">
        <v>3125</v>
      </c>
      <c r="G245" s="255"/>
      <c r="H245" s="255" t="s">
        <v>3372</v>
      </c>
      <c r="I245" s="255" t="s">
        <v>3335</v>
      </c>
      <c r="J245" s="46" t="str">
        <f t="shared" si="6"/>
        <v>TantalumDuoluoshan</v>
      </c>
      <c r="K245" s="46" t="str">
        <f t="shared" si="7"/>
        <v>TantalumDuoluoshan</v>
      </c>
      <c r="L245" s="255"/>
    </row>
    <row r="246" spans="1:12" ht="10.5" customHeight="1">
      <c r="A246" s="255" t="s">
        <v>2325</v>
      </c>
      <c r="B246" s="255" t="s">
        <v>4350</v>
      </c>
      <c r="C246" s="255" t="s">
        <v>4350</v>
      </c>
      <c r="D246" s="255" t="s">
        <v>1759</v>
      </c>
      <c r="E246" s="255" t="s">
        <v>4351</v>
      </c>
      <c r="F246" s="255" t="s">
        <v>3125</v>
      </c>
      <c r="G246" s="255"/>
      <c r="H246" s="255" t="s">
        <v>4352</v>
      </c>
      <c r="I246" s="255" t="s">
        <v>4353</v>
      </c>
      <c r="J246" s="46" t="str">
        <f t="shared" si="6"/>
        <v>TantalumE.S.R. Electronics</v>
      </c>
      <c r="K246" s="46" t="str">
        <f t="shared" si="7"/>
        <v>TantalumE.S.R. Electronics</v>
      </c>
      <c r="L246" s="255"/>
    </row>
    <row r="247" spans="1:12" ht="10.5" customHeight="1">
      <c r="A247" s="255" t="s">
        <v>2325</v>
      </c>
      <c r="B247" s="255" t="s">
        <v>2307</v>
      </c>
      <c r="C247" s="255" t="s">
        <v>2307</v>
      </c>
      <c r="D247" s="255" t="s">
        <v>1759</v>
      </c>
      <c r="E247" s="255" t="s">
        <v>1341</v>
      </c>
      <c r="F247" s="255" t="s">
        <v>3125</v>
      </c>
      <c r="G247" s="255"/>
      <c r="H247" s="255" t="s">
        <v>3373</v>
      </c>
      <c r="I247" s="255" t="s">
        <v>3348</v>
      </c>
      <c r="J247" s="46" t="str">
        <f t="shared" si="6"/>
        <v>TantalumExotech Inc.</v>
      </c>
      <c r="K247" s="46" t="str">
        <f t="shared" si="7"/>
        <v>TantalumExotech Inc.</v>
      </c>
      <c r="L247" s="255"/>
    </row>
    <row r="248" spans="1:12" ht="10.5" customHeight="1">
      <c r="A248" s="255" t="s">
        <v>2325</v>
      </c>
      <c r="B248" s="255" t="s">
        <v>3375</v>
      </c>
      <c r="C248" s="255" t="s">
        <v>63</v>
      </c>
      <c r="D248" s="255" t="s">
        <v>2181</v>
      </c>
      <c r="E248" s="255" t="s">
        <v>1342</v>
      </c>
      <c r="F248" s="255" t="s">
        <v>3125</v>
      </c>
      <c r="G248" s="255"/>
      <c r="H248" s="255" t="s">
        <v>3374</v>
      </c>
      <c r="I248" s="255" t="s">
        <v>3335</v>
      </c>
      <c r="J248" s="46" t="str">
        <f t="shared" si="6"/>
        <v>TantalumF &amp; X</v>
      </c>
      <c r="K248" s="46" t="str">
        <f t="shared" si="7"/>
        <v>TantalumF &amp; X</v>
      </c>
      <c r="L248" s="255"/>
    </row>
    <row r="249" spans="1:12" ht="10.5" customHeight="1">
      <c r="A249" s="255" t="s">
        <v>2325</v>
      </c>
      <c r="B249" s="255" t="s">
        <v>63</v>
      </c>
      <c r="C249" s="255" t="s">
        <v>63</v>
      </c>
      <c r="D249" s="255" t="s">
        <v>2181</v>
      </c>
      <c r="E249" s="255" t="s">
        <v>1342</v>
      </c>
      <c r="F249" s="255" t="s">
        <v>3125</v>
      </c>
      <c r="G249" s="255"/>
      <c r="H249" s="255" t="s">
        <v>3374</v>
      </c>
      <c r="I249" s="255" t="s">
        <v>3335</v>
      </c>
      <c r="J249" s="46" t="str">
        <f t="shared" si="6"/>
        <v>TantalumF&amp;X Electro-Materials Ltd.</v>
      </c>
      <c r="K249" s="46" t="str">
        <f t="shared" si="7"/>
        <v>TantalumF&amp;X Electro-Materials Ltd.</v>
      </c>
      <c r="L249" s="255"/>
    </row>
    <row r="250" spans="1:12" ht="10.5" customHeight="1">
      <c r="A250" s="255" t="s">
        <v>2325</v>
      </c>
      <c r="B250" s="255" t="s">
        <v>4188</v>
      </c>
      <c r="C250" s="255" t="s">
        <v>4188</v>
      </c>
      <c r="D250" s="255" t="s">
        <v>2181</v>
      </c>
      <c r="E250" s="255" t="s">
        <v>2699</v>
      </c>
      <c r="F250" s="255" t="s">
        <v>3125</v>
      </c>
      <c r="G250" s="255"/>
      <c r="H250" s="255" t="s">
        <v>3395</v>
      </c>
      <c r="I250" s="255" t="s">
        <v>3186</v>
      </c>
      <c r="J250" s="46" t="str">
        <f t="shared" si="6"/>
        <v>TantalumFIR Metals &amp; Resource Ltd.</v>
      </c>
      <c r="K250" s="46" t="str">
        <f t="shared" si="7"/>
        <v>TantalumFIR Metals &amp; Resource Ltd.</v>
      </c>
      <c r="L250" s="255"/>
    </row>
    <row r="251" spans="1:12" ht="10.5" customHeight="1">
      <c r="A251" s="255" t="s">
        <v>2325</v>
      </c>
      <c r="B251" s="255" t="s">
        <v>2733</v>
      </c>
      <c r="C251" s="255" t="s">
        <v>2733</v>
      </c>
      <c r="D251" s="255" t="s">
        <v>2249</v>
      </c>
      <c r="E251" s="255" t="s">
        <v>2734</v>
      </c>
      <c r="F251" s="255" t="s">
        <v>3125</v>
      </c>
      <c r="G251" s="255"/>
      <c r="H251" s="255" t="s">
        <v>3429</v>
      </c>
      <c r="I251" s="255" t="s">
        <v>3143</v>
      </c>
      <c r="J251" s="46" t="str">
        <f t="shared" si="6"/>
        <v>TantalumGlobal Advanced Metals Aizu</v>
      </c>
      <c r="K251" s="46" t="str">
        <f t="shared" si="7"/>
        <v>TantalumGlobal Advanced Metals Aizu</v>
      </c>
      <c r="L251" s="255"/>
    </row>
    <row r="252" spans="1:12" ht="10.5" customHeight="1">
      <c r="A252" s="255" t="s">
        <v>2325</v>
      </c>
      <c r="B252" s="255" t="s">
        <v>2735</v>
      </c>
      <c r="C252" s="255" t="s">
        <v>2735</v>
      </c>
      <c r="D252" s="255" t="s">
        <v>1759</v>
      </c>
      <c r="E252" s="255" t="s">
        <v>2736</v>
      </c>
      <c r="F252" s="255" t="s">
        <v>3125</v>
      </c>
      <c r="G252" s="255"/>
      <c r="H252" s="255" t="s">
        <v>3428</v>
      </c>
      <c r="I252" s="255" t="s">
        <v>3401</v>
      </c>
      <c r="J252" s="46" t="str">
        <f t="shared" si="6"/>
        <v>TantalumGlobal Advanced Metals Boyertown</v>
      </c>
      <c r="K252" s="46" t="str">
        <f t="shared" si="7"/>
        <v>TantalumGlobal Advanced Metals Boyertown</v>
      </c>
      <c r="L252" s="255"/>
    </row>
    <row r="253" spans="1:12" ht="10.5" customHeight="1">
      <c r="A253" s="255" t="s">
        <v>2325</v>
      </c>
      <c r="B253" s="255" t="s">
        <v>1343</v>
      </c>
      <c r="C253" s="255" t="s">
        <v>1343</v>
      </c>
      <c r="D253" s="255" t="s">
        <v>2181</v>
      </c>
      <c r="E253" s="255" t="s">
        <v>1344</v>
      </c>
      <c r="F253" s="255" t="s">
        <v>3125</v>
      </c>
      <c r="G253" s="255"/>
      <c r="H253" s="255" t="s">
        <v>3376</v>
      </c>
      <c r="I253" s="255" t="s">
        <v>3335</v>
      </c>
      <c r="J253" s="46" t="str">
        <f t="shared" si="6"/>
        <v>TantalumGuangdong Zhiyuan New Material Co., Ltd.</v>
      </c>
      <c r="K253" s="46" t="str">
        <f t="shared" si="7"/>
        <v>TantalumGuangdong Zhiyuan New Material Co., Ltd.</v>
      </c>
      <c r="L253" s="255"/>
    </row>
    <row r="254" spans="1:12" ht="10.5" customHeight="1">
      <c r="A254" s="255" t="s">
        <v>2325</v>
      </c>
      <c r="B254" s="255" t="s">
        <v>2737</v>
      </c>
      <c r="C254" s="255" t="s">
        <v>2737</v>
      </c>
      <c r="D254" s="255" t="s">
        <v>1743</v>
      </c>
      <c r="E254" s="255" t="s">
        <v>2738</v>
      </c>
      <c r="F254" s="255" t="s">
        <v>3125</v>
      </c>
      <c r="G254" s="255"/>
      <c r="H254" s="255" t="s">
        <v>3416</v>
      </c>
      <c r="I254" s="255" t="s">
        <v>3417</v>
      </c>
      <c r="J254" s="46" t="str">
        <f t="shared" si="6"/>
        <v>TantalumH.C. Starck Co., Ltd.</v>
      </c>
      <c r="K254" s="46" t="str">
        <f t="shared" si="7"/>
        <v>TantalumH.C. Starck Co., Ltd.</v>
      </c>
      <c r="L254" s="255"/>
    </row>
    <row r="255" spans="1:12" ht="10.5" customHeight="1">
      <c r="A255" s="255" t="s">
        <v>2325</v>
      </c>
      <c r="B255" s="255" t="s">
        <v>2739</v>
      </c>
      <c r="C255" s="255" t="s">
        <v>2739</v>
      </c>
      <c r="D255" s="255" t="s">
        <v>2195</v>
      </c>
      <c r="E255" s="255" t="s">
        <v>2740</v>
      </c>
      <c r="F255" s="255" t="s">
        <v>3125</v>
      </c>
      <c r="G255" s="255"/>
      <c r="H255" s="255" t="s">
        <v>3418</v>
      </c>
      <c r="I255" s="255" t="s">
        <v>3419</v>
      </c>
      <c r="J255" s="46" t="str">
        <f t="shared" si="6"/>
        <v>TantalumH.C. Starck GmbH Goslar</v>
      </c>
      <c r="K255" s="46" t="str">
        <f t="shared" si="7"/>
        <v>TantalumH.C. Starck GmbH Goslar</v>
      </c>
      <c r="L255" s="255"/>
    </row>
    <row r="256" spans="1:12" ht="10.5" customHeight="1">
      <c r="A256" s="255" t="s">
        <v>2325</v>
      </c>
      <c r="B256" s="255" t="s">
        <v>2741</v>
      </c>
      <c r="C256" s="255" t="s">
        <v>2741</v>
      </c>
      <c r="D256" s="255" t="s">
        <v>2195</v>
      </c>
      <c r="E256" s="255" t="s">
        <v>2742</v>
      </c>
      <c r="F256" s="255" t="s">
        <v>3125</v>
      </c>
      <c r="G256" s="255"/>
      <c r="H256" s="255" t="s">
        <v>3420</v>
      </c>
      <c r="I256" s="255" t="s">
        <v>3131</v>
      </c>
      <c r="J256" s="46" t="str">
        <f t="shared" si="6"/>
        <v>TantalumH.C. Starck GmbH Laufenburg</v>
      </c>
      <c r="K256" s="46" t="str">
        <f t="shared" si="7"/>
        <v>TantalumH.C. Starck GmbH Laufenburg</v>
      </c>
      <c r="L256" s="255"/>
    </row>
    <row r="257" spans="1:12" ht="10.5" customHeight="1">
      <c r="A257" s="255" t="s">
        <v>2325</v>
      </c>
      <c r="B257" s="255" t="s">
        <v>2743</v>
      </c>
      <c r="C257" s="255" t="s">
        <v>2743</v>
      </c>
      <c r="D257" s="255" t="s">
        <v>2195</v>
      </c>
      <c r="E257" s="255" t="s">
        <v>2744</v>
      </c>
      <c r="F257" s="255" t="s">
        <v>3125</v>
      </c>
      <c r="G257" s="255"/>
      <c r="H257" s="255" t="s">
        <v>3421</v>
      </c>
      <c r="I257" s="255" t="s">
        <v>3422</v>
      </c>
      <c r="J257" s="46" t="str">
        <f t="shared" si="6"/>
        <v>TantalumH.C. Starck Hermsdorf GmbH</v>
      </c>
      <c r="K257" s="46" t="str">
        <f t="shared" si="7"/>
        <v>TantalumH.C. Starck Hermsdorf GmbH</v>
      </c>
      <c r="L257" s="255"/>
    </row>
    <row r="258" spans="1:12" ht="10.5" customHeight="1">
      <c r="A258" s="255" t="s">
        <v>2325</v>
      </c>
      <c r="B258" s="255" t="s">
        <v>2745</v>
      </c>
      <c r="C258" s="255" t="s">
        <v>2745</v>
      </c>
      <c r="D258" s="255" t="s">
        <v>1759</v>
      </c>
      <c r="E258" s="255" t="s">
        <v>2746</v>
      </c>
      <c r="F258" s="255" t="s">
        <v>3125</v>
      </c>
      <c r="G258" s="255"/>
      <c r="H258" s="255" t="s">
        <v>3423</v>
      </c>
      <c r="I258" s="255" t="s">
        <v>3242</v>
      </c>
      <c r="J258" s="46" t="str">
        <f t="shared" si="6"/>
        <v>TantalumH.C. Starck Inc.</v>
      </c>
      <c r="K258" s="46" t="str">
        <f t="shared" si="7"/>
        <v>TantalumH.C. Starck Inc.</v>
      </c>
      <c r="L258" s="255"/>
    </row>
    <row r="259" spans="1:12" ht="10.5" customHeight="1">
      <c r="A259" s="255" t="s">
        <v>2325</v>
      </c>
      <c r="B259" s="255" t="s">
        <v>2747</v>
      </c>
      <c r="C259" s="255" t="s">
        <v>2747</v>
      </c>
      <c r="D259" s="255" t="s">
        <v>2249</v>
      </c>
      <c r="E259" s="255" t="s">
        <v>2748</v>
      </c>
      <c r="F259" s="255" t="s">
        <v>3125</v>
      </c>
      <c r="G259" s="255"/>
      <c r="H259" s="255" t="s">
        <v>3424</v>
      </c>
      <c r="I259" s="255" t="s">
        <v>3425</v>
      </c>
      <c r="J259" s="46" t="str">
        <f t="shared" si="6"/>
        <v>TantalumH.C. Starck Ltd.</v>
      </c>
      <c r="K259" s="46" t="str">
        <f t="shared" si="7"/>
        <v>TantalumH.C. Starck Ltd.</v>
      </c>
      <c r="L259" s="255"/>
    </row>
    <row r="260" spans="1:12" ht="10.5" customHeight="1">
      <c r="A260" s="255" t="s">
        <v>2325</v>
      </c>
      <c r="B260" s="255" t="s">
        <v>4729</v>
      </c>
      <c r="C260" s="255" t="s">
        <v>4729</v>
      </c>
      <c r="D260" s="255" t="s">
        <v>2195</v>
      </c>
      <c r="E260" s="255" t="s">
        <v>2750</v>
      </c>
      <c r="F260" s="255" t="s">
        <v>3125</v>
      </c>
      <c r="G260" s="255"/>
      <c r="H260" s="255" t="s">
        <v>3420</v>
      </c>
      <c r="I260" s="255" t="s">
        <v>3131</v>
      </c>
      <c r="J260" s="46" t="str">
        <f t="shared" si="6"/>
        <v>TantalumH.C. Starck Smelting GmbH &amp; Co. KG</v>
      </c>
      <c r="K260" s="46" t="str">
        <f t="shared" si="7"/>
        <v>TantalumH.C. Starck Smelting GmbH &amp; Co. KG</v>
      </c>
      <c r="L260" s="255"/>
    </row>
    <row r="261" spans="1:12" ht="10.5" customHeight="1">
      <c r="A261" s="255" t="s">
        <v>2325</v>
      </c>
      <c r="B261" s="255" t="s">
        <v>4</v>
      </c>
      <c r="C261" s="255" t="s">
        <v>4</v>
      </c>
      <c r="D261" s="255" t="s">
        <v>2181</v>
      </c>
      <c r="E261" s="255" t="s">
        <v>725</v>
      </c>
      <c r="F261" s="255" t="s">
        <v>3125</v>
      </c>
      <c r="G261" s="255"/>
      <c r="H261" s="255" t="s">
        <v>3407</v>
      </c>
      <c r="I261" s="255" t="s">
        <v>3186</v>
      </c>
      <c r="J261" s="46" t="str">
        <f t="shared" ref="J261:J324" si="8">A261&amp;B261</f>
        <v>TantalumHengyang King Xing Lifeng New Materials Co., Ltd.</v>
      </c>
      <c r="K261" s="46" t="str">
        <f t="shared" ref="K261:K324" si="9">A261&amp;B261</f>
        <v>TantalumHengyang King Xing Lifeng New Materials Co., Ltd.</v>
      </c>
      <c r="L261" s="255"/>
    </row>
    <row r="262" spans="1:12" ht="10.5" customHeight="1">
      <c r="A262" s="255" t="s">
        <v>2325</v>
      </c>
      <c r="B262" s="255" t="s">
        <v>2310</v>
      </c>
      <c r="C262" s="255" t="s">
        <v>3377</v>
      </c>
      <c r="D262" s="255" t="s">
        <v>1759</v>
      </c>
      <c r="E262" s="255" t="s">
        <v>1345</v>
      </c>
      <c r="F262" s="255" t="s">
        <v>3125</v>
      </c>
      <c r="G262" s="255"/>
      <c r="H262" s="255" t="s">
        <v>3378</v>
      </c>
      <c r="I262" s="255" t="s">
        <v>3230</v>
      </c>
      <c r="J262" s="46" t="str">
        <f t="shared" si="8"/>
        <v>TantalumHi-Temp</v>
      </c>
      <c r="K262" s="46" t="str">
        <f t="shared" si="9"/>
        <v>TantalumHi-Temp</v>
      </c>
      <c r="L262" s="255"/>
    </row>
    <row r="263" spans="1:12" ht="10.5" customHeight="1">
      <c r="A263" s="255" t="s">
        <v>2325</v>
      </c>
      <c r="B263" s="255" t="s">
        <v>3377</v>
      </c>
      <c r="C263" s="255" t="s">
        <v>3377</v>
      </c>
      <c r="D263" s="255" t="s">
        <v>1759</v>
      </c>
      <c r="E263" s="255" t="s">
        <v>1345</v>
      </c>
      <c r="F263" s="255" t="s">
        <v>3125</v>
      </c>
      <c r="G263" s="255"/>
      <c r="H263" s="255" t="s">
        <v>3378</v>
      </c>
      <c r="I263" s="255" t="s">
        <v>3230</v>
      </c>
      <c r="J263" s="46" t="str">
        <f t="shared" si="8"/>
        <v>TantalumHi-Temp Specialty Metals, Inc.</v>
      </c>
      <c r="K263" s="46" t="str">
        <f t="shared" si="9"/>
        <v>TantalumHi-Temp Specialty Metals, Inc.</v>
      </c>
      <c r="L263" s="255"/>
    </row>
    <row r="264" spans="1:12" ht="10.5" customHeight="1">
      <c r="A264" s="255" t="s">
        <v>2325</v>
      </c>
      <c r="B264" s="255" t="s">
        <v>4192</v>
      </c>
      <c r="C264" s="255" t="s">
        <v>4192</v>
      </c>
      <c r="D264" s="255" t="s">
        <v>2181</v>
      </c>
      <c r="E264" s="255" t="s">
        <v>2700</v>
      </c>
      <c r="F264" s="255" t="s">
        <v>3125</v>
      </c>
      <c r="G264" s="255"/>
      <c r="H264" s="255" t="s">
        <v>3411</v>
      </c>
      <c r="I264" s="255" t="s">
        <v>3204</v>
      </c>
      <c r="J264" s="46" t="str">
        <f t="shared" si="8"/>
        <v>TantalumJiangxi Dinghai Tantalum &amp; Niobium Co., Ltd.</v>
      </c>
      <c r="K264" s="46" t="str">
        <f t="shared" si="9"/>
        <v>TantalumJiangxi Dinghai Tantalum &amp; Niobium Co., Ltd.</v>
      </c>
      <c r="L264" s="255"/>
    </row>
    <row r="265" spans="1:12" ht="10.5" customHeight="1">
      <c r="A265" s="255" t="s">
        <v>2325</v>
      </c>
      <c r="B265" s="255" t="s">
        <v>4370</v>
      </c>
      <c r="C265" s="255" t="s">
        <v>4370</v>
      </c>
      <c r="D265" s="255" t="s">
        <v>2181</v>
      </c>
      <c r="E265" s="255" t="s">
        <v>4371</v>
      </c>
      <c r="F265" s="255" t="s">
        <v>3125</v>
      </c>
      <c r="G265" s="255"/>
      <c r="H265" s="255" t="s">
        <v>4372</v>
      </c>
      <c r="I265" s="255" t="s">
        <v>3204</v>
      </c>
      <c r="J265" s="46" t="str">
        <f t="shared" si="8"/>
        <v>TantalumJiangxi Tuohong New Raw Material</v>
      </c>
      <c r="K265" s="46" t="str">
        <f t="shared" si="9"/>
        <v>TantalumJiangxi Tuohong New Raw Material</v>
      </c>
      <c r="L265" s="255"/>
    </row>
    <row r="266" spans="1:12" ht="10.5" customHeight="1">
      <c r="A266" s="255" t="s">
        <v>2325</v>
      </c>
      <c r="B266" s="255" t="s">
        <v>5</v>
      </c>
      <c r="C266" s="255" t="s">
        <v>5</v>
      </c>
      <c r="D266" s="255" t="s">
        <v>2181</v>
      </c>
      <c r="E266" s="255" t="s">
        <v>1346</v>
      </c>
      <c r="F266" s="255" t="s">
        <v>3125</v>
      </c>
      <c r="G266" s="255"/>
      <c r="H266" s="255" t="s">
        <v>3379</v>
      </c>
      <c r="I266" s="255" t="s">
        <v>3204</v>
      </c>
      <c r="J266" s="46" t="str">
        <f t="shared" si="8"/>
        <v>TantalumJiuJiang JinXin Nonferrous Metals Co., Ltd.</v>
      </c>
      <c r="K266" s="46" t="str">
        <f t="shared" si="9"/>
        <v>TantalumJiuJiang JinXin Nonferrous Metals Co., Ltd.</v>
      </c>
      <c r="L266" s="255"/>
    </row>
    <row r="267" spans="1:12" ht="10.5" customHeight="1">
      <c r="A267" s="255" t="s">
        <v>2325</v>
      </c>
      <c r="B267" s="255" t="s">
        <v>64</v>
      </c>
      <c r="C267" s="255" t="s">
        <v>64</v>
      </c>
      <c r="D267" s="255" t="s">
        <v>2181</v>
      </c>
      <c r="E267" s="255" t="s">
        <v>1347</v>
      </c>
      <c r="F267" s="255" t="s">
        <v>3125</v>
      </c>
      <c r="G267" s="255"/>
      <c r="H267" s="255" t="s">
        <v>3379</v>
      </c>
      <c r="I267" s="255" t="s">
        <v>3204</v>
      </c>
      <c r="J267" s="46" t="str">
        <f t="shared" si="8"/>
        <v>TantalumJiujiang Tanbre Co., Ltd.</v>
      </c>
      <c r="K267" s="46" t="str">
        <f t="shared" si="9"/>
        <v>TantalumJiujiang Tanbre Co., Ltd.</v>
      </c>
      <c r="L267" s="255"/>
    </row>
    <row r="268" spans="1:12" ht="10.5" customHeight="1">
      <c r="A268" s="255" t="s">
        <v>2325</v>
      </c>
      <c r="B268" s="255" t="s">
        <v>4189</v>
      </c>
      <c r="C268" s="255" t="s">
        <v>4189</v>
      </c>
      <c r="D268" s="255" t="s">
        <v>2181</v>
      </c>
      <c r="E268" s="255" t="s">
        <v>2701</v>
      </c>
      <c r="F268" s="255" t="s">
        <v>3125</v>
      </c>
      <c r="G268" s="255"/>
      <c r="H268" s="255" t="s">
        <v>3379</v>
      </c>
      <c r="I268" s="255" t="s">
        <v>3204</v>
      </c>
      <c r="J268" s="46" t="str">
        <f t="shared" si="8"/>
        <v>TantalumJiujiang Zhongao Tantalum &amp; Niobium Co., Ltd.</v>
      </c>
      <c r="K268" s="46" t="str">
        <f t="shared" si="9"/>
        <v>TantalumJiujiang Zhongao Tantalum &amp; Niobium Co., Ltd.</v>
      </c>
      <c r="L268" s="255"/>
    </row>
    <row r="269" spans="1:12" ht="10.5" customHeight="1">
      <c r="A269" s="255" t="s">
        <v>2325</v>
      </c>
      <c r="B269" s="255" t="s">
        <v>2751</v>
      </c>
      <c r="C269" s="255" t="s">
        <v>2751</v>
      </c>
      <c r="D269" s="255" t="s">
        <v>2275</v>
      </c>
      <c r="E269" s="255" t="s">
        <v>2752</v>
      </c>
      <c r="F269" s="255" t="s">
        <v>3125</v>
      </c>
      <c r="G269" s="255"/>
      <c r="H269" s="255" t="s">
        <v>3412</v>
      </c>
      <c r="I269" s="255" t="s">
        <v>3413</v>
      </c>
      <c r="J269" s="46" t="str">
        <f t="shared" si="8"/>
        <v>TantalumKEMET Blue Metals</v>
      </c>
      <c r="K269" s="46" t="str">
        <f t="shared" si="9"/>
        <v>TantalumKEMET Blue Metals</v>
      </c>
      <c r="L269" s="255"/>
    </row>
    <row r="270" spans="1:12" ht="10.5" customHeight="1">
      <c r="A270" s="255" t="s">
        <v>2325</v>
      </c>
      <c r="B270" s="255" t="s">
        <v>2768</v>
      </c>
      <c r="C270" s="255" t="s">
        <v>2768</v>
      </c>
      <c r="D270" s="255" t="s">
        <v>1759</v>
      </c>
      <c r="E270" s="255" t="s">
        <v>2769</v>
      </c>
      <c r="F270" s="255" t="s">
        <v>3125</v>
      </c>
      <c r="G270" s="255"/>
      <c r="H270" s="255" t="s">
        <v>3430</v>
      </c>
      <c r="I270" s="255" t="s">
        <v>3431</v>
      </c>
      <c r="J270" s="46" t="str">
        <f t="shared" si="8"/>
        <v>TantalumKEMET Blue Powder</v>
      </c>
      <c r="K270" s="46" t="str">
        <f t="shared" si="9"/>
        <v>TantalumKEMET Blue Powder</v>
      </c>
      <c r="L270" s="255"/>
    </row>
    <row r="271" spans="1:12" ht="10.5" customHeight="1">
      <c r="A271" s="255" t="s">
        <v>2325</v>
      </c>
      <c r="B271" s="255" t="s">
        <v>4157</v>
      </c>
      <c r="C271" s="255" t="s">
        <v>4157</v>
      </c>
      <c r="D271" s="255" t="s">
        <v>2181</v>
      </c>
      <c r="E271" s="255" t="s">
        <v>1348</v>
      </c>
      <c r="F271" s="255" t="s">
        <v>3125</v>
      </c>
      <c r="G271" s="255"/>
      <c r="H271" s="255" t="s">
        <v>3380</v>
      </c>
      <c r="I271" s="255" t="s">
        <v>3204</v>
      </c>
      <c r="J271" s="46" t="str">
        <f t="shared" si="8"/>
        <v>TantalumKing-Tan Tantalum Industry Ltd.</v>
      </c>
      <c r="K271" s="46" t="str">
        <f t="shared" si="9"/>
        <v>TantalumKing-Tan Tantalum Industry Ltd.</v>
      </c>
      <c r="L271" s="255"/>
    </row>
    <row r="272" spans="1:12" ht="10.5" customHeight="1">
      <c r="A272" s="255" t="s">
        <v>2325</v>
      </c>
      <c r="B272" s="255" t="s">
        <v>65</v>
      </c>
      <c r="C272" s="255" t="s">
        <v>65</v>
      </c>
      <c r="D272" s="255" t="s">
        <v>2170</v>
      </c>
      <c r="E272" s="255" t="s">
        <v>1349</v>
      </c>
      <c r="F272" s="255" t="s">
        <v>3125</v>
      </c>
      <c r="G272" s="255"/>
      <c r="H272" s="255" t="s">
        <v>3381</v>
      </c>
      <c r="I272" s="255" t="s">
        <v>3136</v>
      </c>
      <c r="J272" s="46" t="str">
        <f t="shared" si="8"/>
        <v>TantalumLSM Brasil S.A.</v>
      </c>
      <c r="K272" s="46" t="str">
        <f t="shared" si="9"/>
        <v>TantalumLSM Brasil S.A.</v>
      </c>
      <c r="L272" s="255"/>
    </row>
    <row r="273" spans="1:12" ht="10.5" customHeight="1">
      <c r="A273" s="255" t="s">
        <v>2325</v>
      </c>
      <c r="B273" s="255" t="s">
        <v>3384</v>
      </c>
      <c r="C273" s="255" t="s">
        <v>4164</v>
      </c>
      <c r="D273" s="255" t="s">
        <v>2239</v>
      </c>
      <c r="E273" s="255" t="s">
        <v>1350</v>
      </c>
      <c r="F273" s="255" t="s">
        <v>3125</v>
      </c>
      <c r="G273" s="255"/>
      <c r="H273" s="255" t="s">
        <v>3382</v>
      </c>
      <c r="I273" s="255" t="s">
        <v>3383</v>
      </c>
      <c r="J273" s="46" t="str">
        <f t="shared" si="8"/>
        <v>TantalumMetallurgical Products India Pvt. Ltd. (MPIL)</v>
      </c>
      <c r="K273" s="46" t="str">
        <f t="shared" si="9"/>
        <v>TantalumMetallurgical Products India Pvt. Ltd. (MPIL)</v>
      </c>
      <c r="L273" s="255"/>
    </row>
    <row r="274" spans="1:12" ht="10.5" customHeight="1">
      <c r="A274" s="255" t="s">
        <v>2325</v>
      </c>
      <c r="B274" s="255" t="s">
        <v>4164</v>
      </c>
      <c r="C274" s="255" t="s">
        <v>4164</v>
      </c>
      <c r="D274" s="255" t="s">
        <v>2239</v>
      </c>
      <c r="E274" s="255" t="s">
        <v>1350</v>
      </c>
      <c r="F274" s="255" t="s">
        <v>3125</v>
      </c>
      <c r="G274" s="255"/>
      <c r="H274" s="255" t="s">
        <v>3382</v>
      </c>
      <c r="I274" s="255" t="s">
        <v>3383</v>
      </c>
      <c r="J274" s="46" t="str">
        <f t="shared" si="8"/>
        <v>TantalumMetallurgical Products India Pvt., Ltd.</v>
      </c>
      <c r="K274" s="46" t="str">
        <f t="shared" si="9"/>
        <v>TantalumMetallurgical Products India Pvt., Ltd.</v>
      </c>
      <c r="L274" s="255"/>
    </row>
    <row r="275" spans="1:12" ht="10.5" customHeight="1">
      <c r="A275" s="255" t="s">
        <v>2325</v>
      </c>
      <c r="B275" s="255" t="s">
        <v>1953</v>
      </c>
      <c r="C275" s="255" t="s">
        <v>1953</v>
      </c>
      <c r="D275" s="255" t="s">
        <v>2170</v>
      </c>
      <c r="E275" s="255" t="s">
        <v>1351</v>
      </c>
      <c r="F275" s="255" t="s">
        <v>3125</v>
      </c>
      <c r="G275" s="255"/>
      <c r="H275" s="255" t="s">
        <v>3385</v>
      </c>
      <c r="I275" s="255" t="s">
        <v>3386</v>
      </c>
      <c r="J275" s="46" t="str">
        <f t="shared" si="8"/>
        <v>TantalumMineração Taboca S.A.</v>
      </c>
      <c r="K275" s="46" t="str">
        <f t="shared" si="9"/>
        <v>TantalumMineração Taboca S.A.</v>
      </c>
      <c r="L275" s="255"/>
    </row>
    <row r="276" spans="1:12" ht="10.5" customHeight="1">
      <c r="A276" s="255" t="s">
        <v>2325</v>
      </c>
      <c r="B276" s="255" t="s">
        <v>2308</v>
      </c>
      <c r="C276" s="255" t="s">
        <v>2308</v>
      </c>
      <c r="D276" s="255" t="s">
        <v>2249</v>
      </c>
      <c r="E276" s="255" t="s">
        <v>1352</v>
      </c>
      <c r="F276" s="255" t="s">
        <v>3125</v>
      </c>
      <c r="G276" s="255"/>
      <c r="H276" s="255" t="s">
        <v>3387</v>
      </c>
      <c r="I276" s="255" t="s">
        <v>3388</v>
      </c>
      <c r="J276" s="46" t="str">
        <f t="shared" si="8"/>
        <v>TantalumMitsui Mining &amp; Smelting</v>
      </c>
      <c r="K276" s="46" t="str">
        <f t="shared" si="9"/>
        <v>TantalumMitsui Mining &amp; Smelting</v>
      </c>
      <c r="L276" s="255"/>
    </row>
    <row r="277" spans="1:12" ht="10.5" customHeight="1">
      <c r="A277" s="255" t="s">
        <v>2325</v>
      </c>
      <c r="B277" s="255" t="s">
        <v>66</v>
      </c>
      <c r="C277" s="255" t="s">
        <v>66</v>
      </c>
      <c r="D277" s="255" t="s">
        <v>2206</v>
      </c>
      <c r="E277" s="255" t="s">
        <v>1353</v>
      </c>
      <c r="F277" s="255" t="s">
        <v>3125</v>
      </c>
      <c r="G277" s="255"/>
      <c r="H277" s="255" t="s">
        <v>3389</v>
      </c>
      <c r="I277" s="255" t="s">
        <v>3390</v>
      </c>
      <c r="J277" s="46" t="str">
        <f t="shared" si="8"/>
        <v>TantalumMolycorp Silmet A.S.</v>
      </c>
      <c r="K277" s="46" t="str">
        <f t="shared" si="9"/>
        <v>TantalumMolycorp Silmet A.S.</v>
      </c>
      <c r="L277" s="255"/>
    </row>
    <row r="278" spans="1:12" ht="10.5" customHeight="1">
      <c r="A278" s="255" t="s">
        <v>2325</v>
      </c>
      <c r="B278" s="255" t="s">
        <v>1950</v>
      </c>
      <c r="C278" s="255" t="s">
        <v>1950</v>
      </c>
      <c r="D278" s="255" t="s">
        <v>2181</v>
      </c>
      <c r="E278" s="255" t="s">
        <v>1354</v>
      </c>
      <c r="F278" s="255" t="s">
        <v>3125</v>
      </c>
      <c r="G278" s="255"/>
      <c r="H278" s="255" t="s">
        <v>3391</v>
      </c>
      <c r="I278" s="255" t="s">
        <v>3392</v>
      </c>
      <c r="J278" s="46" t="str">
        <f t="shared" si="8"/>
        <v>TantalumNingxia Orient Tantalum Industry Co., Ltd.</v>
      </c>
      <c r="K278" s="46" t="str">
        <f t="shared" si="9"/>
        <v>TantalumNingxia Orient Tantalum Industry Co., Ltd.</v>
      </c>
      <c r="L278" s="255"/>
    </row>
    <row r="279" spans="1:12" ht="10.5" customHeight="1">
      <c r="A279" s="255" t="s">
        <v>2325</v>
      </c>
      <c r="B279" s="255" t="s">
        <v>2753</v>
      </c>
      <c r="C279" s="255" t="s">
        <v>2753</v>
      </c>
      <c r="D279" s="255" t="s">
        <v>2155</v>
      </c>
      <c r="E279" s="255" t="s">
        <v>2754</v>
      </c>
      <c r="F279" s="255" t="s">
        <v>3125</v>
      </c>
      <c r="G279" s="255"/>
      <c r="H279" s="255" t="s">
        <v>3414</v>
      </c>
      <c r="I279" s="255" t="s">
        <v>3415</v>
      </c>
      <c r="J279" s="46" t="str">
        <f t="shared" si="8"/>
        <v>TantalumPlansee SE Liezen</v>
      </c>
      <c r="K279" s="46" t="str">
        <f t="shared" si="9"/>
        <v>TantalumPlansee SE Liezen</v>
      </c>
      <c r="L279" s="255"/>
    </row>
    <row r="280" spans="1:12" ht="10.5" customHeight="1">
      <c r="A280" s="255" t="s">
        <v>2325</v>
      </c>
      <c r="B280" s="255" t="s">
        <v>2755</v>
      </c>
      <c r="C280" s="255" t="s">
        <v>2755</v>
      </c>
      <c r="D280" s="255" t="s">
        <v>2155</v>
      </c>
      <c r="E280" s="255" t="s">
        <v>2756</v>
      </c>
      <c r="F280" s="255" t="s">
        <v>3125</v>
      </c>
      <c r="G280" s="255"/>
      <c r="H280" s="255" t="s">
        <v>3426</v>
      </c>
      <c r="I280" s="255" t="s">
        <v>3427</v>
      </c>
      <c r="J280" s="46" t="str">
        <f t="shared" si="8"/>
        <v>TantalumPlansee SE Reutte</v>
      </c>
      <c r="K280" s="46" t="str">
        <f t="shared" si="9"/>
        <v>TantalumPlansee SE Reutte</v>
      </c>
      <c r="L280" s="255"/>
    </row>
    <row r="281" spans="1:12" ht="10.5" customHeight="1">
      <c r="A281" s="255" t="s">
        <v>2325</v>
      </c>
      <c r="B281" s="255" t="s">
        <v>4838</v>
      </c>
      <c r="C281" s="255" t="s">
        <v>4838</v>
      </c>
      <c r="D281" s="255" t="s">
        <v>5009</v>
      </c>
      <c r="E281" s="255" t="s">
        <v>4730</v>
      </c>
      <c r="F281" s="255" t="s">
        <v>3125</v>
      </c>
      <c r="G281" s="255"/>
      <c r="H281" s="255" t="s">
        <v>4769</v>
      </c>
      <c r="I281" s="255" t="s">
        <v>4770</v>
      </c>
      <c r="J281" s="46" t="str">
        <f t="shared" si="8"/>
        <v>TantalumPower Resources Ltd.</v>
      </c>
      <c r="K281" s="46" t="str">
        <f t="shared" si="9"/>
        <v>TantalumPower Resources Ltd.</v>
      </c>
      <c r="L281" s="255"/>
    </row>
    <row r="282" spans="1:12" ht="10.5" customHeight="1">
      <c r="A282" s="255" t="s">
        <v>2325</v>
      </c>
      <c r="B282" s="255" t="s">
        <v>1467</v>
      </c>
      <c r="C282" s="255" t="s">
        <v>1467</v>
      </c>
      <c r="D282" s="255" t="s">
        <v>1759</v>
      </c>
      <c r="E282" s="255" t="s">
        <v>1355</v>
      </c>
      <c r="F282" s="255" t="s">
        <v>3125</v>
      </c>
      <c r="G282" s="255"/>
      <c r="H282" s="255" t="s">
        <v>3393</v>
      </c>
      <c r="I282" s="255" t="s">
        <v>3394</v>
      </c>
      <c r="J282" s="46" t="str">
        <f t="shared" si="8"/>
        <v>TantalumQuantumClean</v>
      </c>
      <c r="K282" s="46" t="str">
        <f t="shared" si="9"/>
        <v>TantalumQuantumClean</v>
      </c>
      <c r="L282" s="255"/>
    </row>
    <row r="283" spans="1:12" ht="10.5" customHeight="1">
      <c r="A283" s="255" t="s">
        <v>2325</v>
      </c>
      <c r="B283" s="255" t="s">
        <v>4294</v>
      </c>
      <c r="C283" s="255" t="s">
        <v>4294</v>
      </c>
      <c r="D283" s="255" t="s">
        <v>2170</v>
      </c>
      <c r="E283" s="255" t="s">
        <v>3435</v>
      </c>
      <c r="F283" s="255" t="s">
        <v>3125</v>
      </c>
      <c r="G283" s="255"/>
      <c r="H283" s="255" t="s">
        <v>3381</v>
      </c>
      <c r="I283" s="255" t="s">
        <v>3436</v>
      </c>
      <c r="J283" s="46" t="str">
        <f t="shared" si="8"/>
        <v>TantalumResind Indústria e Comércio Ltda.</v>
      </c>
      <c r="K283" s="46" t="str">
        <f t="shared" si="9"/>
        <v>TantalumResind Indústria e Comércio Ltda.</v>
      </c>
      <c r="L283" s="255"/>
    </row>
    <row r="284" spans="1:12" ht="10.5" customHeight="1">
      <c r="A284" s="255" t="s">
        <v>2325</v>
      </c>
      <c r="B284" s="255" t="s">
        <v>2311</v>
      </c>
      <c r="C284" s="255" t="s">
        <v>4172</v>
      </c>
      <c r="D284" s="255" t="s">
        <v>2181</v>
      </c>
      <c r="E284" s="255" t="s">
        <v>1356</v>
      </c>
      <c r="F284" s="255" t="s">
        <v>3125</v>
      </c>
      <c r="G284" s="255"/>
      <c r="H284" s="255" t="s">
        <v>3395</v>
      </c>
      <c r="I284" s="255" t="s">
        <v>3186</v>
      </c>
      <c r="J284" s="46" t="str">
        <f t="shared" si="8"/>
        <v>TantalumRFH</v>
      </c>
      <c r="K284" s="46" t="str">
        <f t="shared" si="9"/>
        <v>TantalumRFH</v>
      </c>
      <c r="L284" s="255"/>
    </row>
    <row r="285" spans="1:12" ht="10.5" customHeight="1">
      <c r="A285" s="255" t="s">
        <v>2325</v>
      </c>
      <c r="B285" s="255" t="s">
        <v>52</v>
      </c>
      <c r="C285" s="255" t="s">
        <v>4172</v>
      </c>
      <c r="D285" s="255" t="s">
        <v>2181</v>
      </c>
      <c r="E285" s="255" t="s">
        <v>1356</v>
      </c>
      <c r="F285" s="255" t="s">
        <v>3125</v>
      </c>
      <c r="G285" s="255"/>
      <c r="H285" s="255" t="s">
        <v>3395</v>
      </c>
      <c r="I285" s="255" t="s">
        <v>3186</v>
      </c>
      <c r="J285" s="46" t="str">
        <f t="shared" si="8"/>
        <v>TantalumRFH (Yanling Jincheng Tantalum &amp; Niobium Co., Ltd)</v>
      </c>
      <c r="K285" s="46" t="str">
        <f t="shared" si="9"/>
        <v>TantalumRFH (Yanling Jincheng Tantalum &amp; Niobium Co., Ltd)</v>
      </c>
      <c r="L285" s="255"/>
    </row>
    <row r="286" spans="1:12" ht="10.5" customHeight="1">
      <c r="A286" s="255" t="s">
        <v>2325</v>
      </c>
      <c r="B286" s="255" t="s">
        <v>4172</v>
      </c>
      <c r="C286" s="255" t="s">
        <v>4172</v>
      </c>
      <c r="D286" s="255" t="s">
        <v>2181</v>
      </c>
      <c r="E286" s="255" t="s">
        <v>1356</v>
      </c>
      <c r="F286" s="255" t="s">
        <v>3125</v>
      </c>
      <c r="G286" s="255"/>
      <c r="H286" s="255" t="s">
        <v>3395</v>
      </c>
      <c r="I286" s="255" t="s">
        <v>3186</v>
      </c>
      <c r="J286" s="46" t="str">
        <f t="shared" si="8"/>
        <v>TantalumRFH Tantalum Smeltry Co., Ltd.</v>
      </c>
      <c r="K286" s="46" t="str">
        <f t="shared" si="9"/>
        <v>TantalumRFH Tantalum Smeltry Co., Ltd.</v>
      </c>
      <c r="L286" s="255"/>
    </row>
    <row r="287" spans="1:12" ht="10.5" customHeight="1">
      <c r="A287" s="255" t="s">
        <v>2325</v>
      </c>
      <c r="B287" s="255" t="s">
        <v>3396</v>
      </c>
      <c r="C287" s="255" t="s">
        <v>2658</v>
      </c>
      <c r="D287" s="255" t="s">
        <v>1717</v>
      </c>
      <c r="E287" s="255" t="s">
        <v>1357</v>
      </c>
      <c r="F287" s="255" t="s">
        <v>3125</v>
      </c>
      <c r="G287" s="255"/>
      <c r="H287" s="255" t="s">
        <v>3396</v>
      </c>
      <c r="I287" s="255" t="s">
        <v>3397</v>
      </c>
      <c r="J287" s="46" t="str">
        <f t="shared" si="8"/>
        <v>TantalumSolikamsk</v>
      </c>
      <c r="K287" s="46" t="str">
        <f t="shared" si="9"/>
        <v>TantalumSolikamsk</v>
      </c>
      <c r="L287" s="255"/>
    </row>
    <row r="288" spans="1:12" ht="10.5" customHeight="1">
      <c r="A288" s="255" t="s">
        <v>2325</v>
      </c>
      <c r="B288" s="255" t="s">
        <v>2658</v>
      </c>
      <c r="C288" s="255" t="s">
        <v>2658</v>
      </c>
      <c r="D288" s="255" t="s">
        <v>1717</v>
      </c>
      <c r="E288" s="255" t="s">
        <v>1357</v>
      </c>
      <c r="F288" s="255" t="s">
        <v>3125</v>
      </c>
      <c r="G288" s="255"/>
      <c r="H288" s="255" t="s">
        <v>3396</v>
      </c>
      <c r="I288" s="255" t="s">
        <v>3397</v>
      </c>
      <c r="J288" s="46" t="str">
        <f t="shared" si="8"/>
        <v>TantalumSolikamsk Magnesium Works OAO</v>
      </c>
      <c r="K288" s="46" t="str">
        <f t="shared" si="9"/>
        <v>TantalumSolikamsk Magnesium Works OAO</v>
      </c>
      <c r="L288" s="255"/>
    </row>
    <row r="289" spans="1:12" ht="10.5" customHeight="1">
      <c r="A289" s="255" t="s">
        <v>2325</v>
      </c>
      <c r="B289" s="255" t="s">
        <v>2309</v>
      </c>
      <c r="C289" s="255" t="s">
        <v>2658</v>
      </c>
      <c r="D289" s="255" t="s">
        <v>1717</v>
      </c>
      <c r="E289" s="255" t="s">
        <v>1357</v>
      </c>
      <c r="F289" s="255" t="s">
        <v>3125</v>
      </c>
      <c r="G289" s="255"/>
      <c r="H289" s="255" t="s">
        <v>3396</v>
      </c>
      <c r="I289" s="255" t="s">
        <v>3397</v>
      </c>
      <c r="J289" s="46" t="str">
        <f t="shared" si="8"/>
        <v>TantalumSolikamsk Metal Works</v>
      </c>
      <c r="K289" s="46" t="str">
        <f t="shared" si="9"/>
        <v>TantalumSolikamsk Metal Works</v>
      </c>
      <c r="L289" s="255"/>
    </row>
    <row r="290" spans="1:12" ht="10.5" customHeight="1">
      <c r="A290" s="255" t="s">
        <v>2325</v>
      </c>
      <c r="B290" s="255" t="s">
        <v>1468</v>
      </c>
      <c r="C290" s="255" t="s">
        <v>1468</v>
      </c>
      <c r="D290" s="255" t="s">
        <v>2249</v>
      </c>
      <c r="E290" s="255" t="s">
        <v>1358</v>
      </c>
      <c r="F290" s="255" t="s">
        <v>3125</v>
      </c>
      <c r="G290" s="255"/>
      <c r="H290" s="255" t="s">
        <v>3398</v>
      </c>
      <c r="I290" s="255" t="s">
        <v>3140</v>
      </c>
      <c r="J290" s="46" t="str">
        <f t="shared" si="8"/>
        <v>TantalumTaki Chemicals</v>
      </c>
      <c r="K290" s="46" t="str">
        <f t="shared" si="9"/>
        <v>TantalumTaki Chemicals</v>
      </c>
      <c r="L290" s="255"/>
    </row>
    <row r="291" spans="1:12" ht="10.5" customHeight="1">
      <c r="A291" s="255" t="s">
        <v>2325</v>
      </c>
      <c r="B291" s="255" t="s">
        <v>3399</v>
      </c>
      <c r="C291" s="255" t="s">
        <v>3399</v>
      </c>
      <c r="D291" s="255" t="s">
        <v>1759</v>
      </c>
      <c r="E291" s="255" t="s">
        <v>1359</v>
      </c>
      <c r="F291" s="255" t="s">
        <v>3125</v>
      </c>
      <c r="G291" s="255"/>
      <c r="H291" s="255" t="s">
        <v>3400</v>
      </c>
      <c r="I291" s="255" t="s">
        <v>3401</v>
      </c>
      <c r="J291" s="46" t="str">
        <f t="shared" si="8"/>
        <v>TantalumTelex Metals</v>
      </c>
      <c r="K291" s="46" t="str">
        <f t="shared" si="9"/>
        <v>TantalumTelex Metals</v>
      </c>
      <c r="L291" s="255"/>
    </row>
    <row r="292" spans="1:12" ht="10.5" customHeight="1">
      <c r="A292" s="255" t="s">
        <v>2325</v>
      </c>
      <c r="B292" s="255" t="s">
        <v>3432</v>
      </c>
      <c r="C292" s="255" t="s">
        <v>3432</v>
      </c>
      <c r="D292" s="255" t="s">
        <v>1759</v>
      </c>
      <c r="E292" s="255" t="s">
        <v>3433</v>
      </c>
      <c r="F292" s="255" t="s">
        <v>3125</v>
      </c>
      <c r="G292" s="255"/>
      <c r="H292" s="255" t="s">
        <v>3434</v>
      </c>
      <c r="I292" s="255" t="s">
        <v>3401</v>
      </c>
      <c r="J292" s="46" t="str">
        <f t="shared" si="8"/>
        <v>TantalumTranzact, Inc.</v>
      </c>
      <c r="K292" s="46" t="str">
        <f t="shared" si="9"/>
        <v>TantalumTranzact, Inc.</v>
      </c>
      <c r="L292" s="255"/>
    </row>
    <row r="293" spans="1:12" ht="10.5" customHeight="1">
      <c r="A293" s="255" t="s">
        <v>2325</v>
      </c>
      <c r="B293" s="255" t="s">
        <v>4354</v>
      </c>
      <c r="C293" s="255" t="s">
        <v>3402</v>
      </c>
      <c r="D293" s="255" t="s">
        <v>2250</v>
      </c>
      <c r="E293" s="255" t="s">
        <v>1360</v>
      </c>
      <c r="F293" s="255" t="s">
        <v>3125</v>
      </c>
      <c r="G293" s="255"/>
      <c r="H293" s="255" t="s">
        <v>3214</v>
      </c>
      <c r="I293" s="255" t="s">
        <v>3403</v>
      </c>
      <c r="J293" s="46" t="str">
        <f t="shared" si="8"/>
        <v>TantalumULBA</v>
      </c>
      <c r="K293" s="46" t="str">
        <f t="shared" si="9"/>
        <v>TantalumULBA</v>
      </c>
      <c r="L293" s="255"/>
    </row>
    <row r="294" spans="1:12" ht="10.5" customHeight="1">
      <c r="A294" s="255" t="s">
        <v>2325</v>
      </c>
      <c r="B294" s="255" t="s">
        <v>3402</v>
      </c>
      <c r="C294" s="255" t="s">
        <v>3402</v>
      </c>
      <c r="D294" s="255" t="s">
        <v>2250</v>
      </c>
      <c r="E294" s="255" t="s">
        <v>1360</v>
      </c>
      <c r="F294" s="255" t="s">
        <v>3125</v>
      </c>
      <c r="G294" s="255"/>
      <c r="H294" s="255" t="s">
        <v>3214</v>
      </c>
      <c r="I294" s="255" t="s">
        <v>3403</v>
      </c>
      <c r="J294" s="46" t="str">
        <f t="shared" si="8"/>
        <v>TantalumUlba Metallurgical Plant JSC</v>
      </c>
      <c r="K294" s="46" t="str">
        <f t="shared" si="9"/>
        <v>TantalumUlba Metallurgical Plant JSC</v>
      </c>
      <c r="L294" s="255"/>
    </row>
    <row r="295" spans="1:12" ht="10.5" customHeight="1">
      <c r="A295" s="255" t="s">
        <v>2325</v>
      </c>
      <c r="B295" s="255" t="s">
        <v>4190</v>
      </c>
      <c r="C295" s="255" t="s">
        <v>4190</v>
      </c>
      <c r="D295" s="255" t="s">
        <v>2181</v>
      </c>
      <c r="E295" s="255" t="s">
        <v>2703</v>
      </c>
      <c r="F295" s="255" t="s">
        <v>3125</v>
      </c>
      <c r="G295" s="255"/>
      <c r="H295" s="255" t="s">
        <v>3410</v>
      </c>
      <c r="I295" s="255" t="s">
        <v>3335</v>
      </c>
      <c r="J295" s="46" t="str">
        <f t="shared" si="8"/>
        <v>TantalumXinXing HaoRong Electronic Material Co., Ltd.</v>
      </c>
      <c r="K295" s="46" t="str">
        <f t="shared" si="9"/>
        <v>TantalumXinXing HaoRong Electronic Material Co., Ltd.</v>
      </c>
      <c r="L295" s="255"/>
    </row>
    <row r="296" spans="1:12" ht="10.5" customHeight="1">
      <c r="A296" s="255" t="s">
        <v>2325</v>
      </c>
      <c r="B296" s="255" t="s">
        <v>4185</v>
      </c>
      <c r="C296" s="255" t="s">
        <v>4185</v>
      </c>
      <c r="D296" s="255" t="s">
        <v>2181</v>
      </c>
      <c r="E296" s="255" t="s">
        <v>78</v>
      </c>
      <c r="F296" s="255" t="s">
        <v>3125</v>
      </c>
      <c r="G296" s="255"/>
      <c r="H296" s="255" t="s">
        <v>4731</v>
      </c>
      <c r="I296" s="255" t="s">
        <v>3204</v>
      </c>
      <c r="J296" s="46" t="str">
        <f t="shared" si="8"/>
        <v>TantalumYichun Jin Yang Rare Metal Co., Ltd.</v>
      </c>
      <c r="K296" s="46" t="str">
        <f t="shared" si="9"/>
        <v>TantalumYichun Jin Yang Rare Metal Co., Ltd.</v>
      </c>
      <c r="L296" s="255"/>
    </row>
    <row r="297" spans="1:12" ht="10.5" customHeight="1">
      <c r="A297" s="255" t="s">
        <v>2325</v>
      </c>
      <c r="B297" s="255" t="s">
        <v>4302</v>
      </c>
      <c r="C297" s="255" t="s">
        <v>2370</v>
      </c>
      <c r="D297" s="255" t="s">
        <v>2181</v>
      </c>
      <c r="E297" s="255" t="s">
        <v>1340</v>
      </c>
      <c r="F297" s="255" t="s">
        <v>3125</v>
      </c>
      <c r="G297" s="255"/>
      <c r="H297" s="255" t="s">
        <v>3372</v>
      </c>
      <c r="I297" s="255" t="s">
        <v>3335</v>
      </c>
      <c r="J297" s="46" t="str">
        <f t="shared" si="8"/>
        <v>TantalumZhaoqing Duoluoshan Non-ferrous Metals Co.,Ltd</v>
      </c>
      <c r="K297" s="46" t="str">
        <f t="shared" si="9"/>
        <v>TantalumZhaoqing Duoluoshan Non-ferrous Metals Co.,Ltd</v>
      </c>
      <c r="L297" s="255"/>
    </row>
    <row r="298" spans="1:12" ht="10.5" customHeight="1">
      <c r="A298" s="255" t="s">
        <v>2325</v>
      </c>
      <c r="B298" s="255" t="s">
        <v>4184</v>
      </c>
      <c r="C298" s="255" t="s">
        <v>4184</v>
      </c>
      <c r="D298" s="255" t="s">
        <v>2181</v>
      </c>
      <c r="E298" s="255" t="s">
        <v>1361</v>
      </c>
      <c r="F298" s="255" t="s">
        <v>3125</v>
      </c>
      <c r="G298" s="255"/>
      <c r="H298" s="255" t="s">
        <v>3395</v>
      </c>
      <c r="I298" s="255" t="s">
        <v>3186</v>
      </c>
      <c r="J298" s="46" t="str">
        <f t="shared" si="8"/>
        <v>TantalumZhuzhou Cemented Carbide</v>
      </c>
      <c r="K298" s="46" t="str">
        <f t="shared" si="9"/>
        <v>TantalumZhuzhou Cemented Carbide</v>
      </c>
      <c r="L298" s="255"/>
    </row>
    <row r="299" spans="1:12" ht="10.5" customHeight="1">
      <c r="A299" s="255" t="s">
        <v>2325</v>
      </c>
      <c r="B299" s="255" t="s">
        <v>3404</v>
      </c>
      <c r="C299" s="255" t="s">
        <v>4184</v>
      </c>
      <c r="D299" s="255" t="s">
        <v>2181</v>
      </c>
      <c r="E299" s="255" t="s">
        <v>1361</v>
      </c>
      <c r="F299" s="255" t="s">
        <v>3125</v>
      </c>
      <c r="G299" s="255"/>
      <c r="H299" s="255" t="s">
        <v>3395</v>
      </c>
      <c r="I299" s="255" t="s">
        <v>3186</v>
      </c>
      <c r="J299" s="46" t="str">
        <f t="shared" si="8"/>
        <v>TantalumZhuzhou Cemented Carbide Group</v>
      </c>
      <c r="K299" s="46" t="str">
        <f t="shared" si="9"/>
        <v>TantalumZhuzhou Cemented Carbide Group</v>
      </c>
      <c r="L299" s="255"/>
    </row>
    <row r="300" spans="1:12" ht="10.5" customHeight="1">
      <c r="A300" s="255" t="s">
        <v>2325</v>
      </c>
      <c r="B300" s="255" t="s">
        <v>3405</v>
      </c>
      <c r="C300" s="255" t="s">
        <v>4184</v>
      </c>
      <c r="D300" s="255" t="s">
        <v>2181</v>
      </c>
      <c r="E300" s="255" t="s">
        <v>1361</v>
      </c>
      <c r="F300" s="255" t="s">
        <v>3125</v>
      </c>
      <c r="G300" s="255"/>
      <c r="H300" s="255" t="s">
        <v>3395</v>
      </c>
      <c r="I300" s="255" t="s">
        <v>3186</v>
      </c>
      <c r="J300" s="46" t="str">
        <f t="shared" si="8"/>
        <v>TantalumZhuzhou Cemented Carbide Works Imp. &amp; Exp. Co.</v>
      </c>
      <c r="K300" s="46" t="str">
        <f t="shared" si="9"/>
        <v>TantalumZhuzhou Cemented Carbide Works Imp. &amp; Exp. Co.</v>
      </c>
      <c r="L300" s="255"/>
    </row>
    <row r="301" spans="1:12" ht="10.5" customHeight="1">
      <c r="A301" s="255" t="s">
        <v>2325</v>
      </c>
      <c r="B301" s="255" t="s">
        <v>3604</v>
      </c>
      <c r="C301" s="255"/>
      <c r="D301" s="255"/>
      <c r="E301" s="255"/>
      <c r="F301" s="255"/>
      <c r="G301" s="255"/>
      <c r="H301" s="255"/>
      <c r="I301" s="255"/>
      <c r="J301" s="46" t="str">
        <f t="shared" si="8"/>
        <v>TantalumSmelter not listed</v>
      </c>
      <c r="K301" s="46" t="str">
        <f t="shared" si="9"/>
        <v>TantalumSmelter not listed</v>
      </c>
      <c r="L301" s="255"/>
    </row>
    <row r="302" spans="1:12" ht="10.5" customHeight="1">
      <c r="A302" s="255" t="s">
        <v>2325</v>
      </c>
      <c r="B302" s="255" t="s">
        <v>2573</v>
      </c>
      <c r="C302" s="255" t="s">
        <v>926</v>
      </c>
      <c r="D302" s="255" t="s">
        <v>926</v>
      </c>
      <c r="E302" s="255"/>
      <c r="F302" s="255"/>
      <c r="G302" s="255"/>
      <c r="H302" s="255"/>
      <c r="I302" s="255"/>
      <c r="J302" s="46" t="str">
        <f t="shared" si="8"/>
        <v>TantalumSmelter not yet identified</v>
      </c>
      <c r="K302" s="46" t="str">
        <f t="shared" si="9"/>
        <v>TantalumSmelter not yet identified</v>
      </c>
      <c r="L302" s="255"/>
    </row>
    <row r="303" spans="1:12" ht="10.5" customHeight="1">
      <c r="A303" s="255" t="s">
        <v>2324</v>
      </c>
      <c r="B303" s="255" t="s">
        <v>3445</v>
      </c>
      <c r="C303" s="255" t="s">
        <v>67</v>
      </c>
      <c r="D303" s="255" t="s">
        <v>1759</v>
      </c>
      <c r="E303" s="255" t="s">
        <v>1364</v>
      </c>
      <c r="F303" s="255" t="s">
        <v>3125</v>
      </c>
      <c r="G303" s="255"/>
      <c r="H303" s="255" t="s">
        <v>3444</v>
      </c>
      <c r="I303" s="255" t="s">
        <v>3401</v>
      </c>
      <c r="J303" s="46" t="str">
        <f t="shared" si="8"/>
        <v>TinAlent plc</v>
      </c>
      <c r="K303" s="46" t="str">
        <f t="shared" si="9"/>
        <v>TinAlent plc</v>
      </c>
      <c r="L303" s="255"/>
    </row>
    <row r="304" spans="1:12" ht="10.5" customHeight="1">
      <c r="A304" s="255" t="s">
        <v>2324</v>
      </c>
      <c r="B304" s="255" t="s">
        <v>67</v>
      </c>
      <c r="C304" s="255" t="s">
        <v>67</v>
      </c>
      <c r="D304" s="255" t="s">
        <v>1759</v>
      </c>
      <c r="E304" s="255" t="s">
        <v>1364</v>
      </c>
      <c r="F304" s="255" t="s">
        <v>3125</v>
      </c>
      <c r="G304" s="255"/>
      <c r="H304" s="255" t="s">
        <v>3444</v>
      </c>
      <c r="I304" s="255" t="s">
        <v>3401</v>
      </c>
      <c r="J304" s="46" t="str">
        <f t="shared" si="8"/>
        <v>TinAlpha</v>
      </c>
      <c r="K304" s="46" t="str">
        <f t="shared" si="9"/>
        <v>TinAlpha</v>
      </c>
      <c r="L304" s="255"/>
    </row>
    <row r="305" spans="1:12" ht="10.5" customHeight="1">
      <c r="A305" s="255" t="s">
        <v>2324</v>
      </c>
      <c r="B305" s="255" t="s">
        <v>3447</v>
      </c>
      <c r="C305" s="255" t="s">
        <v>67</v>
      </c>
      <c r="D305" s="255" t="s">
        <v>1759</v>
      </c>
      <c r="E305" s="255" t="s">
        <v>1364</v>
      </c>
      <c r="F305" s="255" t="s">
        <v>3125</v>
      </c>
      <c r="G305" s="255"/>
      <c r="H305" s="255" t="s">
        <v>3444</v>
      </c>
      <c r="I305" s="255" t="s">
        <v>3401</v>
      </c>
      <c r="J305" s="46" t="str">
        <f t="shared" si="8"/>
        <v>TinAlpha Metals</v>
      </c>
      <c r="K305" s="46" t="str">
        <f t="shared" si="9"/>
        <v>TinAlpha Metals</v>
      </c>
      <c r="L305" s="255"/>
    </row>
    <row r="306" spans="1:12" ht="10.5" customHeight="1">
      <c r="A306" s="255" t="s">
        <v>2324</v>
      </c>
      <c r="B306" s="255" t="s">
        <v>4303</v>
      </c>
      <c r="C306" s="255" t="s">
        <v>67</v>
      </c>
      <c r="D306" s="255" t="s">
        <v>1759</v>
      </c>
      <c r="E306" s="255" t="s">
        <v>1364</v>
      </c>
      <c r="F306" s="255" t="s">
        <v>3125</v>
      </c>
      <c r="G306" s="255"/>
      <c r="H306" s="255" t="s">
        <v>3444</v>
      </c>
      <c r="I306" s="255" t="s">
        <v>3401</v>
      </c>
      <c r="J306" s="46" t="str">
        <f t="shared" si="8"/>
        <v>TinAlpha Metals Korea Ltd.</v>
      </c>
      <c r="K306" s="46" t="str">
        <f t="shared" si="9"/>
        <v>TinAlpha Metals Korea Ltd.</v>
      </c>
      <c r="L306" s="255"/>
    </row>
    <row r="307" spans="1:12" ht="10.5" customHeight="1">
      <c r="A307" s="255" t="s">
        <v>2324</v>
      </c>
      <c r="B307" s="255" t="s">
        <v>3446</v>
      </c>
      <c r="C307" s="255" t="s">
        <v>67</v>
      </c>
      <c r="D307" s="255" t="s">
        <v>1759</v>
      </c>
      <c r="E307" s="255" t="s">
        <v>1364</v>
      </c>
      <c r="F307" s="255" t="s">
        <v>3125</v>
      </c>
      <c r="G307" s="255"/>
      <c r="H307" s="255" t="s">
        <v>3444</v>
      </c>
      <c r="I307" s="255" t="s">
        <v>3401</v>
      </c>
      <c r="J307" s="46" t="str">
        <f t="shared" si="8"/>
        <v>TinAlpha Metals Taiwan</v>
      </c>
      <c r="K307" s="46" t="str">
        <f t="shared" si="9"/>
        <v>TinAlpha Metals Taiwan</v>
      </c>
      <c r="L307" s="255"/>
    </row>
    <row r="308" spans="1:12" ht="10.5" customHeight="1">
      <c r="A308" s="255" t="s">
        <v>2324</v>
      </c>
      <c r="B308" s="255" t="s">
        <v>4732</v>
      </c>
      <c r="C308" s="255" t="s">
        <v>4732</v>
      </c>
      <c r="D308" s="255" t="s">
        <v>1766</v>
      </c>
      <c r="E308" s="255" t="s">
        <v>4322</v>
      </c>
      <c r="F308" s="255" t="s">
        <v>3125</v>
      </c>
      <c r="G308" s="255"/>
      <c r="H308" s="255" t="s">
        <v>3537</v>
      </c>
      <c r="I308" s="255" t="s">
        <v>3538</v>
      </c>
      <c r="J308" s="46" t="str">
        <f t="shared" si="8"/>
        <v>TinAn Thai Minerals Co., Ltd.</v>
      </c>
      <c r="K308" s="46" t="str">
        <f t="shared" si="9"/>
        <v>TinAn Thai Minerals Co., Ltd.</v>
      </c>
      <c r="L308" s="255"/>
    </row>
    <row r="309" spans="1:12" ht="10.5" customHeight="1">
      <c r="A309" s="255" t="s">
        <v>2324</v>
      </c>
      <c r="B309" s="255" t="s">
        <v>4140</v>
      </c>
      <c r="C309" s="255" t="s">
        <v>4140</v>
      </c>
      <c r="D309" s="255" t="s">
        <v>1766</v>
      </c>
      <c r="E309" s="255" t="s">
        <v>4141</v>
      </c>
      <c r="F309" s="255" t="s">
        <v>3125</v>
      </c>
      <c r="G309" s="255"/>
      <c r="H309" s="255" t="s">
        <v>3537</v>
      </c>
      <c r="I309" s="255" t="s">
        <v>3538</v>
      </c>
      <c r="J309" s="46" t="str">
        <f t="shared" si="8"/>
        <v>TinAn Vinh Joint Stock Mineral Processing Company</v>
      </c>
      <c r="K309" s="46" t="str">
        <f t="shared" si="9"/>
        <v>TinAn Vinh Joint Stock Mineral Processing Company</v>
      </c>
      <c r="L309" s="255"/>
    </row>
    <row r="310" spans="1:12" ht="10.5" customHeight="1">
      <c r="A310" s="255" t="s">
        <v>2324</v>
      </c>
      <c r="B310" s="255" t="s">
        <v>3497</v>
      </c>
      <c r="C310" s="255" t="s">
        <v>2674</v>
      </c>
      <c r="D310" s="255" t="s">
        <v>2238</v>
      </c>
      <c r="E310" s="255" t="s">
        <v>2675</v>
      </c>
      <c r="F310" s="255" t="s">
        <v>3125</v>
      </c>
      <c r="G310" s="255"/>
      <c r="H310" s="255" t="s">
        <v>3453</v>
      </c>
      <c r="I310" s="255" t="s">
        <v>3454</v>
      </c>
      <c r="J310" s="46" t="str">
        <f t="shared" si="8"/>
        <v>TinBML</v>
      </c>
      <c r="K310" s="46" t="str">
        <f t="shared" si="9"/>
        <v>TinBML</v>
      </c>
      <c r="L310" s="255"/>
    </row>
    <row r="311" spans="1:12" ht="10.5" customHeight="1">
      <c r="A311" s="255" t="s">
        <v>2324</v>
      </c>
      <c r="B311" s="255" t="s">
        <v>53</v>
      </c>
      <c r="C311" s="255" t="s">
        <v>1194</v>
      </c>
      <c r="D311" s="255" t="s">
        <v>2238</v>
      </c>
      <c r="E311" s="255" t="s">
        <v>1389</v>
      </c>
      <c r="F311" s="255" t="s">
        <v>3125</v>
      </c>
      <c r="G311" s="255"/>
      <c r="H311" s="255" t="s">
        <v>3457</v>
      </c>
      <c r="I311" s="255" t="s">
        <v>3454</v>
      </c>
      <c r="J311" s="46" t="str">
        <f t="shared" si="8"/>
        <v>TinBrand IMLI</v>
      </c>
      <c r="K311" s="46" t="str">
        <f t="shared" si="9"/>
        <v>TinBrand IMLI</v>
      </c>
      <c r="L311" s="255"/>
    </row>
    <row r="312" spans="1:12" ht="10.5" customHeight="1">
      <c r="A312" s="255" t="s">
        <v>2324</v>
      </c>
      <c r="B312" s="255" t="s">
        <v>3501</v>
      </c>
      <c r="C312" s="255" t="s">
        <v>4169</v>
      </c>
      <c r="D312" s="255" t="s">
        <v>2238</v>
      </c>
      <c r="E312" s="255" t="s">
        <v>1396</v>
      </c>
      <c r="F312" s="255" t="s">
        <v>3125</v>
      </c>
      <c r="G312" s="255"/>
      <c r="H312" s="255" t="s">
        <v>3453</v>
      </c>
      <c r="I312" s="255" t="s">
        <v>3454</v>
      </c>
      <c r="J312" s="46" t="str">
        <f t="shared" si="8"/>
        <v>TinBrand RBT</v>
      </c>
      <c r="K312" s="46" t="str">
        <f t="shared" si="9"/>
        <v>TinBrand RBT</v>
      </c>
      <c r="L312" s="255"/>
    </row>
    <row r="313" spans="1:12" ht="10.5" customHeight="1">
      <c r="A313" s="255" t="s">
        <v>2324</v>
      </c>
      <c r="B313" s="255" t="s">
        <v>4304</v>
      </c>
      <c r="C313" s="255" t="s">
        <v>4183</v>
      </c>
      <c r="D313" s="255" t="s">
        <v>2181</v>
      </c>
      <c r="E313" s="255" t="s">
        <v>1406</v>
      </c>
      <c r="F313" s="255" t="s">
        <v>3125</v>
      </c>
      <c r="G313" s="255"/>
      <c r="H313" s="255" t="s">
        <v>3468</v>
      </c>
      <c r="I313" s="255" t="s">
        <v>3161</v>
      </c>
      <c r="J313" s="46" t="str">
        <f t="shared" si="8"/>
        <v>TinChengfeng Metals Co Pte Ltd</v>
      </c>
      <c r="K313" s="46" t="str">
        <f t="shared" si="9"/>
        <v>TinChengfeng Metals Co Pte Ltd</v>
      </c>
      <c r="L313" s="255"/>
    </row>
    <row r="314" spans="1:12" ht="10.5" customHeight="1">
      <c r="A314" s="255" t="s">
        <v>2324</v>
      </c>
      <c r="B314" s="255" t="s">
        <v>4355</v>
      </c>
      <c r="C314" s="255" t="s">
        <v>4733</v>
      </c>
      <c r="D314" s="255" t="s">
        <v>2181</v>
      </c>
      <c r="E314" s="255" t="s">
        <v>4393</v>
      </c>
      <c r="F314" s="255" t="s">
        <v>3125</v>
      </c>
      <c r="G314" s="255"/>
      <c r="H314" s="255" t="s">
        <v>4845</v>
      </c>
      <c r="I314" s="255" t="s">
        <v>3186</v>
      </c>
      <c r="J314" s="46" t="str">
        <f t="shared" si="8"/>
        <v>TinChenzhou Yun Xiang mining limited liability company</v>
      </c>
      <c r="K314" s="46" t="str">
        <f t="shared" si="9"/>
        <v>TinChenzhou Yun Xiang mining limited liability company</v>
      </c>
      <c r="L314" s="255"/>
    </row>
    <row r="315" spans="1:12" ht="10.5" customHeight="1">
      <c r="A315" s="255" t="s">
        <v>2324</v>
      </c>
      <c r="B315" s="255" t="s">
        <v>4733</v>
      </c>
      <c r="C315" s="255" t="s">
        <v>4733</v>
      </c>
      <c r="D315" s="255" t="s">
        <v>2181</v>
      </c>
      <c r="E315" s="255" t="s">
        <v>4393</v>
      </c>
      <c r="F315" s="255" t="s">
        <v>3125</v>
      </c>
      <c r="G315" s="255"/>
      <c r="H315" s="255" t="s">
        <v>4845</v>
      </c>
      <c r="I315" s="255" t="s">
        <v>3186</v>
      </c>
      <c r="J315" s="46" t="str">
        <f t="shared" si="8"/>
        <v>TinChenzhou Yunxiang Mining and Metallurgy Co., Ltd.</v>
      </c>
      <c r="K315" s="46" t="str">
        <f t="shared" si="9"/>
        <v>TinChenzhou Yunxiang Mining and Metallurgy Co., Ltd.</v>
      </c>
      <c r="L315" s="255"/>
    </row>
    <row r="316" spans="1:12" ht="10.5" customHeight="1">
      <c r="A316" s="255" t="s">
        <v>2324</v>
      </c>
      <c r="B316" s="255" t="s">
        <v>4305</v>
      </c>
      <c r="C316" s="255" t="s">
        <v>3440</v>
      </c>
      <c r="D316" s="255" t="s">
        <v>2181</v>
      </c>
      <c r="E316" s="255" t="s">
        <v>1362</v>
      </c>
      <c r="F316" s="255" t="s">
        <v>3125</v>
      </c>
      <c r="G316" s="255"/>
      <c r="H316" s="255" t="s">
        <v>3406</v>
      </c>
      <c r="I316" s="255" t="s">
        <v>3204</v>
      </c>
      <c r="J316" s="46" t="str">
        <f t="shared" si="8"/>
        <v>TinChina Rare Metal Material Co., Ltd.</v>
      </c>
      <c r="K316" s="46" t="str">
        <f t="shared" si="9"/>
        <v>TinChina Rare Metal Material Co., Ltd.</v>
      </c>
      <c r="L316" s="255"/>
    </row>
    <row r="317" spans="1:12" ht="10.5" customHeight="1">
      <c r="A317" s="255" t="s">
        <v>2324</v>
      </c>
      <c r="B317" s="255" t="s">
        <v>4306</v>
      </c>
      <c r="C317" s="255" t="s">
        <v>2578</v>
      </c>
      <c r="D317" s="255" t="s">
        <v>2181</v>
      </c>
      <c r="E317" s="255" t="s">
        <v>1377</v>
      </c>
      <c r="F317" s="255" t="s">
        <v>3125</v>
      </c>
      <c r="G317" s="255"/>
      <c r="H317" s="255" t="s">
        <v>3476</v>
      </c>
      <c r="I317" s="255" t="s">
        <v>3442</v>
      </c>
      <c r="J317" s="46" t="str">
        <f t="shared" si="8"/>
        <v>TinChina Tin (Hechi)</v>
      </c>
      <c r="K317" s="46" t="str">
        <f t="shared" si="9"/>
        <v>TinChina Tin (Hechi)</v>
      </c>
      <c r="L317" s="255"/>
    </row>
    <row r="318" spans="1:12" ht="10.5" customHeight="1">
      <c r="A318" s="255" t="s">
        <v>2324</v>
      </c>
      <c r="B318" s="255" t="s">
        <v>2578</v>
      </c>
      <c r="C318" s="255" t="s">
        <v>2578</v>
      </c>
      <c r="D318" s="255" t="s">
        <v>2181</v>
      </c>
      <c r="E318" s="255" t="s">
        <v>1377</v>
      </c>
      <c r="F318" s="255" t="s">
        <v>3125</v>
      </c>
      <c r="G318" s="255"/>
      <c r="H318" s="255" t="s">
        <v>3476</v>
      </c>
      <c r="I318" s="255" t="s">
        <v>3442</v>
      </c>
      <c r="J318" s="46" t="str">
        <f t="shared" si="8"/>
        <v>TinChina Tin Group Co., Ltd.</v>
      </c>
      <c r="K318" s="46" t="str">
        <f t="shared" si="9"/>
        <v>TinChina Tin Group Co., Ltd.</v>
      </c>
      <c r="L318" s="255"/>
    </row>
    <row r="319" spans="1:12" ht="10.5" customHeight="1">
      <c r="A319" s="255" t="s">
        <v>2324</v>
      </c>
      <c r="B319" s="255" t="s">
        <v>4307</v>
      </c>
      <c r="C319" s="255" t="s">
        <v>2578</v>
      </c>
      <c r="D319" s="255" t="s">
        <v>2181</v>
      </c>
      <c r="E319" s="255" t="s">
        <v>1377</v>
      </c>
      <c r="F319" s="255" t="s">
        <v>3125</v>
      </c>
      <c r="G319" s="255"/>
      <c r="H319" s="255" t="s">
        <v>3476</v>
      </c>
      <c r="I319" s="255" t="s">
        <v>3442</v>
      </c>
      <c r="J319" s="46" t="str">
        <f t="shared" si="8"/>
        <v>TinChina Tin Lai Ben Smelter Co., Ltd.</v>
      </c>
      <c r="K319" s="46" t="str">
        <f t="shared" si="9"/>
        <v>TinChina Tin Lai Ben Smelter Co., Ltd.</v>
      </c>
      <c r="L319" s="255"/>
    </row>
    <row r="320" spans="1:12" ht="10.5" customHeight="1">
      <c r="A320" s="255" t="s">
        <v>2324</v>
      </c>
      <c r="B320" s="255" t="s">
        <v>54</v>
      </c>
      <c r="C320" s="255" t="s">
        <v>4749</v>
      </c>
      <c r="D320" s="255" t="s">
        <v>2181</v>
      </c>
      <c r="E320" s="255" t="s">
        <v>1407</v>
      </c>
      <c r="F320" s="255" t="s">
        <v>3125</v>
      </c>
      <c r="G320" s="255"/>
      <c r="H320" s="255" t="s">
        <v>3468</v>
      </c>
      <c r="I320" s="255" t="s">
        <v>3161</v>
      </c>
      <c r="J320" s="46" t="str">
        <f t="shared" si="8"/>
        <v>TinChina Yunnan Tin Co Ltd.</v>
      </c>
      <c r="K320" s="46" t="str">
        <f t="shared" si="9"/>
        <v>TinChina Yunnan Tin Co Ltd.</v>
      </c>
      <c r="L320" s="255"/>
    </row>
    <row r="321" spans="1:20" ht="10.5" customHeight="1">
      <c r="A321" s="255" t="s">
        <v>2324</v>
      </c>
      <c r="B321" s="255" t="s">
        <v>4149</v>
      </c>
      <c r="C321" s="255" t="s">
        <v>4149</v>
      </c>
      <c r="D321" s="255" t="s">
        <v>2181</v>
      </c>
      <c r="E321" s="255" t="s">
        <v>1363</v>
      </c>
      <c r="F321" s="255" t="s">
        <v>3125</v>
      </c>
      <c r="G321" s="255"/>
      <c r="H321" s="255" t="s">
        <v>3441</v>
      </c>
      <c r="I321" s="255" t="s">
        <v>3442</v>
      </c>
      <c r="J321" s="46" t="str">
        <f t="shared" si="8"/>
        <v>TinCNMC (Guangxi) PGMA Co., Ltd.</v>
      </c>
      <c r="K321" s="46" t="str">
        <f t="shared" si="9"/>
        <v>TinCNMC (Guangxi) PGMA Co., Ltd.</v>
      </c>
      <c r="L321" s="255"/>
    </row>
    <row r="322" spans="1:20" ht="10.5" customHeight="1">
      <c r="A322" s="255" t="s">
        <v>2324</v>
      </c>
      <c r="B322" s="255" t="s">
        <v>1503</v>
      </c>
      <c r="C322" s="255" t="s">
        <v>67</v>
      </c>
      <c r="D322" s="255" t="s">
        <v>1759</v>
      </c>
      <c r="E322" s="255" t="s">
        <v>1364</v>
      </c>
      <c r="F322" s="255" t="s">
        <v>3125</v>
      </c>
      <c r="G322" s="255"/>
      <c r="H322" s="255" t="s">
        <v>3444</v>
      </c>
      <c r="I322" s="255" t="s">
        <v>3401</v>
      </c>
      <c r="J322" s="46" t="str">
        <f t="shared" si="8"/>
        <v>TinCookson</v>
      </c>
      <c r="K322" s="46" t="str">
        <f t="shared" si="9"/>
        <v>TinCookson</v>
      </c>
      <c r="L322" s="255"/>
    </row>
    <row r="323" spans="1:20" ht="10.5" customHeight="1">
      <c r="A323" s="255" t="s">
        <v>2324</v>
      </c>
      <c r="B323" s="255" t="s">
        <v>3448</v>
      </c>
      <c r="C323" s="255" t="s">
        <v>67</v>
      </c>
      <c r="D323" s="255" t="s">
        <v>1759</v>
      </c>
      <c r="E323" s="255" t="s">
        <v>1364</v>
      </c>
      <c r="F323" s="255" t="s">
        <v>3125</v>
      </c>
      <c r="G323" s="255"/>
      <c r="H323" s="255" t="s">
        <v>3444</v>
      </c>
      <c r="I323" s="255" t="s">
        <v>3401</v>
      </c>
      <c r="J323" s="46" t="str">
        <f t="shared" si="8"/>
        <v>TinCookson (Alpha Metals Taiwan)</v>
      </c>
      <c r="K323" s="46" t="str">
        <f t="shared" si="9"/>
        <v>TinCookson (Alpha Metals Taiwan)</v>
      </c>
      <c r="L323" s="255"/>
    </row>
    <row r="324" spans="1:20" ht="10.5" customHeight="1">
      <c r="A324" s="255" t="s">
        <v>2324</v>
      </c>
      <c r="B324" s="255" t="s">
        <v>3449</v>
      </c>
      <c r="C324" s="255" t="s">
        <v>67</v>
      </c>
      <c r="D324" s="255" t="s">
        <v>1759</v>
      </c>
      <c r="E324" s="255" t="s">
        <v>1364</v>
      </c>
      <c r="F324" s="255" t="s">
        <v>3125</v>
      </c>
      <c r="G324" s="255"/>
      <c r="H324" s="255" t="s">
        <v>3444</v>
      </c>
      <c r="I324" s="255" t="s">
        <v>3401</v>
      </c>
      <c r="J324" s="46" t="str">
        <f t="shared" si="8"/>
        <v>TinCookson Alpha Metals (Shenzhen) Co., Ltd.</v>
      </c>
      <c r="K324" s="46" t="str">
        <f t="shared" si="9"/>
        <v>TinCookson Alpha Metals (Shenzhen) Co., Ltd.</v>
      </c>
      <c r="L324" s="255"/>
    </row>
    <row r="325" spans="1:20" ht="10.5" customHeight="1">
      <c r="A325" s="255" t="s">
        <v>2324</v>
      </c>
      <c r="B325" s="255" t="s">
        <v>4143</v>
      </c>
      <c r="C325" s="255" t="s">
        <v>3450</v>
      </c>
      <c r="D325" s="255" t="s">
        <v>2170</v>
      </c>
      <c r="E325" s="255" t="s">
        <v>1365</v>
      </c>
      <c r="F325" s="255" t="s">
        <v>3125</v>
      </c>
      <c r="G325" s="255"/>
      <c r="H325" s="255" t="s">
        <v>3451</v>
      </c>
      <c r="I325" s="255" t="s">
        <v>3452</v>
      </c>
      <c r="J325" s="46" t="str">
        <f t="shared" ref="J325:J388" si="10">A325&amp;B325</f>
        <v>TinCooper Santa</v>
      </c>
      <c r="K325" s="46" t="str">
        <f t="shared" ref="K325:K388" si="11">A325&amp;B325</f>
        <v>TinCooper Santa</v>
      </c>
      <c r="L325" s="255"/>
    </row>
    <row r="326" spans="1:20" ht="10.5" customHeight="1">
      <c r="A326" s="255" t="s">
        <v>2324</v>
      </c>
      <c r="B326" s="255" t="s">
        <v>3450</v>
      </c>
      <c r="C326" s="255" t="s">
        <v>3450</v>
      </c>
      <c r="D326" s="255" t="s">
        <v>2170</v>
      </c>
      <c r="E326" s="255" t="s">
        <v>1365</v>
      </c>
      <c r="F326" s="255" t="s">
        <v>3125</v>
      </c>
      <c r="G326" s="255"/>
      <c r="H326" s="255" t="s">
        <v>3451</v>
      </c>
      <c r="I326" s="255" t="s">
        <v>3452</v>
      </c>
      <c r="J326" s="46" t="str">
        <f t="shared" si="10"/>
        <v>TinCooperativa Metalurgica de Rondônia Ltda.</v>
      </c>
      <c r="K326" s="46" t="str">
        <f t="shared" si="11"/>
        <v>TinCooperativa Metalurgica de Rondônia Ltda.</v>
      </c>
      <c r="L326" s="255"/>
    </row>
    <row r="327" spans="1:20" ht="10.5" customHeight="1">
      <c r="A327" s="255" t="s">
        <v>2324</v>
      </c>
      <c r="B327" s="255" t="s">
        <v>4735</v>
      </c>
      <c r="C327" s="255" t="s">
        <v>3450</v>
      </c>
      <c r="D327" s="255" t="s">
        <v>2170</v>
      </c>
      <c r="E327" s="255" t="s">
        <v>1365</v>
      </c>
      <c r="F327" s="255" t="s">
        <v>3125</v>
      </c>
      <c r="G327" s="255"/>
      <c r="H327" s="255" t="s">
        <v>3451</v>
      </c>
      <c r="I327" s="255" t="s">
        <v>3452</v>
      </c>
      <c r="J327" s="46" t="str">
        <f t="shared" si="10"/>
        <v>TinCooperMetal</v>
      </c>
      <c r="K327" s="46" t="str">
        <f t="shared" si="11"/>
        <v>TinCooperMetal</v>
      </c>
      <c r="L327" s="255"/>
    </row>
    <row r="328" spans="1:20" ht="10.5" customHeight="1">
      <c r="A328" s="255" t="s">
        <v>2324</v>
      </c>
      <c r="B328" s="255" t="s">
        <v>3529</v>
      </c>
      <c r="C328" s="255" t="s">
        <v>3529</v>
      </c>
      <c r="D328" s="255" t="s">
        <v>2238</v>
      </c>
      <c r="E328" s="255" t="s">
        <v>3530</v>
      </c>
      <c r="F328" s="255" t="s">
        <v>3125</v>
      </c>
      <c r="G328" s="255"/>
      <c r="H328" s="255" t="s">
        <v>3453</v>
      </c>
      <c r="I328" s="255" t="s">
        <v>3454</v>
      </c>
      <c r="J328" s="46" t="str">
        <f t="shared" si="10"/>
        <v>TinCV Ayi Jaya</v>
      </c>
      <c r="K328" s="46" t="str">
        <f t="shared" si="11"/>
        <v>TinCV Ayi Jaya</v>
      </c>
      <c r="L328" s="255"/>
    </row>
    <row r="329" spans="1:20" ht="10.5" customHeight="1">
      <c r="A329" s="255" t="s">
        <v>2324</v>
      </c>
      <c r="B329" s="255" t="s">
        <v>4389</v>
      </c>
      <c r="C329" s="255" t="s">
        <v>4389</v>
      </c>
      <c r="D329" s="255" t="s">
        <v>2238</v>
      </c>
      <c r="E329" s="255" t="s">
        <v>4390</v>
      </c>
      <c r="F329" s="255" t="s">
        <v>3125</v>
      </c>
      <c r="G329" s="255"/>
      <c r="H329" s="255" t="s">
        <v>3457</v>
      </c>
      <c r="I329" s="255" t="s">
        <v>3454</v>
      </c>
      <c r="J329" s="46" t="str">
        <f t="shared" si="10"/>
        <v>TinCV Dua Sekawan</v>
      </c>
      <c r="K329" s="46" t="str">
        <f t="shared" si="11"/>
        <v>TinCV Dua Sekawan</v>
      </c>
      <c r="L329" s="255"/>
    </row>
    <row r="330" spans="1:20" ht="10.5" customHeight="1">
      <c r="A330" s="255" t="s">
        <v>2324</v>
      </c>
      <c r="B330" s="255" t="s">
        <v>2664</v>
      </c>
      <c r="C330" s="255" t="s">
        <v>2664</v>
      </c>
      <c r="D330" s="255" t="s">
        <v>2238</v>
      </c>
      <c r="E330" s="255" t="s">
        <v>2665</v>
      </c>
      <c r="F330" s="255" t="s">
        <v>3125</v>
      </c>
      <c r="G330" s="255"/>
      <c r="H330" s="255" t="s">
        <v>3453</v>
      </c>
      <c r="I330" s="255" t="s">
        <v>3454</v>
      </c>
      <c r="J330" s="46" t="str">
        <f t="shared" si="10"/>
        <v>TinCV Gita Pesona</v>
      </c>
      <c r="K330" s="46" t="str">
        <f t="shared" si="11"/>
        <v>TinCV Gita Pesona</v>
      </c>
      <c r="L330" s="255"/>
    </row>
    <row r="331" spans="1:20" ht="10.5" customHeight="1">
      <c r="A331" s="255" t="s">
        <v>2324</v>
      </c>
      <c r="B331" s="255" t="s">
        <v>4745</v>
      </c>
      <c r="C331" s="255" t="s">
        <v>4252</v>
      </c>
      <c r="D331" s="255" t="s">
        <v>2238</v>
      </c>
      <c r="E331" s="255" t="s">
        <v>2666</v>
      </c>
      <c r="F331" s="255" t="s">
        <v>3125</v>
      </c>
      <c r="G331" s="255"/>
      <c r="H331" s="255" t="s">
        <v>3455</v>
      </c>
      <c r="I331" s="255" t="s">
        <v>3454</v>
      </c>
      <c r="J331" s="46" t="str">
        <f t="shared" si="10"/>
        <v>TinCV JusTindo</v>
      </c>
      <c r="K331" s="46" t="str">
        <f t="shared" si="11"/>
        <v>TinCV JusTindo</v>
      </c>
      <c r="L331" s="255"/>
    </row>
    <row r="332" spans="1:20" ht="10.5" customHeight="1">
      <c r="A332" s="255" t="s">
        <v>2324</v>
      </c>
      <c r="B332" s="255" t="s">
        <v>4142</v>
      </c>
      <c r="C332" s="255" t="s">
        <v>4289</v>
      </c>
      <c r="D332" s="255" t="s">
        <v>2238</v>
      </c>
      <c r="E332" s="255" t="s">
        <v>2667</v>
      </c>
      <c r="F332" s="255" t="s">
        <v>3125</v>
      </c>
      <c r="G332" s="255"/>
      <c r="H332" s="255" t="s">
        <v>3455</v>
      </c>
      <c r="I332" s="255" t="s">
        <v>3454</v>
      </c>
      <c r="J332" s="46" t="str">
        <f t="shared" si="10"/>
        <v>TinCV Nurjanah</v>
      </c>
      <c r="K332" s="46" t="str">
        <f t="shared" si="11"/>
        <v>TinCV Nurjanah</v>
      </c>
      <c r="L332" s="255"/>
    </row>
    <row r="333" spans="1:20" ht="10.5" customHeight="1">
      <c r="A333" s="255" t="s">
        <v>2324</v>
      </c>
      <c r="B333" s="255" t="s">
        <v>1504</v>
      </c>
      <c r="C333" s="255" t="s">
        <v>1504</v>
      </c>
      <c r="D333" s="255" t="s">
        <v>2238</v>
      </c>
      <c r="E333" s="255" t="s">
        <v>1366</v>
      </c>
      <c r="F333" s="255" t="s">
        <v>3125</v>
      </c>
      <c r="G333" s="255"/>
      <c r="H333" s="255" t="s">
        <v>3456</v>
      </c>
      <c r="I333" s="255" t="s">
        <v>3454</v>
      </c>
      <c r="J333" s="46" t="str">
        <f t="shared" si="10"/>
        <v>TinCV Serumpun Sebalai</v>
      </c>
      <c r="K333" s="46" t="str">
        <f t="shared" si="11"/>
        <v>TinCV Serumpun Sebalai</v>
      </c>
      <c r="L333" s="255"/>
    </row>
    <row r="334" spans="1:20" ht="10.5" customHeight="1">
      <c r="A334" s="255" t="s">
        <v>2324</v>
      </c>
      <c r="B334" s="255" t="s">
        <v>4356</v>
      </c>
      <c r="C334" s="255" t="s">
        <v>4356</v>
      </c>
      <c r="D334" s="255" t="s">
        <v>2238</v>
      </c>
      <c r="E334" s="255" t="s">
        <v>4357</v>
      </c>
      <c r="F334" s="255" t="s">
        <v>3125</v>
      </c>
      <c r="G334" s="255"/>
      <c r="H334" s="255" t="s">
        <v>3457</v>
      </c>
      <c r="I334" s="255" t="s">
        <v>3454</v>
      </c>
      <c r="J334" s="46" t="str">
        <f t="shared" si="10"/>
        <v>TinCV Tiga Sekawan</v>
      </c>
      <c r="K334" s="46" t="str">
        <f t="shared" si="11"/>
        <v>TinCV Tiga Sekawan</v>
      </c>
      <c r="T334" s="255"/>
    </row>
    <row r="335" spans="1:20" ht="10.5" customHeight="1">
      <c r="A335" s="255" t="s">
        <v>2324</v>
      </c>
      <c r="B335" s="255" t="s">
        <v>1505</v>
      </c>
      <c r="C335" s="255" t="s">
        <v>1505</v>
      </c>
      <c r="D335" s="255" t="s">
        <v>2238</v>
      </c>
      <c r="E335" s="255" t="s">
        <v>1367</v>
      </c>
      <c r="F335" s="255" t="s">
        <v>3125</v>
      </c>
      <c r="G335" s="255"/>
      <c r="H335" s="255" t="s">
        <v>3457</v>
      </c>
      <c r="I335" s="255" t="s">
        <v>3454</v>
      </c>
      <c r="J335" s="46" t="str">
        <f t="shared" si="10"/>
        <v>TinCV United Smelting</v>
      </c>
      <c r="K335" s="46" t="str">
        <f t="shared" si="11"/>
        <v>TinCV United Smelting</v>
      </c>
      <c r="T335"/>
    </row>
    <row r="336" spans="1:20" ht="10.5" customHeight="1">
      <c r="A336" s="255" t="s">
        <v>2324</v>
      </c>
      <c r="B336" s="255" t="s">
        <v>2704</v>
      </c>
      <c r="C336" s="255" t="s">
        <v>2704</v>
      </c>
      <c r="D336" s="255" t="s">
        <v>2238</v>
      </c>
      <c r="E336" s="255" t="s">
        <v>2705</v>
      </c>
      <c r="F336" s="255" t="s">
        <v>3125</v>
      </c>
      <c r="G336" s="255"/>
      <c r="H336" s="255" t="s">
        <v>3457</v>
      </c>
      <c r="I336" s="255" t="s">
        <v>3454</v>
      </c>
      <c r="J336" s="46" t="str">
        <f t="shared" si="10"/>
        <v>TinCV Venus Inti Perkasa</v>
      </c>
      <c r="K336" s="46" t="str">
        <f t="shared" si="11"/>
        <v>TinCV Venus Inti Perkasa</v>
      </c>
      <c r="T336"/>
    </row>
    <row r="337" spans="1:20" ht="10.5" customHeight="1">
      <c r="A337" s="255" t="s">
        <v>2324</v>
      </c>
      <c r="B337" s="255" t="s">
        <v>1788</v>
      </c>
      <c r="C337" s="255" t="s">
        <v>1788</v>
      </c>
      <c r="D337" s="255" t="s">
        <v>2249</v>
      </c>
      <c r="E337" s="255" t="s">
        <v>2732</v>
      </c>
      <c r="F337" s="255" t="s">
        <v>3125</v>
      </c>
      <c r="G337" s="255"/>
      <c r="H337" s="255" t="s">
        <v>3173</v>
      </c>
      <c r="I337" s="255" t="s">
        <v>3174</v>
      </c>
      <c r="J337" s="46" t="str">
        <f t="shared" si="10"/>
        <v>TinDowa</v>
      </c>
      <c r="K337" s="46" t="str">
        <f t="shared" si="11"/>
        <v>TinDowa</v>
      </c>
      <c r="T337"/>
    </row>
    <row r="338" spans="1:20" ht="10.5" customHeight="1">
      <c r="A338" s="255" t="s">
        <v>2324</v>
      </c>
      <c r="B338" s="255" t="s">
        <v>3458</v>
      </c>
      <c r="C338" s="255" t="s">
        <v>1788</v>
      </c>
      <c r="D338" s="255" t="s">
        <v>2249</v>
      </c>
      <c r="E338" s="255" t="s">
        <v>2732</v>
      </c>
      <c r="F338" s="255" t="s">
        <v>3125</v>
      </c>
      <c r="G338" s="255"/>
      <c r="H338" s="255" t="s">
        <v>3173</v>
      </c>
      <c r="I338" s="255" t="s">
        <v>3174</v>
      </c>
      <c r="J338" s="46" t="str">
        <f t="shared" si="10"/>
        <v>TinDowa Metaltech Co., Ltd.</v>
      </c>
      <c r="K338" s="46" t="str">
        <f t="shared" si="11"/>
        <v>TinDowa Metaltech Co., Ltd.</v>
      </c>
      <c r="T338"/>
    </row>
    <row r="339" spans="1:20" ht="10.5" customHeight="1">
      <c r="A339" s="255" t="s">
        <v>2324</v>
      </c>
      <c r="B339" s="255" t="s">
        <v>3531</v>
      </c>
      <c r="C339" s="255" t="s">
        <v>3531</v>
      </c>
      <c r="D339" s="255" t="s">
        <v>1766</v>
      </c>
      <c r="E339" s="255" t="s">
        <v>3532</v>
      </c>
      <c r="F339" s="255" t="s">
        <v>3125</v>
      </c>
      <c r="G339" s="255"/>
      <c r="H339" s="255" t="s">
        <v>3533</v>
      </c>
      <c r="I339" s="255" t="s">
        <v>3534</v>
      </c>
      <c r="J339" s="46" t="str">
        <f t="shared" si="10"/>
        <v>TinElectro-Mechanical Facility of the Cao Bang Minerals &amp; Metallurgy Joint Stock Company</v>
      </c>
      <c r="K339" s="46" t="str">
        <f t="shared" si="11"/>
        <v>TinElectro-Mechanical Facility of the Cao Bang Minerals &amp; Metallurgy Joint Stock Company</v>
      </c>
      <c r="T339"/>
    </row>
    <row r="340" spans="1:20" ht="10.5" customHeight="1">
      <c r="A340" s="255" t="s">
        <v>2324</v>
      </c>
      <c r="B340" s="255" t="s">
        <v>4736</v>
      </c>
      <c r="C340" s="255" t="s">
        <v>4736</v>
      </c>
      <c r="D340" s="255" t="s">
        <v>2205</v>
      </c>
      <c r="E340" s="255" t="s">
        <v>3549</v>
      </c>
      <c r="F340" s="255" t="s">
        <v>3125</v>
      </c>
      <c r="G340" s="255"/>
      <c r="H340" s="255" t="s">
        <v>3550</v>
      </c>
      <c r="I340" s="255" t="s">
        <v>3551</v>
      </c>
      <c r="J340" s="46" t="str">
        <f t="shared" si="10"/>
        <v>TinElmet S.L.U.</v>
      </c>
      <c r="K340" s="46" t="str">
        <f t="shared" si="11"/>
        <v>TinElmet S.L.U.</v>
      </c>
      <c r="T340"/>
    </row>
    <row r="341" spans="1:20" ht="10.5" customHeight="1">
      <c r="A341" s="255" t="s">
        <v>2324</v>
      </c>
      <c r="B341" s="255" t="s">
        <v>1506</v>
      </c>
      <c r="C341" s="255" t="s">
        <v>1506</v>
      </c>
      <c r="D341" s="255" t="s">
        <v>2169</v>
      </c>
      <c r="E341" s="255" t="s">
        <v>1368</v>
      </c>
      <c r="F341" s="255" t="s">
        <v>3125</v>
      </c>
      <c r="G341" s="255"/>
      <c r="H341" s="255" t="s">
        <v>3459</v>
      </c>
      <c r="I341" s="255" t="s">
        <v>3460</v>
      </c>
      <c r="J341" s="46" t="str">
        <f t="shared" si="10"/>
        <v>TinEM Vinto</v>
      </c>
      <c r="K341" s="46" t="str">
        <f t="shared" si="11"/>
        <v>TinEM Vinto</v>
      </c>
      <c r="T341"/>
    </row>
    <row r="342" spans="1:20" ht="10.5" customHeight="1">
      <c r="A342" s="255" t="s">
        <v>2324</v>
      </c>
      <c r="B342" s="255" t="s">
        <v>4308</v>
      </c>
      <c r="C342" s="255" t="s">
        <v>1506</v>
      </c>
      <c r="D342" s="255" t="s">
        <v>2169</v>
      </c>
      <c r="E342" s="255" t="s">
        <v>1368</v>
      </c>
      <c r="F342" s="255" t="s">
        <v>3125</v>
      </c>
      <c r="G342" s="255"/>
      <c r="H342" s="255" t="s">
        <v>3459</v>
      </c>
      <c r="I342" s="255" t="s">
        <v>3460</v>
      </c>
      <c r="J342" s="46" t="str">
        <f t="shared" si="10"/>
        <v>TinEmpresa Metalúrgica Vinto</v>
      </c>
      <c r="K342" s="46" t="str">
        <f t="shared" si="11"/>
        <v>TinEmpresa Metalúrgica Vinto</v>
      </c>
      <c r="T342"/>
    </row>
    <row r="343" spans="1:20" ht="10.5" customHeight="1">
      <c r="A343" s="255" t="s">
        <v>2324</v>
      </c>
      <c r="B343" s="255" t="s">
        <v>1936</v>
      </c>
      <c r="C343" s="255" t="s">
        <v>1506</v>
      </c>
      <c r="D343" s="255" t="s">
        <v>2169</v>
      </c>
      <c r="E343" s="255" t="s">
        <v>1368</v>
      </c>
      <c r="F343" s="255" t="s">
        <v>3125</v>
      </c>
      <c r="G343" s="255"/>
      <c r="H343" s="255" t="s">
        <v>3459</v>
      </c>
      <c r="I343" s="255" t="s">
        <v>3460</v>
      </c>
      <c r="J343" s="46" t="str">
        <f t="shared" si="10"/>
        <v>TinEmpressa Nacional de Fundiciones (ENAF)</v>
      </c>
      <c r="K343" s="46" t="str">
        <f t="shared" si="11"/>
        <v>TinEmpressa Nacional de Fundiciones (ENAF)</v>
      </c>
      <c r="T343"/>
    </row>
    <row r="344" spans="1:20" ht="10.5" customHeight="1">
      <c r="A344" s="255" t="s">
        <v>2324</v>
      </c>
      <c r="B344" s="255" t="s">
        <v>55</v>
      </c>
      <c r="C344" s="255" t="s">
        <v>1506</v>
      </c>
      <c r="D344" s="255" t="s">
        <v>2169</v>
      </c>
      <c r="E344" s="255" t="s">
        <v>1368</v>
      </c>
      <c r="F344" s="255" t="s">
        <v>3125</v>
      </c>
      <c r="G344" s="255"/>
      <c r="H344" s="255" t="s">
        <v>3459</v>
      </c>
      <c r="I344" s="255" t="s">
        <v>3460</v>
      </c>
      <c r="J344" s="46" t="str">
        <f t="shared" si="10"/>
        <v>TinENAF</v>
      </c>
      <c r="K344" s="46" t="str">
        <f t="shared" si="11"/>
        <v>TinENAF</v>
      </c>
      <c r="T344"/>
    </row>
    <row r="345" spans="1:20" ht="10.5" customHeight="1">
      <c r="A345" s="255" t="s">
        <v>2324</v>
      </c>
      <c r="B345" s="255" t="s">
        <v>1369</v>
      </c>
      <c r="C345" s="255" t="s">
        <v>1369</v>
      </c>
      <c r="D345" s="255" t="s">
        <v>2170</v>
      </c>
      <c r="E345" s="255" t="s">
        <v>1370</v>
      </c>
      <c r="F345" s="255" t="s">
        <v>3125</v>
      </c>
      <c r="G345" s="255"/>
      <c r="H345" s="255" t="s">
        <v>3451</v>
      </c>
      <c r="I345" s="255" t="s">
        <v>3461</v>
      </c>
      <c r="J345" s="46" t="str">
        <f t="shared" si="10"/>
        <v>TinEstanho de Rondônia S.A.</v>
      </c>
      <c r="K345" s="46" t="str">
        <f t="shared" si="11"/>
        <v>TinEstanho de Rondônia S.A.</v>
      </c>
      <c r="T345"/>
    </row>
    <row r="346" spans="1:20" ht="10.5" customHeight="1">
      <c r="A346" s="255" t="s">
        <v>2324</v>
      </c>
      <c r="B346" s="255" t="s">
        <v>3462</v>
      </c>
      <c r="C346" s="255" t="s">
        <v>3462</v>
      </c>
      <c r="D346" s="255" t="s">
        <v>2195</v>
      </c>
      <c r="E346" s="255" t="s">
        <v>3463</v>
      </c>
      <c r="F346" s="255" t="s">
        <v>3125</v>
      </c>
      <c r="G346" s="255"/>
      <c r="H346" s="255" t="s">
        <v>3464</v>
      </c>
      <c r="I346" s="255" t="s">
        <v>3465</v>
      </c>
      <c r="J346" s="46" t="str">
        <f t="shared" si="10"/>
        <v>TinFeinhütte Halsbrücke GmbH</v>
      </c>
      <c r="K346" s="46" t="str">
        <f t="shared" si="11"/>
        <v>TinFeinhütte Halsbrücke GmbH</v>
      </c>
      <c r="T346"/>
    </row>
    <row r="347" spans="1:20" ht="10.5" customHeight="1">
      <c r="A347" s="255" t="s">
        <v>2324</v>
      </c>
      <c r="B347" s="255" t="s">
        <v>1462</v>
      </c>
      <c r="C347" s="255" t="s">
        <v>1462</v>
      </c>
      <c r="D347" s="255" t="s">
        <v>1708</v>
      </c>
      <c r="E347" s="255" t="s">
        <v>1371</v>
      </c>
      <c r="F347" s="255" t="s">
        <v>3125</v>
      </c>
      <c r="G347" s="255"/>
      <c r="H347" s="255" t="s">
        <v>3466</v>
      </c>
      <c r="I347" s="255" t="s">
        <v>3467</v>
      </c>
      <c r="J347" s="46" t="str">
        <f t="shared" si="10"/>
        <v>TinFenix Metals</v>
      </c>
      <c r="K347" s="46" t="str">
        <f t="shared" si="11"/>
        <v>TinFenix Metals</v>
      </c>
      <c r="T347"/>
    </row>
    <row r="348" spans="1:20" ht="10.5" customHeight="1">
      <c r="A348" s="255" t="s">
        <v>2324</v>
      </c>
      <c r="B348" s="255" t="s">
        <v>3489</v>
      </c>
      <c r="C348" s="255" t="s">
        <v>1954</v>
      </c>
      <c r="D348" s="255" t="s">
        <v>1704</v>
      </c>
      <c r="E348" s="255" t="s">
        <v>1380</v>
      </c>
      <c r="F348" s="255" t="s">
        <v>3125</v>
      </c>
      <c r="G348" s="255"/>
      <c r="H348" s="255" t="s">
        <v>3487</v>
      </c>
      <c r="I348" s="255" t="s">
        <v>3488</v>
      </c>
      <c r="J348" s="46" t="str">
        <f t="shared" si="10"/>
        <v>TinFunsur Smelter</v>
      </c>
      <c r="K348" s="46" t="str">
        <f t="shared" si="11"/>
        <v>TinFunsur Smelter</v>
      </c>
      <c r="T348"/>
    </row>
    <row r="349" spans="1:20" ht="10.5" customHeight="1">
      <c r="A349" s="255" t="s">
        <v>2324</v>
      </c>
      <c r="B349" s="255" t="s">
        <v>56</v>
      </c>
      <c r="C349" s="255" t="s">
        <v>4183</v>
      </c>
      <c r="D349" s="255" t="s">
        <v>2181</v>
      </c>
      <c r="E349" s="255" t="s">
        <v>1406</v>
      </c>
      <c r="F349" s="255" t="s">
        <v>3125</v>
      </c>
      <c r="G349" s="255"/>
      <c r="H349" s="255" t="s">
        <v>3468</v>
      </c>
      <c r="I349" s="255" t="s">
        <v>3161</v>
      </c>
      <c r="J349" s="46" t="str">
        <f t="shared" si="10"/>
        <v>TinGeiju City Datun Chengfeng Smelter</v>
      </c>
      <c r="K349" s="46" t="str">
        <f t="shared" si="11"/>
        <v>TinGeiju City Datun Chengfeng Smelter</v>
      </c>
      <c r="T349"/>
    </row>
    <row r="350" spans="1:20" ht="10.5" customHeight="1">
      <c r="A350" s="255" t="s">
        <v>2324</v>
      </c>
      <c r="B350" s="255" t="s">
        <v>4737</v>
      </c>
      <c r="C350" s="255" t="s">
        <v>4737</v>
      </c>
      <c r="D350" s="255" t="s">
        <v>2181</v>
      </c>
      <c r="E350" s="255" t="s">
        <v>4358</v>
      </c>
      <c r="F350" s="255" t="s">
        <v>3125</v>
      </c>
      <c r="G350" s="255"/>
      <c r="H350" s="255" t="s">
        <v>4359</v>
      </c>
      <c r="I350" s="255" t="s">
        <v>3161</v>
      </c>
      <c r="J350" s="46" t="str">
        <f t="shared" si="10"/>
        <v>TinGejiu Fengming Metallurgy Chemical Plant</v>
      </c>
      <c r="K350" s="46" t="str">
        <f t="shared" si="11"/>
        <v>TinGejiu Fengming Metallurgy Chemical Plant</v>
      </c>
      <c r="T350"/>
    </row>
    <row r="351" spans="1:20" ht="10.5" customHeight="1">
      <c r="A351" s="255" t="s">
        <v>2324</v>
      </c>
      <c r="B351" s="255" t="s">
        <v>4738</v>
      </c>
      <c r="C351" s="255" t="s">
        <v>4738</v>
      </c>
      <c r="D351" s="255" t="s">
        <v>2181</v>
      </c>
      <c r="E351" s="255" t="s">
        <v>4739</v>
      </c>
      <c r="F351" s="255" t="s">
        <v>3125</v>
      </c>
      <c r="G351" s="255"/>
      <c r="H351" s="255" t="s">
        <v>4359</v>
      </c>
      <c r="I351" s="255" t="s">
        <v>3161</v>
      </c>
      <c r="J351" s="46" t="str">
        <f t="shared" si="10"/>
        <v>TinGejiu Jinye Mineral Company</v>
      </c>
      <c r="K351" s="46" t="str">
        <f t="shared" si="11"/>
        <v>TinGejiu Jinye Mineral Company</v>
      </c>
      <c r="T351"/>
    </row>
    <row r="352" spans="1:20" ht="10.5" customHeight="1">
      <c r="A352" s="255" t="s">
        <v>2324</v>
      </c>
      <c r="B352" s="255" t="s">
        <v>2757</v>
      </c>
      <c r="C352" s="255" t="s">
        <v>2757</v>
      </c>
      <c r="D352" s="255" t="s">
        <v>2181</v>
      </c>
      <c r="E352" s="255" t="s">
        <v>1375</v>
      </c>
      <c r="F352" s="255" t="s">
        <v>3125</v>
      </c>
      <c r="G352" s="255"/>
      <c r="H352" s="255" t="s">
        <v>3472</v>
      </c>
      <c r="I352" s="255" t="s">
        <v>3473</v>
      </c>
      <c r="J352" s="46" t="str">
        <f t="shared" si="10"/>
        <v>TinGejiu Kai Meng Industry and Trade LLC</v>
      </c>
      <c r="K352" s="46" t="str">
        <f t="shared" si="11"/>
        <v>TinGejiu Kai Meng Industry and Trade LLC</v>
      </c>
      <c r="T352"/>
    </row>
    <row r="353" spans="1:20" ht="10.5" customHeight="1">
      <c r="A353" s="255" t="s">
        <v>2324</v>
      </c>
      <c r="B353" s="255" t="s">
        <v>4152</v>
      </c>
      <c r="C353" s="255" t="s">
        <v>4152</v>
      </c>
      <c r="D353" s="255" t="s">
        <v>2181</v>
      </c>
      <c r="E353" s="255" t="s">
        <v>1372</v>
      </c>
      <c r="F353" s="255" t="s">
        <v>3125</v>
      </c>
      <c r="G353" s="255"/>
      <c r="H353" s="255" t="s">
        <v>3468</v>
      </c>
      <c r="I353" s="255" t="s">
        <v>3161</v>
      </c>
      <c r="J353" s="46" t="str">
        <f t="shared" si="10"/>
        <v>TinGejiu Non-Ferrous Metal Processing Co., Ltd.</v>
      </c>
      <c r="K353" s="46" t="str">
        <f t="shared" si="11"/>
        <v>TinGejiu Non-Ferrous Metal Processing Co., Ltd.</v>
      </c>
      <c r="T353"/>
    </row>
    <row r="354" spans="1:20" ht="10.5" customHeight="1">
      <c r="A354" s="255" t="s">
        <v>2324</v>
      </c>
      <c r="B354" s="255" t="s">
        <v>3513</v>
      </c>
      <c r="C354" s="255" t="s">
        <v>3513</v>
      </c>
      <c r="D354" s="255" t="s">
        <v>2181</v>
      </c>
      <c r="E354" s="255" t="s">
        <v>3514</v>
      </c>
      <c r="F354" s="255" t="s">
        <v>3125</v>
      </c>
      <c r="G354" s="255"/>
      <c r="H354" s="255" t="s">
        <v>3468</v>
      </c>
      <c r="I354" s="255" t="s">
        <v>3161</v>
      </c>
      <c r="J354" s="46" t="str">
        <f t="shared" si="10"/>
        <v>TinGejiu Yunxin Nonferrous Electrolysis Co., Ltd.</v>
      </c>
      <c r="K354" s="46" t="str">
        <f t="shared" si="11"/>
        <v>TinGejiu Yunxin Nonferrous Electrolysis Co., Ltd.</v>
      </c>
      <c r="T354"/>
    </row>
    <row r="355" spans="1:20" ht="10.5" customHeight="1">
      <c r="A355" s="255" t="s">
        <v>2324</v>
      </c>
      <c r="B355" s="255" t="s">
        <v>1507</v>
      </c>
      <c r="C355" s="255" t="s">
        <v>3469</v>
      </c>
      <c r="D355" s="255" t="s">
        <v>2181</v>
      </c>
      <c r="E355" s="255" t="s">
        <v>1373</v>
      </c>
      <c r="F355" s="255" t="s">
        <v>3125</v>
      </c>
      <c r="G355" s="255"/>
      <c r="H355" s="255" t="s">
        <v>3468</v>
      </c>
      <c r="I355" s="255" t="s">
        <v>3161</v>
      </c>
      <c r="J355" s="46" t="str">
        <f t="shared" si="10"/>
        <v>TinGejiu Zi-Li</v>
      </c>
      <c r="K355" s="46" t="str">
        <f t="shared" si="11"/>
        <v>TinGejiu Zi-Li</v>
      </c>
      <c r="T355"/>
    </row>
    <row r="356" spans="1:20" ht="10.5" customHeight="1">
      <c r="A356" s="255" t="s">
        <v>2324</v>
      </c>
      <c r="B356" s="255" t="s">
        <v>3469</v>
      </c>
      <c r="C356" s="255" t="s">
        <v>3469</v>
      </c>
      <c r="D356" s="255" t="s">
        <v>2181</v>
      </c>
      <c r="E356" s="255" t="s">
        <v>1373</v>
      </c>
      <c r="F356" s="255" t="s">
        <v>3125</v>
      </c>
      <c r="G356" s="255"/>
      <c r="H356" s="255" t="s">
        <v>3468</v>
      </c>
      <c r="I356" s="255" t="s">
        <v>3161</v>
      </c>
      <c r="J356" s="46" t="str">
        <f t="shared" si="10"/>
        <v>TinGejiu Zili Mining And Metallurgy Co., Ltd.</v>
      </c>
      <c r="K356" s="46" t="str">
        <f t="shared" si="11"/>
        <v>TinGejiu Zili Mining And Metallurgy Co., Ltd.</v>
      </c>
      <c r="T356"/>
    </row>
    <row r="357" spans="1:20" ht="10.5" customHeight="1">
      <c r="A357" s="255" t="s">
        <v>2324</v>
      </c>
      <c r="B357" s="255" t="s">
        <v>3477</v>
      </c>
      <c r="C357" s="255" t="s">
        <v>2578</v>
      </c>
      <c r="D357" s="255" t="s">
        <v>2181</v>
      </c>
      <c r="E357" s="255" t="s">
        <v>1377</v>
      </c>
      <c r="F357" s="255" t="s">
        <v>3125</v>
      </c>
      <c r="G357" s="255"/>
      <c r="H357" s="255" t="s">
        <v>3476</v>
      </c>
      <c r="I357" s="255" t="s">
        <v>3442</v>
      </c>
      <c r="J357" s="46" t="str">
        <f t="shared" si="10"/>
        <v>TinGuang Xi Liu Xhou</v>
      </c>
      <c r="K357" s="46" t="str">
        <f t="shared" si="11"/>
        <v>TinGuang Xi Liu Xhou</v>
      </c>
      <c r="T357"/>
    </row>
    <row r="358" spans="1:20" ht="10.5" customHeight="1">
      <c r="A358" s="255" t="s">
        <v>2324</v>
      </c>
      <c r="B358" s="255" t="s">
        <v>4734</v>
      </c>
      <c r="C358" s="255" t="s">
        <v>2578</v>
      </c>
      <c r="D358" s="255" t="s">
        <v>2181</v>
      </c>
      <c r="E358" s="255" t="s">
        <v>1377</v>
      </c>
      <c r="F358" s="255" t="s">
        <v>3125</v>
      </c>
      <c r="G358" s="255"/>
      <c r="H358" s="255" t="s">
        <v>3476</v>
      </c>
      <c r="I358" s="255" t="s">
        <v>3442</v>
      </c>
      <c r="J358" s="46" t="str">
        <f t="shared" si="10"/>
        <v>TinGuang Xi Liu Zhou</v>
      </c>
      <c r="K358" s="46" t="str">
        <f t="shared" si="11"/>
        <v>TinGuang Xi Liu Zhou</v>
      </c>
      <c r="T358"/>
    </row>
    <row r="359" spans="1:20" ht="10.5" customHeight="1">
      <c r="A359" s="255" t="s">
        <v>2324</v>
      </c>
      <c r="B359" s="255" t="s">
        <v>57</v>
      </c>
      <c r="C359" s="255" t="s">
        <v>2578</v>
      </c>
      <c r="D359" s="255" t="s">
        <v>2181</v>
      </c>
      <c r="E359" s="255" t="s">
        <v>1377</v>
      </c>
      <c r="F359" s="255" t="s">
        <v>3125</v>
      </c>
      <c r="G359" s="255"/>
      <c r="H359" s="255" t="s">
        <v>3476</v>
      </c>
      <c r="I359" s="255" t="s">
        <v>3442</v>
      </c>
      <c r="J359" s="46" t="str">
        <f t="shared" si="10"/>
        <v>TinGuangXi China Tin</v>
      </c>
      <c r="K359" s="46" t="str">
        <f t="shared" si="11"/>
        <v>TinGuangXi China Tin</v>
      </c>
      <c r="T359"/>
    </row>
    <row r="360" spans="1:20" ht="10.5" customHeight="1">
      <c r="A360" s="255" t="s">
        <v>2324</v>
      </c>
      <c r="B360" s="255" t="s">
        <v>2373</v>
      </c>
      <c r="C360" s="255" t="s">
        <v>4149</v>
      </c>
      <c r="D360" s="255" t="s">
        <v>2181</v>
      </c>
      <c r="E360" s="255" t="s">
        <v>1363</v>
      </c>
      <c r="F360" s="255" t="s">
        <v>3125</v>
      </c>
      <c r="G360" s="255"/>
      <c r="H360" s="255" t="s">
        <v>3441</v>
      </c>
      <c r="I360" s="255" t="s">
        <v>3442</v>
      </c>
      <c r="J360" s="46" t="str">
        <f t="shared" si="10"/>
        <v>TinGuangxi Pinggui PGMA Co. Ltd.</v>
      </c>
      <c r="K360" s="46" t="str">
        <f t="shared" si="11"/>
        <v>TinGuangxi Pinggui PGMA Co. Ltd.</v>
      </c>
      <c r="T360"/>
    </row>
    <row r="361" spans="1:20" ht="10.5" customHeight="1">
      <c r="A361" s="255" t="s">
        <v>2324</v>
      </c>
      <c r="B361" s="255" t="s">
        <v>4360</v>
      </c>
      <c r="C361" s="255" t="s">
        <v>4360</v>
      </c>
      <c r="D361" s="255" t="s">
        <v>2181</v>
      </c>
      <c r="E361" s="255" t="s">
        <v>4361</v>
      </c>
      <c r="F361" s="255" t="s">
        <v>3125</v>
      </c>
      <c r="G361" s="255"/>
      <c r="H361" s="255" t="s">
        <v>4362</v>
      </c>
      <c r="I361" s="255" t="s">
        <v>3442</v>
      </c>
      <c r="J361" s="46" t="str">
        <f t="shared" si="10"/>
        <v>TinGuanyang Guida Nonferrous Metal Smelting Plant</v>
      </c>
      <c r="K361" s="46" t="str">
        <f t="shared" si="11"/>
        <v>TinGuanyang Guida Nonferrous Metal Smelting Plant</v>
      </c>
      <c r="T361"/>
    </row>
    <row r="362" spans="1:20" ht="10.5" customHeight="1">
      <c r="A362" s="255" t="s">
        <v>2324</v>
      </c>
      <c r="B362" s="255" t="s">
        <v>4391</v>
      </c>
      <c r="C362" s="255" t="s">
        <v>4391</v>
      </c>
      <c r="D362" s="255" t="s">
        <v>2181</v>
      </c>
      <c r="E362" s="255" t="s">
        <v>4392</v>
      </c>
      <c r="F362" s="255" t="s">
        <v>3125</v>
      </c>
      <c r="G362" s="255"/>
      <c r="H362" s="255" t="s">
        <v>3471</v>
      </c>
      <c r="I362" s="255" t="s">
        <v>3204</v>
      </c>
      <c r="J362" s="46" t="str">
        <f t="shared" si="10"/>
        <v>TinHuiChang Hill Tin Industry Co., Ltd.</v>
      </c>
      <c r="K362" s="46" t="str">
        <f t="shared" si="11"/>
        <v>TinHuiChang Hill Tin Industry Co., Ltd.</v>
      </c>
      <c r="T362"/>
    </row>
    <row r="363" spans="1:20" ht="10.5" customHeight="1">
      <c r="A363" s="255" t="s">
        <v>2324</v>
      </c>
      <c r="B363" s="255" t="s">
        <v>4153</v>
      </c>
      <c r="C363" s="255" t="s">
        <v>4153</v>
      </c>
      <c r="D363" s="255" t="s">
        <v>2181</v>
      </c>
      <c r="E363" s="255" t="s">
        <v>1374</v>
      </c>
      <c r="F363" s="255" t="s">
        <v>3125</v>
      </c>
      <c r="G363" s="255"/>
      <c r="H363" s="255" t="s">
        <v>3471</v>
      </c>
      <c r="I363" s="255" t="s">
        <v>3204</v>
      </c>
      <c r="J363" s="46" t="str">
        <f t="shared" si="10"/>
        <v>TinHuichang Jinshunda Tin Co., Ltd.</v>
      </c>
      <c r="K363" s="46" t="str">
        <f t="shared" si="11"/>
        <v>TinHuichang Jinshunda Tin Co., Ltd.</v>
      </c>
      <c r="T363"/>
    </row>
    <row r="364" spans="1:20" ht="10.5" customHeight="1">
      <c r="A364" s="255" t="s">
        <v>2324</v>
      </c>
      <c r="B364" s="255" t="s">
        <v>58</v>
      </c>
      <c r="C364" s="255" t="s">
        <v>4153</v>
      </c>
      <c r="D364" s="255" t="s">
        <v>2181</v>
      </c>
      <c r="E364" s="255" t="s">
        <v>1374</v>
      </c>
      <c r="F364" s="255" t="s">
        <v>3125</v>
      </c>
      <c r="G364" s="255"/>
      <c r="H364" s="255" t="s">
        <v>3471</v>
      </c>
      <c r="I364" s="255" t="s">
        <v>3204</v>
      </c>
      <c r="J364" s="46" t="str">
        <f t="shared" si="10"/>
        <v>TinHuichang Shun Tin Kam Industries, Ltd.</v>
      </c>
      <c r="K364" s="46" t="str">
        <f t="shared" si="11"/>
        <v>TinHuichang Shun Tin Kam Industries, Ltd.</v>
      </c>
      <c r="T364"/>
    </row>
    <row r="365" spans="1:20" ht="10.5" customHeight="1">
      <c r="A365" s="255" t="s">
        <v>2324</v>
      </c>
      <c r="B365" s="255" t="s">
        <v>4748</v>
      </c>
      <c r="C365" s="255" t="s">
        <v>4266</v>
      </c>
      <c r="D365" s="255" t="s">
        <v>2238</v>
      </c>
      <c r="E365" s="255" t="s">
        <v>1399</v>
      </c>
      <c r="F365" s="255" t="s">
        <v>3125</v>
      </c>
      <c r="G365" s="255"/>
      <c r="H365" s="255" t="s">
        <v>3507</v>
      </c>
      <c r="I365" s="255" t="s">
        <v>3454</v>
      </c>
      <c r="J365" s="46" t="str">
        <f t="shared" si="10"/>
        <v>TinINDONESIAN STATE TIN CORPORATION MENTOK SMELTER</v>
      </c>
      <c r="K365" s="46" t="str">
        <f t="shared" si="11"/>
        <v>TinINDONESIAN STATE TIN CORPORATION MENTOK SMELTER</v>
      </c>
      <c r="T365"/>
    </row>
    <row r="366" spans="1:20" ht="10.5" customHeight="1">
      <c r="A366" s="255" t="s">
        <v>2324</v>
      </c>
      <c r="B366" s="255" t="s">
        <v>1172</v>
      </c>
      <c r="C366" s="255" t="s">
        <v>1194</v>
      </c>
      <c r="D366" s="255" t="s">
        <v>2238</v>
      </c>
      <c r="E366" s="255" t="s">
        <v>1389</v>
      </c>
      <c r="F366" s="255" t="s">
        <v>3125</v>
      </c>
      <c r="G366" s="255"/>
      <c r="H366" s="255" t="s">
        <v>3457</v>
      </c>
      <c r="I366" s="255" t="s">
        <v>3454</v>
      </c>
      <c r="J366" s="46" t="str">
        <f t="shared" si="10"/>
        <v>TinIndra Eramulti Logam</v>
      </c>
      <c r="K366" s="46" t="str">
        <f t="shared" si="11"/>
        <v>TinIndra Eramulti Logam</v>
      </c>
      <c r="T366"/>
    </row>
    <row r="367" spans="1:20" ht="10.5" customHeight="1">
      <c r="A367" s="255" t="s">
        <v>2324</v>
      </c>
      <c r="B367" s="255" t="s">
        <v>3440</v>
      </c>
      <c r="C367" s="255" t="s">
        <v>3440</v>
      </c>
      <c r="D367" s="255" t="s">
        <v>2181</v>
      </c>
      <c r="E367" s="255" t="s">
        <v>1362</v>
      </c>
      <c r="F367" s="255" t="s">
        <v>3125</v>
      </c>
      <c r="G367" s="255"/>
      <c r="H367" s="255" t="s">
        <v>3406</v>
      </c>
      <c r="I367" s="255" t="s">
        <v>3204</v>
      </c>
      <c r="J367" s="46" t="str">
        <f t="shared" si="10"/>
        <v>TinJiangxi Ketai Advanced Material Co., Ltd.</v>
      </c>
      <c r="K367" s="46" t="str">
        <f t="shared" si="11"/>
        <v>TinJiangxi Ketai Advanced Material Co., Ltd.</v>
      </c>
      <c r="T367"/>
    </row>
    <row r="368" spans="1:20" ht="10.5" customHeight="1">
      <c r="A368" s="255" t="s">
        <v>2324</v>
      </c>
      <c r="B368" s="255" t="s">
        <v>4309</v>
      </c>
      <c r="C368" s="255" t="s">
        <v>4165</v>
      </c>
      <c r="D368" s="255" t="s">
        <v>2181</v>
      </c>
      <c r="E368" s="255" t="s">
        <v>3491</v>
      </c>
      <c r="F368" s="255" t="s">
        <v>3125</v>
      </c>
      <c r="G368" s="255"/>
      <c r="H368" s="255" t="s">
        <v>3471</v>
      </c>
      <c r="I368" s="255" t="s">
        <v>3204</v>
      </c>
      <c r="J368" s="46" t="str">
        <f t="shared" si="10"/>
        <v>TinJiangxi Nanshan</v>
      </c>
      <c r="K368" s="46" t="str">
        <f t="shared" si="11"/>
        <v>TinJiangxi Nanshan</v>
      </c>
      <c r="T368"/>
    </row>
    <row r="369" spans="1:20" ht="10.5" customHeight="1">
      <c r="A369" s="255" t="s">
        <v>2324</v>
      </c>
      <c r="B369" s="255" t="s">
        <v>4287</v>
      </c>
      <c r="C369" s="255" t="s">
        <v>4153</v>
      </c>
      <c r="D369" s="255" t="s">
        <v>2181</v>
      </c>
      <c r="E369" s="255" t="s">
        <v>1374</v>
      </c>
      <c r="F369" s="255" t="s">
        <v>3125</v>
      </c>
      <c r="G369" s="255"/>
      <c r="H369" s="255" t="s">
        <v>3471</v>
      </c>
      <c r="I369" s="255" t="s">
        <v>3204</v>
      </c>
      <c r="J369" s="46" t="str">
        <f t="shared" si="10"/>
        <v>TinJiangxi Shunda Huichang Kam Tin Co., Ltd.</v>
      </c>
      <c r="K369" s="46" t="str">
        <f t="shared" si="11"/>
        <v>TinJiangxi Shunda Huichang Kam Tin Co., Ltd.</v>
      </c>
      <c r="T369"/>
    </row>
    <row r="370" spans="1:20" ht="10.5" customHeight="1">
      <c r="A370" s="255" t="s">
        <v>2324</v>
      </c>
      <c r="B370" s="255" t="s">
        <v>4310</v>
      </c>
      <c r="C370" s="255" t="s">
        <v>2757</v>
      </c>
      <c r="D370" s="255" t="s">
        <v>2181</v>
      </c>
      <c r="E370" s="255" t="s">
        <v>1375</v>
      </c>
      <c r="F370" s="255" t="s">
        <v>3125</v>
      </c>
      <c r="G370" s="255"/>
      <c r="H370" s="255" t="s">
        <v>3472</v>
      </c>
      <c r="I370" s="255" t="s">
        <v>3473</v>
      </c>
      <c r="J370" s="46" t="str">
        <f t="shared" si="10"/>
        <v>TinKai Union Industry and Trade Co., Ltd. (China)</v>
      </c>
      <c r="K370" s="46" t="str">
        <f t="shared" si="11"/>
        <v>TinKai Union Industry and Trade Co., Ltd. (China)</v>
      </c>
      <c r="T370"/>
    </row>
    <row r="371" spans="1:20" ht="10.5" customHeight="1">
      <c r="A371" s="255" t="s">
        <v>2324</v>
      </c>
      <c r="B371" s="255" t="s">
        <v>985</v>
      </c>
      <c r="C371" s="255" t="s">
        <v>2757</v>
      </c>
      <c r="D371" s="255" t="s">
        <v>2181</v>
      </c>
      <c r="E371" s="255" t="s">
        <v>1375</v>
      </c>
      <c r="F371" s="255" t="s">
        <v>3125</v>
      </c>
      <c r="G371" s="255"/>
      <c r="H371" s="255" t="s">
        <v>3472</v>
      </c>
      <c r="I371" s="255" t="s">
        <v>3473</v>
      </c>
      <c r="J371" s="46" t="str">
        <f t="shared" si="10"/>
        <v>TinKai Unita Trade Limited Liability Company</v>
      </c>
      <c r="K371" s="46" t="str">
        <f t="shared" si="11"/>
        <v>TinKai Unita Trade Limited Liability Company</v>
      </c>
      <c r="T371"/>
    </row>
    <row r="372" spans="1:20" ht="10.5" customHeight="1">
      <c r="A372" s="255" t="s">
        <v>2324</v>
      </c>
      <c r="B372" s="255" t="s">
        <v>3506</v>
      </c>
      <c r="C372" s="255" t="s">
        <v>3503</v>
      </c>
      <c r="D372" s="255" t="s">
        <v>2238</v>
      </c>
      <c r="E372" s="255" t="s">
        <v>1424</v>
      </c>
      <c r="F372" s="255" t="s">
        <v>3125</v>
      </c>
      <c r="G372" s="255"/>
      <c r="H372" s="255" t="s">
        <v>3504</v>
      </c>
      <c r="I372" s="255" t="s">
        <v>3505</v>
      </c>
      <c r="J372" s="46" t="str">
        <f t="shared" si="10"/>
        <v>TinKundur Smelter</v>
      </c>
      <c r="K372" s="46" t="str">
        <f t="shared" si="11"/>
        <v>TinKundur Smelter</v>
      </c>
      <c r="T372"/>
    </row>
    <row r="373" spans="1:20" ht="10.5" customHeight="1">
      <c r="A373" s="255" t="s">
        <v>2324</v>
      </c>
      <c r="B373" s="255" t="s">
        <v>3474</v>
      </c>
      <c r="C373" s="255" t="s">
        <v>3474</v>
      </c>
      <c r="D373" s="255" t="s">
        <v>2181</v>
      </c>
      <c r="E373" s="255" t="s">
        <v>1376</v>
      </c>
      <c r="F373" s="255" t="s">
        <v>3125</v>
      </c>
      <c r="G373" s="255"/>
      <c r="H373" s="255" t="s">
        <v>3475</v>
      </c>
      <c r="I373" s="255" t="s">
        <v>3186</v>
      </c>
      <c r="J373" s="46" t="str">
        <f t="shared" si="10"/>
        <v>TinLinwu Xianggui Ore Smelting Co., Ltd.</v>
      </c>
      <c r="K373" s="46" t="str">
        <f t="shared" si="11"/>
        <v>TinLinwu Xianggui Ore Smelting Co., Ltd.</v>
      </c>
      <c r="T373"/>
    </row>
    <row r="374" spans="1:20" ht="10.5" customHeight="1">
      <c r="A374" s="255" t="s">
        <v>2324</v>
      </c>
      <c r="B374" s="255" t="s">
        <v>1171</v>
      </c>
      <c r="C374" s="255" t="s">
        <v>3474</v>
      </c>
      <c r="D374" s="255" t="s">
        <v>2181</v>
      </c>
      <c r="E374" s="255" t="s">
        <v>1376</v>
      </c>
      <c r="F374" s="255" t="s">
        <v>3125</v>
      </c>
      <c r="G374" s="255"/>
      <c r="H374" s="255" t="s">
        <v>3475</v>
      </c>
      <c r="I374" s="255" t="s">
        <v>3186</v>
      </c>
      <c r="J374" s="46" t="str">
        <f t="shared" si="10"/>
        <v>TinLinwu Xianggui Smelter Co</v>
      </c>
      <c r="K374" s="46" t="str">
        <f t="shared" si="11"/>
        <v>TinLinwu Xianggui Smelter Co</v>
      </c>
      <c r="T374"/>
    </row>
    <row r="375" spans="1:20" ht="10.5" customHeight="1">
      <c r="A375" s="255" t="s">
        <v>2324</v>
      </c>
      <c r="B375" s="255" t="s">
        <v>3478</v>
      </c>
      <c r="C375" s="255" t="s">
        <v>2578</v>
      </c>
      <c r="D375" s="255" t="s">
        <v>2181</v>
      </c>
      <c r="E375" s="255" t="s">
        <v>1377</v>
      </c>
      <c r="F375" s="255" t="s">
        <v>3125</v>
      </c>
      <c r="G375" s="255"/>
      <c r="H375" s="255" t="s">
        <v>3476</v>
      </c>
      <c r="I375" s="255" t="s">
        <v>3442</v>
      </c>
      <c r="J375" s="46" t="str">
        <f t="shared" si="10"/>
        <v>TinLiuzhhou China Tin</v>
      </c>
      <c r="K375" s="46" t="str">
        <f t="shared" si="11"/>
        <v>TinLiuzhhou China Tin</v>
      </c>
      <c r="T375"/>
    </row>
    <row r="376" spans="1:20" ht="10.5" customHeight="1">
      <c r="A376" s="255" t="s">
        <v>2324</v>
      </c>
      <c r="B376" s="255" t="s">
        <v>4186</v>
      </c>
      <c r="C376" s="255" t="s">
        <v>4186</v>
      </c>
      <c r="D376" s="255" t="s">
        <v>2170</v>
      </c>
      <c r="E376" s="255" t="s">
        <v>200</v>
      </c>
      <c r="F376" s="255" t="s">
        <v>3125</v>
      </c>
      <c r="G376" s="255"/>
      <c r="H376" s="255" t="s">
        <v>3381</v>
      </c>
      <c r="I376" s="255" t="s">
        <v>3136</v>
      </c>
      <c r="J376" s="46" t="str">
        <f t="shared" si="10"/>
        <v>TinMagnu's Minerais Metais e Ligas Ltda.</v>
      </c>
      <c r="K376" s="46" t="str">
        <f t="shared" si="11"/>
        <v>TinMagnu's Minerais Metais e Ligas Ltda.</v>
      </c>
      <c r="T376"/>
    </row>
    <row r="377" spans="1:20" ht="10.5" customHeight="1">
      <c r="A377" s="255" t="s">
        <v>2324</v>
      </c>
      <c r="B377" s="255" t="s">
        <v>1471</v>
      </c>
      <c r="C377" s="255" t="s">
        <v>1471</v>
      </c>
      <c r="D377" s="255" t="s">
        <v>2289</v>
      </c>
      <c r="E377" s="255" t="s">
        <v>1378</v>
      </c>
      <c r="F377" s="255" t="s">
        <v>3125</v>
      </c>
      <c r="G377" s="255"/>
      <c r="H377" s="255" t="s">
        <v>3481</v>
      </c>
      <c r="I377" s="255" t="s">
        <v>3482</v>
      </c>
      <c r="J377" s="46" t="str">
        <f t="shared" si="10"/>
        <v>TinMalaysia Smelting Corporation (MSC)</v>
      </c>
      <c r="K377" s="46" t="str">
        <f t="shared" si="11"/>
        <v>TinMalaysia Smelting Corporation (MSC)</v>
      </c>
      <c r="T377"/>
    </row>
    <row r="378" spans="1:20" ht="10.5" customHeight="1">
      <c r="A378" s="255" t="s">
        <v>2324</v>
      </c>
      <c r="B378" s="255" t="s">
        <v>4743</v>
      </c>
      <c r="C378" s="255" t="s">
        <v>4743</v>
      </c>
      <c r="D378" s="255" t="s">
        <v>2170</v>
      </c>
      <c r="E378" s="255" t="s">
        <v>2576</v>
      </c>
      <c r="F378" s="255" t="s">
        <v>3125</v>
      </c>
      <c r="G378" s="255"/>
      <c r="H378" s="255" t="s">
        <v>3451</v>
      </c>
      <c r="I378" s="255" t="s">
        <v>3452</v>
      </c>
      <c r="J378" s="46" t="str">
        <f t="shared" si="10"/>
        <v>TinMelt Metais e Ligas S.A.</v>
      </c>
      <c r="K378" s="46" t="str">
        <f t="shared" si="11"/>
        <v>TinMelt Metais e Ligas S.A.</v>
      </c>
      <c r="T378"/>
    </row>
    <row r="379" spans="1:20" ht="10.5" customHeight="1">
      <c r="A379" s="255" t="s">
        <v>2324</v>
      </c>
      <c r="B379" s="255" t="s">
        <v>4311</v>
      </c>
      <c r="C379" s="255" t="s">
        <v>4266</v>
      </c>
      <c r="D379" s="255" t="s">
        <v>2238</v>
      </c>
      <c r="E379" s="255" t="s">
        <v>1399</v>
      </c>
      <c r="F379" s="255" t="s">
        <v>3125</v>
      </c>
      <c r="G379" s="255"/>
      <c r="H379" s="255" t="s">
        <v>3507</v>
      </c>
      <c r="I379" s="255" t="s">
        <v>3454</v>
      </c>
      <c r="J379" s="46" t="str">
        <f t="shared" si="10"/>
        <v>TinMentok Smelter</v>
      </c>
      <c r="K379" s="46" t="str">
        <f t="shared" si="11"/>
        <v>TinMentok Smelter</v>
      </c>
      <c r="T379"/>
    </row>
    <row r="380" spans="1:20" ht="10.5" customHeight="1">
      <c r="A380" s="255" t="s">
        <v>2324</v>
      </c>
      <c r="B380" s="255" t="s">
        <v>3479</v>
      </c>
      <c r="C380" s="255" t="s">
        <v>2578</v>
      </c>
      <c r="D380" s="255" t="s">
        <v>2181</v>
      </c>
      <c r="E380" s="255" t="s">
        <v>1377</v>
      </c>
      <c r="F380" s="255" t="s">
        <v>3125</v>
      </c>
      <c r="G380" s="255"/>
      <c r="H380" s="255" t="s">
        <v>3476</v>
      </c>
      <c r="I380" s="255" t="s">
        <v>3442</v>
      </c>
      <c r="J380" s="46" t="str">
        <f t="shared" si="10"/>
        <v>TinMetallic Materials Branch of Guangxi China Tin Group Co.,Ltd.</v>
      </c>
      <c r="K380" s="46" t="str">
        <f t="shared" si="11"/>
        <v>TinMetallic Materials Branch of Guangxi China Tin Group Co.,Ltd.</v>
      </c>
      <c r="T380"/>
    </row>
    <row r="381" spans="1:20" ht="10.5" customHeight="1">
      <c r="A381" s="255" t="s">
        <v>2324</v>
      </c>
      <c r="B381" s="255" t="s">
        <v>4161</v>
      </c>
      <c r="C381" s="255" t="s">
        <v>4161</v>
      </c>
      <c r="D381" s="255" t="s">
        <v>1759</v>
      </c>
      <c r="E381" s="255" t="s">
        <v>3483</v>
      </c>
      <c r="F381" s="255" t="s">
        <v>3125</v>
      </c>
      <c r="G381" s="255"/>
      <c r="H381" s="255" t="s">
        <v>3484</v>
      </c>
      <c r="I381" s="255" t="s">
        <v>3256</v>
      </c>
      <c r="J381" s="46" t="str">
        <f t="shared" si="10"/>
        <v>TinMetallic Resources, Inc.</v>
      </c>
      <c r="K381" s="46" t="str">
        <f t="shared" si="11"/>
        <v>TinMetallic Resources, Inc.</v>
      </c>
      <c r="T381"/>
    </row>
    <row r="382" spans="1:20" ht="10.5" customHeight="1">
      <c r="A382" s="255" t="s">
        <v>2324</v>
      </c>
      <c r="B382" s="255" t="s">
        <v>3546</v>
      </c>
      <c r="C382" s="255" t="s">
        <v>3546</v>
      </c>
      <c r="D382" s="255" t="s">
        <v>2158</v>
      </c>
      <c r="E382" s="255" t="s">
        <v>3547</v>
      </c>
      <c r="F382" s="255" t="s">
        <v>3125</v>
      </c>
      <c r="G382" s="255"/>
      <c r="H382" s="255" t="s">
        <v>3548</v>
      </c>
      <c r="I382" s="255" t="s">
        <v>3315</v>
      </c>
      <c r="J382" s="46" t="str">
        <f t="shared" si="10"/>
        <v>TinMetallo-Chimique N.V.</v>
      </c>
      <c r="K382" s="46" t="str">
        <f t="shared" si="11"/>
        <v>TinMetallo-Chimique N.V.</v>
      </c>
      <c r="T382"/>
    </row>
    <row r="383" spans="1:20" ht="10.5" customHeight="1">
      <c r="A383" s="255" t="s">
        <v>2324</v>
      </c>
      <c r="B383" s="255" t="s">
        <v>1953</v>
      </c>
      <c r="C383" s="255" t="s">
        <v>1953</v>
      </c>
      <c r="D383" s="255" t="s">
        <v>2170</v>
      </c>
      <c r="E383" s="255" t="s">
        <v>1379</v>
      </c>
      <c r="F383" s="255" t="s">
        <v>3125</v>
      </c>
      <c r="G383" s="255"/>
      <c r="H383" s="255" t="s">
        <v>3485</v>
      </c>
      <c r="I383" s="255" t="s">
        <v>3313</v>
      </c>
      <c r="J383" s="46" t="str">
        <f t="shared" si="10"/>
        <v>TinMineração Taboca S.A.</v>
      </c>
      <c r="K383" s="46" t="str">
        <f t="shared" si="11"/>
        <v>TinMineração Taboca S.A.</v>
      </c>
      <c r="T383"/>
    </row>
    <row r="384" spans="1:20" ht="10.5" customHeight="1">
      <c r="A384" s="255" t="s">
        <v>2324</v>
      </c>
      <c r="B384" s="255" t="s">
        <v>1954</v>
      </c>
      <c r="C384" s="255" t="s">
        <v>1954</v>
      </c>
      <c r="D384" s="255" t="s">
        <v>1704</v>
      </c>
      <c r="E384" s="255" t="s">
        <v>1380</v>
      </c>
      <c r="F384" s="255" t="s">
        <v>3125</v>
      </c>
      <c r="G384" s="255"/>
      <c r="H384" s="255" t="s">
        <v>3487</v>
      </c>
      <c r="I384" s="255" t="s">
        <v>3488</v>
      </c>
      <c r="J384" s="46" t="str">
        <f t="shared" si="10"/>
        <v>TinMinsur</v>
      </c>
      <c r="K384" s="46" t="str">
        <f t="shared" si="11"/>
        <v>TinMinsur</v>
      </c>
      <c r="T384"/>
    </row>
    <row r="385" spans="1:20" ht="10.5" customHeight="1">
      <c r="A385" s="255" t="s">
        <v>2324</v>
      </c>
      <c r="B385" s="255" t="s">
        <v>2371</v>
      </c>
      <c r="C385" s="255" t="s">
        <v>2371</v>
      </c>
      <c r="D385" s="255" t="s">
        <v>2249</v>
      </c>
      <c r="E385" s="255" t="s">
        <v>1381</v>
      </c>
      <c r="F385" s="255" t="s">
        <v>3125</v>
      </c>
      <c r="G385" s="255"/>
      <c r="H385" s="255" t="s">
        <v>3490</v>
      </c>
      <c r="I385" s="255" t="s">
        <v>3140</v>
      </c>
      <c r="J385" s="46" t="str">
        <f t="shared" si="10"/>
        <v>TinMitsubishi Materials Corporation</v>
      </c>
      <c r="K385" s="46" t="str">
        <f t="shared" si="11"/>
        <v>TinMitsubishi Materials Corporation</v>
      </c>
      <c r="T385"/>
    </row>
    <row r="386" spans="1:20" ht="10.5" customHeight="1">
      <c r="A386" s="255" t="s">
        <v>2324</v>
      </c>
      <c r="B386" s="255" t="s">
        <v>4702</v>
      </c>
      <c r="C386" s="255" t="s">
        <v>4702</v>
      </c>
      <c r="D386" s="255" t="s">
        <v>2289</v>
      </c>
      <c r="E386" s="255" t="s">
        <v>4753</v>
      </c>
      <c r="F386" s="255" t="s">
        <v>3125</v>
      </c>
      <c r="G386" s="255"/>
      <c r="H386" s="255" t="s">
        <v>4764</v>
      </c>
      <c r="I386" s="255" t="s">
        <v>4765</v>
      </c>
      <c r="J386" s="46" t="str">
        <f t="shared" si="10"/>
        <v>TinModeltech Sdn Bhd</v>
      </c>
      <c r="K386" s="46" t="str">
        <f t="shared" si="11"/>
        <v>TinModeltech Sdn Bhd</v>
      </c>
      <c r="T386"/>
    </row>
    <row r="387" spans="1:20" ht="10.5" customHeight="1">
      <c r="A387" s="255" t="s">
        <v>2324</v>
      </c>
      <c r="B387" s="255" t="s">
        <v>4312</v>
      </c>
      <c r="C387" s="255" t="s">
        <v>1471</v>
      </c>
      <c r="D387" s="255" t="s">
        <v>2289</v>
      </c>
      <c r="E387" s="255" t="s">
        <v>1378</v>
      </c>
      <c r="F387" s="255" t="s">
        <v>3125</v>
      </c>
      <c r="G387" s="255"/>
      <c r="H387" s="255" t="s">
        <v>3481</v>
      </c>
      <c r="I387" s="255" t="s">
        <v>3482</v>
      </c>
      <c r="J387" s="46" t="str">
        <f t="shared" si="10"/>
        <v>TinMSC</v>
      </c>
      <c r="K387" s="46" t="str">
        <f t="shared" si="11"/>
        <v>TinMSC</v>
      </c>
      <c r="T387"/>
    </row>
    <row r="388" spans="1:20" ht="10.5" customHeight="1">
      <c r="A388" s="255" t="s">
        <v>2324</v>
      </c>
      <c r="B388" s="255" t="s">
        <v>4165</v>
      </c>
      <c r="C388" s="255" t="s">
        <v>4165</v>
      </c>
      <c r="D388" s="255" t="s">
        <v>2181</v>
      </c>
      <c r="E388" s="255" t="s">
        <v>3491</v>
      </c>
      <c r="F388" s="255" t="s">
        <v>3125</v>
      </c>
      <c r="G388" s="255"/>
      <c r="H388" s="255" t="s">
        <v>3471</v>
      </c>
      <c r="I388" s="255" t="s">
        <v>3204</v>
      </c>
      <c r="J388" s="46" t="str">
        <f t="shared" si="10"/>
        <v>TinNankang Nanshan Tin Manufactory Co., Ltd.</v>
      </c>
      <c r="K388" s="46" t="str">
        <f t="shared" si="11"/>
        <v>TinNankang Nanshan Tin Manufactory Co., Ltd.</v>
      </c>
      <c r="T388"/>
    </row>
    <row r="389" spans="1:20" ht="10.5" customHeight="1">
      <c r="A389" s="255" t="s">
        <v>2324</v>
      </c>
      <c r="B389" s="255" t="s">
        <v>3492</v>
      </c>
      <c r="C389" s="255" t="s">
        <v>4165</v>
      </c>
      <c r="D389" s="255" t="s">
        <v>2181</v>
      </c>
      <c r="E389" s="255" t="s">
        <v>3491</v>
      </c>
      <c r="F389" s="255" t="s">
        <v>3125</v>
      </c>
      <c r="G389" s="255"/>
      <c r="H389" s="255" t="s">
        <v>3471</v>
      </c>
      <c r="I389" s="255" t="s">
        <v>3204</v>
      </c>
      <c r="J389" s="46" t="str">
        <f t="shared" ref="J389:J452" si="12">A389&amp;B389</f>
        <v>TinNanshan Tin Co. Ltd.</v>
      </c>
      <c r="K389" s="46" t="str">
        <f t="shared" ref="K389:K452" si="13">A389&amp;B389</f>
        <v>TinNanshan Tin Co. Ltd.</v>
      </c>
      <c r="T389"/>
    </row>
    <row r="390" spans="1:20" ht="10.5" customHeight="1">
      <c r="A390" s="255" t="s">
        <v>2324</v>
      </c>
      <c r="B390" s="255" t="s">
        <v>3535</v>
      </c>
      <c r="C390" s="255" t="s">
        <v>3535</v>
      </c>
      <c r="D390" s="255" t="s">
        <v>1766</v>
      </c>
      <c r="E390" s="255" t="s">
        <v>3536</v>
      </c>
      <c r="F390" s="255" t="s">
        <v>3125</v>
      </c>
      <c r="G390" s="255"/>
      <c r="H390" s="255" t="s">
        <v>3537</v>
      </c>
      <c r="I390" s="255" t="s">
        <v>3538</v>
      </c>
      <c r="J390" s="46" t="str">
        <f t="shared" si="12"/>
        <v>TinNghe Tinh Non-Ferrous Metals Joint Stock Company</v>
      </c>
      <c r="K390" s="46" t="str">
        <f t="shared" si="13"/>
        <v>TinNghe Tinh Non-Ferrous Metals Joint Stock Company</v>
      </c>
      <c r="T390"/>
    </row>
    <row r="391" spans="1:20" ht="10.5" customHeight="1">
      <c r="A391" s="255" t="s">
        <v>2324</v>
      </c>
      <c r="B391" s="255" t="s">
        <v>1382</v>
      </c>
      <c r="C391" s="255" t="s">
        <v>1382</v>
      </c>
      <c r="D391" s="255" t="s">
        <v>1743</v>
      </c>
      <c r="E391" s="255" t="s">
        <v>1383</v>
      </c>
      <c r="F391" s="255" t="s">
        <v>3125</v>
      </c>
      <c r="G391" s="255"/>
      <c r="H391" s="255" t="s">
        <v>4744</v>
      </c>
      <c r="I391" s="255" t="s">
        <v>3493</v>
      </c>
      <c r="J391" s="46" t="str">
        <f t="shared" si="12"/>
        <v>TinO.M. Manufacturing (Thailand) Co., Ltd.</v>
      </c>
      <c r="K391" s="46" t="str">
        <f t="shared" si="13"/>
        <v>TinO.M. Manufacturing (Thailand) Co., Ltd.</v>
      </c>
      <c r="T391"/>
    </row>
    <row r="392" spans="1:20" ht="10.5" customHeight="1">
      <c r="A392" s="255" t="s">
        <v>2324</v>
      </c>
      <c r="B392" s="255" t="s">
        <v>2706</v>
      </c>
      <c r="C392" s="255" t="s">
        <v>2706</v>
      </c>
      <c r="D392" s="255" t="s">
        <v>1705</v>
      </c>
      <c r="E392" s="255" t="s">
        <v>2707</v>
      </c>
      <c r="F392" s="255" t="s">
        <v>3125</v>
      </c>
      <c r="G392" s="255"/>
      <c r="H392" s="255" t="s">
        <v>3527</v>
      </c>
      <c r="I392" s="255" t="s">
        <v>3528</v>
      </c>
      <c r="J392" s="46" t="str">
        <f t="shared" si="12"/>
        <v>TinO.M. Manufacturing Philippines, Inc.</v>
      </c>
      <c r="K392" s="46" t="str">
        <f t="shared" si="13"/>
        <v>TinO.M. Manufacturing Philippines, Inc.</v>
      </c>
      <c r="T392"/>
    </row>
    <row r="393" spans="1:20" ht="10.5" customHeight="1">
      <c r="A393" s="255" t="s">
        <v>2324</v>
      </c>
      <c r="B393" s="255" t="s">
        <v>4144</v>
      </c>
      <c r="C393" s="255" t="s">
        <v>3494</v>
      </c>
      <c r="D393" s="255" t="s">
        <v>2169</v>
      </c>
      <c r="E393" s="255" t="s">
        <v>1384</v>
      </c>
      <c r="F393" s="255" t="s">
        <v>3125</v>
      </c>
      <c r="G393" s="255"/>
      <c r="H393" s="255" t="s">
        <v>3459</v>
      </c>
      <c r="I393" s="255" t="s">
        <v>3460</v>
      </c>
      <c r="J393" s="46" t="str">
        <f t="shared" si="12"/>
        <v>TinOMSA</v>
      </c>
      <c r="K393" s="46" t="str">
        <f t="shared" si="13"/>
        <v>TinOMSA</v>
      </c>
      <c r="T393"/>
    </row>
    <row r="394" spans="1:20" ht="10.5" customHeight="1">
      <c r="A394" s="255" t="s">
        <v>2324</v>
      </c>
      <c r="B394" s="255" t="s">
        <v>3494</v>
      </c>
      <c r="C394" s="255" t="s">
        <v>3494</v>
      </c>
      <c r="D394" s="255" t="s">
        <v>2169</v>
      </c>
      <c r="E394" s="255" t="s">
        <v>1384</v>
      </c>
      <c r="F394" s="255" t="s">
        <v>3125</v>
      </c>
      <c r="G394" s="255"/>
      <c r="H394" s="255" t="s">
        <v>3459</v>
      </c>
      <c r="I394" s="255" t="s">
        <v>3460</v>
      </c>
      <c r="J394" s="46" t="str">
        <f t="shared" si="12"/>
        <v>TinOperaciones Metalurgical S.A.</v>
      </c>
      <c r="K394" s="46" t="str">
        <f t="shared" si="13"/>
        <v>TinOperaciones Metalurgical S.A.</v>
      </c>
      <c r="T394"/>
    </row>
    <row r="395" spans="1:20" ht="10.5" customHeight="1">
      <c r="A395" s="255" t="s">
        <v>2324</v>
      </c>
      <c r="B395" s="255" t="s">
        <v>3443</v>
      </c>
      <c r="C395" s="255" t="s">
        <v>4149</v>
      </c>
      <c r="D395" s="255" t="s">
        <v>2181</v>
      </c>
      <c r="E395" s="255" t="s">
        <v>1363</v>
      </c>
      <c r="F395" s="255" t="s">
        <v>3125</v>
      </c>
      <c r="G395" s="255"/>
      <c r="H395" s="255" t="s">
        <v>3441</v>
      </c>
      <c r="I395" s="255" t="s">
        <v>3442</v>
      </c>
      <c r="J395" s="46" t="str">
        <f t="shared" si="12"/>
        <v>TinPGMA</v>
      </c>
      <c r="K395" s="46" t="str">
        <f t="shared" si="13"/>
        <v>TinPGMA</v>
      </c>
      <c r="T395"/>
    </row>
    <row r="396" spans="1:20" ht="10.5" customHeight="1">
      <c r="A396" s="255" t="s">
        <v>2324</v>
      </c>
      <c r="B396" s="255" t="s">
        <v>3437</v>
      </c>
      <c r="C396" s="255" t="s">
        <v>3437</v>
      </c>
      <c r="D396" s="255" t="s">
        <v>1718</v>
      </c>
      <c r="E396" s="255" t="s">
        <v>2702</v>
      </c>
      <c r="F396" s="255" t="s">
        <v>3125</v>
      </c>
      <c r="G396" s="255"/>
      <c r="H396" s="255" t="s">
        <v>3438</v>
      </c>
      <c r="I396" s="255" t="s">
        <v>3439</v>
      </c>
      <c r="J396" s="46" t="str">
        <f t="shared" si="12"/>
        <v>TinPhoenix Metal Ltd.</v>
      </c>
      <c r="K396" s="46" t="str">
        <f t="shared" si="13"/>
        <v>TinPhoenix Metal Ltd.</v>
      </c>
      <c r="T396"/>
    </row>
    <row r="397" spans="1:20" ht="10.5" customHeight="1">
      <c r="A397" s="255" t="s">
        <v>2324</v>
      </c>
      <c r="B397" s="255" t="s">
        <v>2668</v>
      </c>
      <c r="C397" s="255" t="s">
        <v>2668</v>
      </c>
      <c r="D397" s="255" t="s">
        <v>2238</v>
      </c>
      <c r="E397" s="255" t="s">
        <v>2669</v>
      </c>
      <c r="F397" s="255" t="s">
        <v>3125</v>
      </c>
      <c r="G397" s="255"/>
      <c r="H397" s="255" t="s">
        <v>3457</v>
      </c>
      <c r="I397" s="255" t="s">
        <v>3454</v>
      </c>
      <c r="J397" s="46" t="str">
        <f t="shared" si="12"/>
        <v>TinPT Alam Lestari Kencana</v>
      </c>
      <c r="K397" s="46" t="str">
        <f t="shared" si="13"/>
        <v>TinPT Alam Lestari Kencana</v>
      </c>
      <c r="T397"/>
    </row>
    <row r="398" spans="1:20" ht="10.5" customHeight="1">
      <c r="A398" s="255" t="s">
        <v>2324</v>
      </c>
      <c r="B398" s="255" t="s">
        <v>4289</v>
      </c>
      <c r="C398" s="255" t="s">
        <v>4289</v>
      </c>
      <c r="D398" s="255" t="s">
        <v>2238</v>
      </c>
      <c r="E398" s="255" t="s">
        <v>2667</v>
      </c>
      <c r="F398" s="255" t="s">
        <v>3125</v>
      </c>
      <c r="G398" s="255"/>
      <c r="H398" s="255" t="s">
        <v>3455</v>
      </c>
      <c r="I398" s="255" t="s">
        <v>3454</v>
      </c>
      <c r="J398" s="46" t="str">
        <f t="shared" si="12"/>
        <v>TinPT Aries Kencana Sejahtera</v>
      </c>
      <c r="K398" s="46" t="str">
        <f t="shared" si="13"/>
        <v>TinPT Aries Kencana Sejahtera</v>
      </c>
      <c r="T398"/>
    </row>
    <row r="399" spans="1:20" ht="10.5" customHeight="1">
      <c r="A399" s="255" t="s">
        <v>2324</v>
      </c>
      <c r="B399" s="255" t="s">
        <v>1508</v>
      </c>
      <c r="C399" s="255" t="s">
        <v>1508</v>
      </c>
      <c r="D399" s="255" t="s">
        <v>2238</v>
      </c>
      <c r="E399" s="255" t="s">
        <v>1385</v>
      </c>
      <c r="F399" s="255" t="s">
        <v>3125</v>
      </c>
      <c r="G399" s="255"/>
      <c r="H399" s="255" t="s">
        <v>3453</v>
      </c>
      <c r="I399" s="255" t="s">
        <v>3454</v>
      </c>
      <c r="J399" s="46" t="str">
        <f t="shared" si="12"/>
        <v>TinPT Artha Cipta Langgeng</v>
      </c>
      <c r="K399" s="46" t="str">
        <f t="shared" si="13"/>
        <v>TinPT Artha Cipta Langgeng</v>
      </c>
      <c r="T399"/>
    </row>
    <row r="400" spans="1:20" ht="10.5" customHeight="1">
      <c r="A400" s="255" t="s">
        <v>2324</v>
      </c>
      <c r="B400" s="255" t="s">
        <v>2708</v>
      </c>
      <c r="C400" s="255" t="s">
        <v>2708</v>
      </c>
      <c r="D400" s="255" t="s">
        <v>2238</v>
      </c>
      <c r="E400" s="255" t="s">
        <v>2709</v>
      </c>
      <c r="F400" s="255" t="s">
        <v>3125</v>
      </c>
      <c r="G400" s="255"/>
      <c r="H400" s="255" t="s">
        <v>3453</v>
      </c>
      <c r="I400" s="255" t="s">
        <v>3454</v>
      </c>
      <c r="J400" s="46" t="str">
        <f t="shared" si="12"/>
        <v>TinPT ATD Makmur Mandiri Jaya</v>
      </c>
      <c r="K400" s="46" t="str">
        <f t="shared" si="13"/>
        <v>TinPT ATD Makmur Mandiri Jaya</v>
      </c>
      <c r="T400"/>
    </row>
    <row r="401" spans="1:20" ht="10.5" customHeight="1">
      <c r="A401" s="255" t="s">
        <v>2324</v>
      </c>
      <c r="B401" s="255" t="s">
        <v>1509</v>
      </c>
      <c r="C401" s="255" t="s">
        <v>1509</v>
      </c>
      <c r="D401" s="255" t="s">
        <v>2238</v>
      </c>
      <c r="E401" s="255" t="s">
        <v>1386</v>
      </c>
      <c r="F401" s="255" t="s">
        <v>3125</v>
      </c>
      <c r="G401" s="255"/>
      <c r="H401" s="255" t="s">
        <v>3495</v>
      </c>
      <c r="I401" s="255" t="s">
        <v>3454</v>
      </c>
      <c r="J401" s="46" t="str">
        <f t="shared" si="12"/>
        <v>TinPT Babel Inti Perkasa</v>
      </c>
      <c r="K401" s="46" t="str">
        <f t="shared" si="13"/>
        <v>TinPT Babel Inti Perkasa</v>
      </c>
      <c r="T401"/>
    </row>
    <row r="402" spans="1:20" ht="10.5" customHeight="1">
      <c r="A402" s="255" t="s">
        <v>2324</v>
      </c>
      <c r="B402" s="255" t="s">
        <v>2670</v>
      </c>
      <c r="C402" s="255" t="s">
        <v>2670</v>
      </c>
      <c r="D402" s="255" t="s">
        <v>2238</v>
      </c>
      <c r="E402" s="255" t="s">
        <v>2671</v>
      </c>
      <c r="F402" s="255" t="s">
        <v>3125</v>
      </c>
      <c r="G402" s="255"/>
      <c r="H402" s="255" t="s">
        <v>3453</v>
      </c>
      <c r="I402" s="255" t="s">
        <v>3454</v>
      </c>
      <c r="J402" s="46" t="str">
        <f t="shared" si="12"/>
        <v>TinPT Bangka Kudai Tin</v>
      </c>
      <c r="K402" s="46" t="str">
        <f t="shared" si="13"/>
        <v>TinPT Bangka Kudai Tin</v>
      </c>
      <c r="T402"/>
    </row>
    <row r="403" spans="1:20" ht="10.5" customHeight="1">
      <c r="A403" s="255" t="s">
        <v>2324</v>
      </c>
      <c r="B403" s="255" t="s">
        <v>4277</v>
      </c>
      <c r="C403" s="255" t="s">
        <v>4277</v>
      </c>
      <c r="D403" s="255" t="s">
        <v>2238</v>
      </c>
      <c r="E403" s="255" t="s">
        <v>4278</v>
      </c>
      <c r="F403" s="255" t="s">
        <v>3125</v>
      </c>
      <c r="G403" s="255"/>
      <c r="H403" s="255" t="s">
        <v>3455</v>
      </c>
      <c r="I403" s="255" t="s">
        <v>3454</v>
      </c>
      <c r="J403" s="46" t="str">
        <f t="shared" si="12"/>
        <v>TinPT Bangka Prima Tin</v>
      </c>
      <c r="K403" s="46" t="str">
        <f t="shared" si="13"/>
        <v>TinPT Bangka Prima Tin</v>
      </c>
      <c r="T403"/>
    </row>
    <row r="404" spans="1:20" ht="10.5" customHeight="1">
      <c r="A404" s="255" t="s">
        <v>2324</v>
      </c>
      <c r="B404" s="255" t="s">
        <v>2672</v>
      </c>
      <c r="C404" s="255" t="s">
        <v>2672</v>
      </c>
      <c r="D404" s="255" t="s">
        <v>2238</v>
      </c>
      <c r="E404" s="255" t="s">
        <v>2673</v>
      </c>
      <c r="F404" s="255" t="s">
        <v>3125</v>
      </c>
      <c r="G404" s="255"/>
      <c r="H404" s="255" t="s">
        <v>3457</v>
      </c>
      <c r="I404" s="255" t="s">
        <v>3454</v>
      </c>
      <c r="J404" s="46" t="str">
        <f t="shared" si="12"/>
        <v>TinPT Bangka Timah Utama Sejahtera</v>
      </c>
      <c r="K404" s="46" t="str">
        <f t="shared" si="13"/>
        <v>TinPT Bangka Timah Utama Sejahtera</v>
      </c>
      <c r="T404"/>
    </row>
    <row r="405" spans="1:20" ht="10.5" customHeight="1">
      <c r="A405" s="255" t="s">
        <v>2324</v>
      </c>
      <c r="B405" s="255" t="s">
        <v>1173</v>
      </c>
      <c r="C405" s="255" t="s">
        <v>1173</v>
      </c>
      <c r="D405" s="255" t="s">
        <v>2238</v>
      </c>
      <c r="E405" s="255" t="s">
        <v>1387</v>
      </c>
      <c r="F405" s="255" t="s">
        <v>3125</v>
      </c>
      <c r="G405" s="255"/>
      <c r="H405" s="255" t="s">
        <v>3453</v>
      </c>
      <c r="I405" s="255" t="s">
        <v>3454</v>
      </c>
      <c r="J405" s="46" t="str">
        <f t="shared" si="12"/>
        <v>TinPT Bangka Tin Industry</v>
      </c>
      <c r="K405" s="46" t="str">
        <f t="shared" si="13"/>
        <v>TinPT Bangka Tin Industry</v>
      </c>
      <c r="T405"/>
    </row>
    <row r="406" spans="1:20" ht="10.5" customHeight="1">
      <c r="A406" s="255" t="s">
        <v>2324</v>
      </c>
      <c r="B406" s="255" t="s">
        <v>1193</v>
      </c>
      <c r="C406" s="255" t="s">
        <v>1193</v>
      </c>
      <c r="D406" s="255" t="s">
        <v>2238</v>
      </c>
      <c r="E406" s="255" t="s">
        <v>1388</v>
      </c>
      <c r="F406" s="255" t="s">
        <v>3125</v>
      </c>
      <c r="G406" s="255"/>
      <c r="H406" s="255" t="s">
        <v>3496</v>
      </c>
      <c r="I406" s="255" t="s">
        <v>3454</v>
      </c>
      <c r="J406" s="46" t="str">
        <f t="shared" si="12"/>
        <v>TinPT Belitung Industri Sejahtera</v>
      </c>
      <c r="K406" s="46" t="str">
        <f t="shared" si="13"/>
        <v>TinPT Belitung Industri Sejahtera</v>
      </c>
      <c r="T406"/>
    </row>
    <row r="407" spans="1:20" ht="10.5" customHeight="1">
      <c r="A407" s="255" t="s">
        <v>2324</v>
      </c>
      <c r="B407" s="255" t="s">
        <v>2674</v>
      </c>
      <c r="C407" s="255" t="s">
        <v>2674</v>
      </c>
      <c r="D407" s="255" t="s">
        <v>2238</v>
      </c>
      <c r="E407" s="255" t="s">
        <v>2675</v>
      </c>
      <c r="F407" s="255" t="s">
        <v>3125</v>
      </c>
      <c r="G407" s="255"/>
      <c r="H407" s="255" t="s">
        <v>3453</v>
      </c>
      <c r="I407" s="255" t="s">
        <v>3454</v>
      </c>
      <c r="J407" s="46" t="str">
        <f t="shared" si="12"/>
        <v>TinPT BilliTin Makmur Lestari</v>
      </c>
      <c r="K407" s="46" t="str">
        <f t="shared" si="13"/>
        <v>TinPT BilliTin Makmur Lestari</v>
      </c>
      <c r="T407"/>
    </row>
    <row r="408" spans="1:20" ht="10.5" customHeight="1">
      <c r="A408" s="255" t="s">
        <v>2324</v>
      </c>
      <c r="B408" s="255" t="s">
        <v>1194</v>
      </c>
      <c r="C408" s="255" t="s">
        <v>1194</v>
      </c>
      <c r="D408" s="255" t="s">
        <v>2238</v>
      </c>
      <c r="E408" s="255" t="s">
        <v>1389</v>
      </c>
      <c r="F408" s="255" t="s">
        <v>3125</v>
      </c>
      <c r="G408" s="255"/>
      <c r="H408" s="255" t="s">
        <v>3457</v>
      </c>
      <c r="I408" s="255" t="s">
        <v>3454</v>
      </c>
      <c r="J408" s="46" t="str">
        <f t="shared" si="12"/>
        <v>TinPT Bukit Timah</v>
      </c>
      <c r="K408" s="46" t="str">
        <f t="shared" si="13"/>
        <v>TinPT Bukit Timah</v>
      </c>
      <c r="T408"/>
    </row>
    <row r="409" spans="1:20" ht="10.5" customHeight="1">
      <c r="A409" s="255" t="s">
        <v>2324</v>
      </c>
      <c r="B409" s="255" t="s">
        <v>3543</v>
      </c>
      <c r="C409" s="255" t="s">
        <v>3543</v>
      </c>
      <c r="D409" s="255" t="s">
        <v>2238</v>
      </c>
      <c r="E409" s="255" t="s">
        <v>3544</v>
      </c>
      <c r="F409" s="255" t="s">
        <v>3125</v>
      </c>
      <c r="G409" s="255"/>
      <c r="H409" s="255" t="s">
        <v>3496</v>
      </c>
      <c r="I409" s="255" t="s">
        <v>3454</v>
      </c>
      <c r="J409" s="46" t="str">
        <f t="shared" si="12"/>
        <v>TinPT Cipta Persada Mulia</v>
      </c>
      <c r="K409" s="46" t="str">
        <f t="shared" si="13"/>
        <v>TinPT Cipta Persada Mulia</v>
      </c>
      <c r="T409"/>
    </row>
    <row r="410" spans="1:20" ht="10.5" customHeight="1">
      <c r="A410" s="255" t="s">
        <v>2324</v>
      </c>
      <c r="B410" s="255" t="s">
        <v>1174</v>
      </c>
      <c r="C410" s="255" t="s">
        <v>1174</v>
      </c>
      <c r="D410" s="255" t="s">
        <v>2238</v>
      </c>
      <c r="E410" s="255" t="s">
        <v>1390</v>
      </c>
      <c r="F410" s="255" t="s">
        <v>3125</v>
      </c>
      <c r="G410" s="255"/>
      <c r="H410" s="255" t="s">
        <v>3457</v>
      </c>
      <c r="I410" s="255" t="s">
        <v>3454</v>
      </c>
      <c r="J410" s="46" t="str">
        <f t="shared" si="12"/>
        <v>TinPT DS Jaya Abadi</v>
      </c>
      <c r="K410" s="46" t="str">
        <f t="shared" si="13"/>
        <v>TinPT DS Jaya Abadi</v>
      </c>
      <c r="T410"/>
    </row>
    <row r="411" spans="1:20" ht="10.5" customHeight="1">
      <c r="A411" s="255" t="s">
        <v>2324</v>
      </c>
      <c r="B411" s="255" t="s">
        <v>1195</v>
      </c>
      <c r="C411" s="255" t="s">
        <v>1195</v>
      </c>
      <c r="D411" s="255" t="s">
        <v>2238</v>
      </c>
      <c r="E411" s="255" t="s">
        <v>1391</v>
      </c>
      <c r="F411" s="255" t="s">
        <v>3125</v>
      </c>
      <c r="G411" s="255"/>
      <c r="H411" s="255" t="s">
        <v>3500</v>
      </c>
      <c r="I411" s="255" t="s">
        <v>3499</v>
      </c>
      <c r="J411" s="46" t="str">
        <f t="shared" si="12"/>
        <v>TinPT Eunindo Usaha Mandiri</v>
      </c>
      <c r="K411" s="46" t="str">
        <f t="shared" si="13"/>
        <v>TinPT Eunindo Usaha Mandiri</v>
      </c>
      <c r="T411"/>
    </row>
    <row r="412" spans="1:20" ht="10.5" customHeight="1">
      <c r="A412" s="255" t="s">
        <v>2324</v>
      </c>
      <c r="B412" s="255" t="s">
        <v>2676</v>
      </c>
      <c r="C412" s="255" t="s">
        <v>2676</v>
      </c>
      <c r="D412" s="255" t="s">
        <v>2238</v>
      </c>
      <c r="E412" s="255" t="s">
        <v>2677</v>
      </c>
      <c r="F412" s="255" t="s">
        <v>3125</v>
      </c>
      <c r="G412" s="255"/>
      <c r="H412" s="255" t="s">
        <v>3457</v>
      </c>
      <c r="I412" s="255" t="s">
        <v>3454</v>
      </c>
      <c r="J412" s="46" t="str">
        <f t="shared" si="12"/>
        <v>TinPT Fang Di MulTindo</v>
      </c>
      <c r="K412" s="46" t="str">
        <f t="shared" si="13"/>
        <v>TinPT Fang Di MulTindo</v>
      </c>
      <c r="T412"/>
    </row>
    <row r="413" spans="1:20" ht="10.5" customHeight="1">
      <c r="A413" s="255" t="s">
        <v>2324</v>
      </c>
      <c r="B413" s="255" t="s">
        <v>59</v>
      </c>
      <c r="C413" s="255" t="s">
        <v>1194</v>
      </c>
      <c r="D413" s="255" t="s">
        <v>2238</v>
      </c>
      <c r="E413" s="255" t="s">
        <v>1389</v>
      </c>
      <c r="F413" s="255" t="s">
        <v>3125</v>
      </c>
      <c r="G413" s="255"/>
      <c r="H413" s="255" t="s">
        <v>3457</v>
      </c>
      <c r="I413" s="255" t="s">
        <v>3454</v>
      </c>
      <c r="J413" s="46" t="str">
        <f t="shared" si="12"/>
        <v>TinPT Indora Ermulti</v>
      </c>
      <c r="K413" s="46" t="str">
        <f t="shared" si="13"/>
        <v>TinPT Indora Ermulti</v>
      </c>
      <c r="T413"/>
    </row>
    <row r="414" spans="1:20" ht="10.5" customHeight="1">
      <c r="A414" s="255" t="s">
        <v>2324</v>
      </c>
      <c r="B414" s="255" t="s">
        <v>3498</v>
      </c>
      <c r="C414" s="255" t="s">
        <v>1194</v>
      </c>
      <c r="D414" s="255" t="s">
        <v>2238</v>
      </c>
      <c r="E414" s="255" t="s">
        <v>1389</v>
      </c>
      <c r="F414" s="255" t="s">
        <v>3125</v>
      </c>
      <c r="G414" s="255"/>
      <c r="H414" s="255" t="s">
        <v>3457</v>
      </c>
      <c r="I414" s="255" t="s">
        <v>3454</v>
      </c>
      <c r="J414" s="46" t="str">
        <f t="shared" si="12"/>
        <v>TinPT Indra Eramult Logam Industri</v>
      </c>
      <c r="K414" s="46" t="str">
        <f t="shared" si="13"/>
        <v>TinPT Indra Eramult Logam Industri</v>
      </c>
      <c r="T414"/>
    </row>
    <row r="415" spans="1:20" s="231" customFormat="1" ht="10.15" customHeight="1">
      <c r="A415" s="255" t="s">
        <v>2324</v>
      </c>
      <c r="B415" s="255" t="s">
        <v>2710</v>
      </c>
      <c r="C415" s="255" t="s">
        <v>2710</v>
      </c>
      <c r="D415" s="255" t="s">
        <v>2238</v>
      </c>
      <c r="E415" s="255" t="s">
        <v>2711</v>
      </c>
      <c r="F415" s="255" t="s">
        <v>3125</v>
      </c>
      <c r="G415" s="255"/>
      <c r="H415" s="255" t="s">
        <v>3453</v>
      </c>
      <c r="I415" s="255" t="s">
        <v>3454</v>
      </c>
      <c r="J415" s="46" t="str">
        <f t="shared" si="12"/>
        <v>TinPT Inti Stania Prima</v>
      </c>
      <c r="K415" s="46" t="str">
        <f t="shared" si="13"/>
        <v>TinPT Inti Stania Prima</v>
      </c>
      <c r="N415" s="46"/>
      <c r="T415"/>
    </row>
    <row r="416" spans="1:20" ht="10.5" customHeight="1">
      <c r="A416" s="255" t="s">
        <v>2324</v>
      </c>
      <c r="B416" s="255" t="s">
        <v>4252</v>
      </c>
      <c r="C416" s="255" t="s">
        <v>4252</v>
      </c>
      <c r="D416" s="255" t="s">
        <v>2238</v>
      </c>
      <c r="E416" s="255" t="s">
        <v>2666</v>
      </c>
      <c r="F416" s="255" t="s">
        <v>3125</v>
      </c>
      <c r="G416" s="255"/>
      <c r="H416" s="255" t="s">
        <v>3455</v>
      </c>
      <c r="I416" s="255" t="s">
        <v>3454</v>
      </c>
      <c r="J416" s="46" t="str">
        <f t="shared" si="12"/>
        <v>TinPT Justindo</v>
      </c>
      <c r="K416" s="46" t="str">
        <f t="shared" si="13"/>
        <v>TinPT Justindo</v>
      </c>
      <c r="T416"/>
    </row>
    <row r="417" spans="1:20" ht="10.5" customHeight="1">
      <c r="A417" s="255" t="s">
        <v>2324</v>
      </c>
      <c r="B417" s="255" t="s">
        <v>1175</v>
      </c>
      <c r="C417" s="255" t="s">
        <v>1175</v>
      </c>
      <c r="D417" s="255" t="s">
        <v>2238</v>
      </c>
      <c r="E417" s="255" t="s">
        <v>1392</v>
      </c>
      <c r="F417" s="255" t="s">
        <v>3125</v>
      </c>
      <c r="G417" s="255"/>
      <c r="H417" s="255" t="s">
        <v>3500</v>
      </c>
      <c r="I417" s="255" t="s">
        <v>3499</v>
      </c>
      <c r="J417" s="46" t="str">
        <f t="shared" si="12"/>
        <v>TinPT Karimun Mining</v>
      </c>
      <c r="K417" s="46" t="str">
        <f t="shared" si="13"/>
        <v>TinPT Karimun Mining</v>
      </c>
      <c r="T417"/>
    </row>
    <row r="418" spans="1:20" ht="10.5" customHeight="1">
      <c r="A418" s="255" t="s">
        <v>2324</v>
      </c>
      <c r="B418" s="255" t="s">
        <v>4363</v>
      </c>
      <c r="C418" s="255" t="s">
        <v>4363</v>
      </c>
      <c r="D418" s="255" t="s">
        <v>2238</v>
      </c>
      <c r="E418" s="255" t="s">
        <v>4364</v>
      </c>
      <c r="F418" s="255" t="s">
        <v>3125</v>
      </c>
      <c r="G418" s="255"/>
      <c r="H418" s="255" t="s">
        <v>3453</v>
      </c>
      <c r="I418" s="255" t="s">
        <v>3454</v>
      </c>
      <c r="J418" s="46" t="str">
        <f t="shared" si="12"/>
        <v>TinPT Kijang Jaya Mandiri</v>
      </c>
      <c r="K418" s="46" t="str">
        <f t="shared" si="13"/>
        <v>TinPT Kijang Jaya Mandiri</v>
      </c>
      <c r="T418"/>
    </row>
    <row r="419" spans="1:20" ht="10.5" customHeight="1">
      <c r="A419" s="255" t="s">
        <v>2324</v>
      </c>
      <c r="B419" s="255" t="s">
        <v>1196</v>
      </c>
      <c r="C419" s="255" t="s">
        <v>1196</v>
      </c>
      <c r="D419" s="255" t="s">
        <v>2238</v>
      </c>
      <c r="E419" s="255" t="s">
        <v>1393</v>
      </c>
      <c r="F419" s="255" t="s">
        <v>3125</v>
      </c>
      <c r="G419" s="255"/>
      <c r="H419" s="255" t="s">
        <v>3453</v>
      </c>
      <c r="I419" s="255" t="s">
        <v>3454</v>
      </c>
      <c r="J419" s="46" t="str">
        <f t="shared" si="12"/>
        <v>TinPT Mitra Stania Prima</v>
      </c>
      <c r="K419" s="46" t="str">
        <f t="shared" si="13"/>
        <v>TinPT Mitra Stania Prima</v>
      </c>
      <c r="T419"/>
    </row>
    <row r="420" spans="1:20" ht="10.5" customHeight="1">
      <c r="A420" s="255" t="s">
        <v>2324</v>
      </c>
      <c r="B420" s="255" t="s">
        <v>4746</v>
      </c>
      <c r="C420" s="255" t="s">
        <v>4746</v>
      </c>
      <c r="D420" s="255" t="s">
        <v>2238</v>
      </c>
      <c r="E420" s="255" t="s">
        <v>4747</v>
      </c>
      <c r="F420" s="255" t="s">
        <v>3125</v>
      </c>
      <c r="G420" s="255"/>
      <c r="H420" s="255" t="s">
        <v>4771</v>
      </c>
      <c r="I420" s="255" t="s">
        <v>3502</v>
      </c>
      <c r="J420" s="46" t="str">
        <f t="shared" si="12"/>
        <v>TinPT O.M. Indonesia</v>
      </c>
      <c r="K420" s="46" t="str">
        <f t="shared" si="13"/>
        <v>TinPT O.M. Indonesia</v>
      </c>
      <c r="T420"/>
    </row>
    <row r="421" spans="1:20" ht="10.5" customHeight="1">
      <c r="A421" s="255" t="s">
        <v>2324</v>
      </c>
      <c r="B421" s="255" t="s">
        <v>2678</v>
      </c>
      <c r="C421" s="255" t="s">
        <v>2678</v>
      </c>
      <c r="D421" s="255" t="s">
        <v>2238</v>
      </c>
      <c r="E421" s="255" t="s">
        <v>2679</v>
      </c>
      <c r="F421" s="255" t="s">
        <v>3125</v>
      </c>
      <c r="G421" s="255"/>
      <c r="H421" s="255" t="s">
        <v>3453</v>
      </c>
      <c r="I421" s="255" t="s">
        <v>3454</v>
      </c>
      <c r="J421" s="46" t="str">
        <f t="shared" si="12"/>
        <v>TinPT Panca Mega Persada</v>
      </c>
      <c r="K421" s="46" t="str">
        <f t="shared" si="13"/>
        <v>TinPT Panca Mega Persada</v>
      </c>
      <c r="T421"/>
    </row>
    <row r="422" spans="1:20" ht="10.5" customHeight="1">
      <c r="A422" s="255" t="s">
        <v>2324</v>
      </c>
      <c r="B422" s="255" t="s">
        <v>2758</v>
      </c>
      <c r="C422" s="255" t="s">
        <v>2758</v>
      </c>
      <c r="D422" s="255" t="s">
        <v>2238</v>
      </c>
      <c r="E422" s="255" t="s">
        <v>2683</v>
      </c>
      <c r="F422" s="255" t="s">
        <v>3125</v>
      </c>
      <c r="G422" s="255"/>
      <c r="H422" s="255" t="s">
        <v>3455</v>
      </c>
      <c r="I422" s="255" t="s">
        <v>3454</v>
      </c>
      <c r="J422" s="46" t="str">
        <f t="shared" si="12"/>
        <v>TinPT Pelat Timah Nusantara Tbk</v>
      </c>
      <c r="K422" s="46" t="str">
        <f t="shared" si="13"/>
        <v>TinPT Pelat Timah Nusantara Tbk</v>
      </c>
      <c r="T422"/>
    </row>
    <row r="423" spans="1:20" ht="10.5" customHeight="1">
      <c r="A423" s="255" t="s">
        <v>2324</v>
      </c>
      <c r="B423" s="255" t="s">
        <v>1394</v>
      </c>
      <c r="C423" s="255" t="s">
        <v>1394</v>
      </c>
      <c r="D423" s="255" t="s">
        <v>2238</v>
      </c>
      <c r="E423" s="255" t="s">
        <v>1395</v>
      </c>
      <c r="F423" s="255" t="s">
        <v>3125</v>
      </c>
      <c r="G423" s="255"/>
      <c r="H423" s="255" t="s">
        <v>3496</v>
      </c>
      <c r="I423" s="255" t="s">
        <v>3454</v>
      </c>
      <c r="J423" s="46" t="str">
        <f t="shared" si="12"/>
        <v>TinPT Prima Timah Utama</v>
      </c>
      <c r="K423" s="46" t="str">
        <f t="shared" si="13"/>
        <v>TinPT Prima Timah Utama</v>
      </c>
      <c r="T423"/>
    </row>
    <row r="424" spans="1:20" ht="10.5" customHeight="1">
      <c r="A424" s="255" t="s">
        <v>2324</v>
      </c>
      <c r="B424" s="255" t="s">
        <v>4169</v>
      </c>
      <c r="C424" s="255" t="s">
        <v>4169</v>
      </c>
      <c r="D424" s="255" t="s">
        <v>2238</v>
      </c>
      <c r="E424" s="255" t="s">
        <v>1396</v>
      </c>
      <c r="F424" s="255" t="s">
        <v>3125</v>
      </c>
      <c r="G424" s="255"/>
      <c r="H424" s="255" t="s">
        <v>3453</v>
      </c>
      <c r="I424" s="255" t="s">
        <v>3454</v>
      </c>
      <c r="J424" s="46" t="str">
        <f t="shared" si="12"/>
        <v>TinPT Refined Bangka Tin</v>
      </c>
      <c r="K424" s="46" t="str">
        <f t="shared" si="13"/>
        <v>TinPT Refined Bangka Tin</v>
      </c>
      <c r="T424"/>
    </row>
    <row r="425" spans="1:20" ht="10.5" customHeight="1">
      <c r="A425" s="255" t="s">
        <v>2324</v>
      </c>
      <c r="B425" s="255" t="s">
        <v>1197</v>
      </c>
      <c r="C425" s="255" t="s">
        <v>1197</v>
      </c>
      <c r="D425" s="255" t="s">
        <v>2238</v>
      </c>
      <c r="E425" s="255" t="s">
        <v>1397</v>
      </c>
      <c r="F425" s="255" t="s">
        <v>3125</v>
      </c>
      <c r="G425" s="255"/>
      <c r="H425" s="255" t="s">
        <v>3457</v>
      </c>
      <c r="I425" s="255" t="s">
        <v>3454</v>
      </c>
      <c r="J425" s="46" t="str">
        <f t="shared" si="12"/>
        <v>TinPT Sariwiguna Binasentosa</v>
      </c>
      <c r="K425" s="46" t="str">
        <f t="shared" si="13"/>
        <v>TinPT Sariwiguna Binasentosa</v>
      </c>
      <c r="T425"/>
    </row>
    <row r="426" spans="1:20" ht="10.5" customHeight="1">
      <c r="A426" s="255" t="s">
        <v>2324</v>
      </c>
      <c r="B426" s="255" t="s">
        <v>4170</v>
      </c>
      <c r="C426" s="255" t="s">
        <v>4170</v>
      </c>
      <c r="D426" s="255" t="s">
        <v>2238</v>
      </c>
      <c r="E426" s="255" t="s">
        <v>2680</v>
      </c>
      <c r="F426" s="255" t="s">
        <v>3125</v>
      </c>
      <c r="G426" s="255"/>
      <c r="H426" s="255" t="s">
        <v>3453</v>
      </c>
      <c r="I426" s="255" t="s">
        <v>3454</v>
      </c>
      <c r="J426" s="46" t="str">
        <f t="shared" si="12"/>
        <v>TinPT Seirama Tin Investment</v>
      </c>
      <c r="K426" s="46" t="str">
        <f t="shared" si="13"/>
        <v>TinPT Seirama Tin Investment</v>
      </c>
      <c r="T426"/>
    </row>
    <row r="427" spans="1:20" ht="10.5" customHeight="1">
      <c r="A427" s="255" t="s">
        <v>2324</v>
      </c>
      <c r="B427" s="255" t="s">
        <v>2369</v>
      </c>
      <c r="C427" s="255" t="s">
        <v>2369</v>
      </c>
      <c r="D427" s="255" t="s">
        <v>2238</v>
      </c>
      <c r="E427" s="255" t="s">
        <v>1398</v>
      </c>
      <c r="F427" s="255" t="s">
        <v>3125</v>
      </c>
      <c r="G427" s="255"/>
      <c r="H427" s="255" t="s">
        <v>3457</v>
      </c>
      <c r="I427" s="255" t="s">
        <v>3454</v>
      </c>
      <c r="J427" s="46" t="str">
        <f t="shared" si="12"/>
        <v>TinPT Stanindo Inti Perkasa</v>
      </c>
      <c r="K427" s="46" t="str">
        <f t="shared" si="13"/>
        <v>TinPT Stanindo Inti Perkasa</v>
      </c>
      <c r="T427"/>
    </row>
    <row r="428" spans="1:20" ht="10.5" customHeight="1">
      <c r="A428" s="255" t="s">
        <v>2324</v>
      </c>
      <c r="B428" s="255" t="s">
        <v>4320</v>
      </c>
      <c r="C428" s="255" t="s">
        <v>4320</v>
      </c>
      <c r="D428" s="255" t="s">
        <v>2238</v>
      </c>
      <c r="E428" s="255" t="s">
        <v>4321</v>
      </c>
      <c r="F428" s="255" t="s">
        <v>3125</v>
      </c>
      <c r="G428" s="255"/>
      <c r="H428" s="255" t="s">
        <v>3455</v>
      </c>
      <c r="I428" s="255" t="s">
        <v>3454</v>
      </c>
      <c r="J428" s="46" t="str">
        <f t="shared" si="12"/>
        <v>TinPT Sukses Inti Makmur</v>
      </c>
      <c r="K428" s="46" t="str">
        <f t="shared" si="13"/>
        <v>TinPT Sukses Inti Makmur</v>
      </c>
      <c r="T428"/>
    </row>
    <row r="429" spans="1:20" ht="10.5" customHeight="1">
      <c r="A429" s="255" t="s">
        <v>2324</v>
      </c>
      <c r="B429" s="255" t="s">
        <v>2681</v>
      </c>
      <c r="C429" s="255" t="s">
        <v>2681</v>
      </c>
      <c r="D429" s="255" t="s">
        <v>2238</v>
      </c>
      <c r="E429" s="255" t="s">
        <v>2682</v>
      </c>
      <c r="F429" s="255" t="s">
        <v>3125</v>
      </c>
      <c r="G429" s="255"/>
      <c r="H429" s="255" t="s">
        <v>3457</v>
      </c>
      <c r="I429" s="255" t="s">
        <v>3454</v>
      </c>
      <c r="J429" s="46" t="str">
        <f t="shared" si="12"/>
        <v>TinPT Sumber Jaya Indah</v>
      </c>
      <c r="K429" s="46" t="str">
        <f t="shared" si="13"/>
        <v>TinPT Sumber Jaya Indah</v>
      </c>
      <c r="T429"/>
    </row>
    <row r="430" spans="1:20" ht="10.5" customHeight="1">
      <c r="A430" s="255" t="s">
        <v>2324</v>
      </c>
      <c r="B430" s="255" t="s">
        <v>1952</v>
      </c>
      <c r="C430" s="255" t="s">
        <v>3503</v>
      </c>
      <c r="D430" s="255" t="s">
        <v>2238</v>
      </c>
      <c r="E430" s="255" t="s">
        <v>1424</v>
      </c>
      <c r="F430" s="255" t="s">
        <v>3125</v>
      </c>
      <c r="G430" s="255"/>
      <c r="H430" s="255" t="s">
        <v>3504</v>
      </c>
      <c r="I430" s="255" t="s">
        <v>3505</v>
      </c>
      <c r="J430" s="46" t="str">
        <f t="shared" si="12"/>
        <v>TinPT Tambang Timah</v>
      </c>
      <c r="K430" s="46" t="str">
        <f t="shared" si="13"/>
        <v>TinPT Tambang Timah</v>
      </c>
      <c r="T430"/>
    </row>
    <row r="431" spans="1:20" ht="10.5" customHeight="1">
      <c r="A431" s="255" t="s">
        <v>2324</v>
      </c>
      <c r="B431" s="255" t="s">
        <v>3503</v>
      </c>
      <c r="C431" s="255" t="s">
        <v>3503</v>
      </c>
      <c r="D431" s="255" t="s">
        <v>2238</v>
      </c>
      <c r="E431" s="255" t="s">
        <v>1424</v>
      </c>
      <c r="F431" s="255" t="s">
        <v>3125</v>
      </c>
      <c r="G431" s="255"/>
      <c r="H431" s="255" t="s">
        <v>3504</v>
      </c>
      <c r="I431" s="255" t="s">
        <v>3505</v>
      </c>
      <c r="J431" s="46" t="str">
        <f t="shared" si="12"/>
        <v>TinPT Timah (Persero) Tbk Kundur</v>
      </c>
      <c r="K431" s="46" t="str">
        <f t="shared" si="13"/>
        <v>TinPT Timah (Persero) Tbk Kundur</v>
      </c>
      <c r="T431"/>
    </row>
    <row r="432" spans="1:20" ht="9.6" customHeight="1">
      <c r="A432" s="255" t="s">
        <v>2324</v>
      </c>
      <c r="B432" s="255" t="s">
        <v>4266</v>
      </c>
      <c r="C432" s="255" t="s">
        <v>4266</v>
      </c>
      <c r="D432" s="255" t="s">
        <v>2238</v>
      </c>
      <c r="E432" s="255" t="s">
        <v>1399</v>
      </c>
      <c r="F432" s="255" t="s">
        <v>3125</v>
      </c>
      <c r="G432" s="255"/>
      <c r="H432" s="255" t="s">
        <v>3507</v>
      </c>
      <c r="I432" s="255" t="s">
        <v>3454</v>
      </c>
      <c r="J432" s="46" t="str">
        <f t="shared" si="12"/>
        <v>TinPT Timah (Persero) Tbk Mentok</v>
      </c>
      <c r="K432" s="46" t="str">
        <f t="shared" si="13"/>
        <v>TinPT Timah (Persero) Tbk Mentok</v>
      </c>
      <c r="T432"/>
    </row>
    <row r="433" spans="1:20" ht="10.5" customHeight="1">
      <c r="A433" s="255" t="s">
        <v>2324</v>
      </c>
      <c r="B433" s="255" t="s">
        <v>4313</v>
      </c>
      <c r="C433" s="255" t="s">
        <v>2758</v>
      </c>
      <c r="D433" s="255" t="s">
        <v>2238</v>
      </c>
      <c r="E433" s="255" t="s">
        <v>2683</v>
      </c>
      <c r="F433" s="255" t="s">
        <v>3125</v>
      </c>
      <c r="G433" s="255"/>
      <c r="H433" s="255" t="s">
        <v>3455</v>
      </c>
      <c r="I433" s="255" t="s">
        <v>3454</v>
      </c>
      <c r="J433" s="46" t="str">
        <f t="shared" si="12"/>
        <v>TinPT Timah Nusantara</v>
      </c>
      <c r="K433" s="46" t="str">
        <f t="shared" si="13"/>
        <v>TinPT Timah Nusantara</v>
      </c>
      <c r="T433"/>
    </row>
    <row r="434" spans="1:20" ht="10.5" customHeight="1">
      <c r="A434" s="255" t="s">
        <v>2324</v>
      </c>
      <c r="B434" s="255" t="s">
        <v>972</v>
      </c>
      <c r="C434" s="255" t="s">
        <v>972</v>
      </c>
      <c r="D434" s="255" t="s">
        <v>2238</v>
      </c>
      <c r="E434" s="255" t="s">
        <v>1400</v>
      </c>
      <c r="F434" s="255" t="s">
        <v>3125</v>
      </c>
      <c r="G434" s="255"/>
      <c r="H434" s="255" t="s">
        <v>3457</v>
      </c>
      <c r="I434" s="255" t="s">
        <v>3454</v>
      </c>
      <c r="J434" s="46" t="str">
        <f t="shared" si="12"/>
        <v>TinPT Tinindo Inter Nusa</v>
      </c>
      <c r="K434" s="46" t="str">
        <f t="shared" si="13"/>
        <v>TinPT Tinindo Inter Nusa</v>
      </c>
      <c r="T434"/>
    </row>
    <row r="435" spans="1:20" ht="10.5" customHeight="1">
      <c r="A435" s="255" t="s">
        <v>2324</v>
      </c>
      <c r="B435" s="255" t="s">
        <v>2712</v>
      </c>
      <c r="C435" s="255" t="s">
        <v>2712</v>
      </c>
      <c r="D435" s="255" t="s">
        <v>2238</v>
      </c>
      <c r="E435" s="255" t="s">
        <v>2713</v>
      </c>
      <c r="F435" s="255" t="s">
        <v>3125</v>
      </c>
      <c r="G435" s="255"/>
      <c r="H435" s="255" t="s">
        <v>3524</v>
      </c>
      <c r="I435" s="255" t="s">
        <v>3502</v>
      </c>
      <c r="J435" s="46" t="str">
        <f t="shared" si="12"/>
        <v>TinPT Tirus Putra Mandiri</v>
      </c>
      <c r="K435" s="46" t="str">
        <f t="shared" si="13"/>
        <v>TinPT Tirus Putra Mandiri</v>
      </c>
      <c r="T435"/>
    </row>
    <row r="436" spans="1:20" ht="10.5" customHeight="1">
      <c r="A436" s="255" t="s">
        <v>2324</v>
      </c>
      <c r="B436" s="255" t="s">
        <v>4329</v>
      </c>
      <c r="C436" s="255" t="s">
        <v>4329</v>
      </c>
      <c r="D436" s="255" t="s">
        <v>2238</v>
      </c>
      <c r="E436" s="255" t="s">
        <v>4330</v>
      </c>
      <c r="F436" s="255" t="s">
        <v>3125</v>
      </c>
      <c r="G436" s="255"/>
      <c r="H436" s="255" t="s">
        <v>4773</v>
      </c>
      <c r="I436" s="255" t="s">
        <v>4772</v>
      </c>
      <c r="J436" s="46" t="str">
        <f t="shared" si="12"/>
        <v>TinPT Tommy Utama</v>
      </c>
      <c r="K436" s="46" t="str">
        <f t="shared" si="13"/>
        <v>TinPT Tommy Utama</v>
      </c>
      <c r="T436"/>
    </row>
    <row r="437" spans="1:20" ht="10.5" customHeight="1">
      <c r="A437" s="255" t="s">
        <v>2324</v>
      </c>
      <c r="B437" s="255" t="s">
        <v>4187</v>
      </c>
      <c r="C437" s="255" t="s">
        <v>4187</v>
      </c>
      <c r="D437" s="255" t="s">
        <v>2238</v>
      </c>
      <c r="E437" s="255" t="s">
        <v>2714</v>
      </c>
      <c r="F437" s="255" t="s">
        <v>3125</v>
      </c>
      <c r="G437" s="255"/>
      <c r="H437" s="255" t="s">
        <v>3525</v>
      </c>
      <c r="I437" s="255" t="s">
        <v>3526</v>
      </c>
      <c r="J437" s="46" t="str">
        <f t="shared" si="12"/>
        <v>TinPT Wahana Perkit Jaya</v>
      </c>
      <c r="K437" s="46" t="str">
        <f t="shared" si="13"/>
        <v>TinPT Wahana Perkit Jaya</v>
      </c>
      <c r="T437"/>
    </row>
    <row r="438" spans="1:20" ht="10.5" customHeight="1">
      <c r="A438" s="255" t="s">
        <v>2324</v>
      </c>
      <c r="B438" s="255" t="s">
        <v>4294</v>
      </c>
      <c r="C438" s="255" t="s">
        <v>4294</v>
      </c>
      <c r="D438" s="255" t="s">
        <v>2170</v>
      </c>
      <c r="E438" s="255" t="s">
        <v>3545</v>
      </c>
      <c r="F438" s="255" t="s">
        <v>3125</v>
      </c>
      <c r="G438" s="255"/>
      <c r="H438" s="255" t="s">
        <v>3381</v>
      </c>
      <c r="I438" s="255" t="s">
        <v>3436</v>
      </c>
      <c r="J438" s="46" t="str">
        <f t="shared" si="12"/>
        <v>TinResind Indústria e Comércio Ltda.</v>
      </c>
      <c r="K438" s="46" t="str">
        <f t="shared" si="13"/>
        <v>TinResind Indústria e Comércio Ltda.</v>
      </c>
      <c r="T438"/>
    </row>
    <row r="439" spans="1:20" ht="10.5" customHeight="1">
      <c r="A439" s="255" t="s">
        <v>2324</v>
      </c>
      <c r="B439" s="255" t="s">
        <v>1401</v>
      </c>
      <c r="C439" s="255" t="s">
        <v>1401</v>
      </c>
      <c r="D439" s="255" t="s">
        <v>1753</v>
      </c>
      <c r="E439" s="255" t="s">
        <v>1402</v>
      </c>
      <c r="F439" s="255" t="s">
        <v>3125</v>
      </c>
      <c r="G439" s="255"/>
      <c r="H439" s="255" t="s">
        <v>3508</v>
      </c>
      <c r="I439" s="255" t="s">
        <v>3296</v>
      </c>
      <c r="J439" s="46" t="str">
        <f t="shared" si="12"/>
        <v>TinRui Da Hung</v>
      </c>
      <c r="K439" s="46" t="str">
        <f t="shared" si="13"/>
        <v>TinRui Da Hung</v>
      </c>
      <c r="T439"/>
    </row>
    <row r="440" spans="1:20" ht="10.5" customHeight="1">
      <c r="A440" s="255" t="s">
        <v>2324</v>
      </c>
      <c r="B440" s="255" t="s">
        <v>4742</v>
      </c>
      <c r="C440" s="255" t="s">
        <v>4153</v>
      </c>
      <c r="D440" s="255" t="s">
        <v>2181</v>
      </c>
      <c r="E440" s="255" t="s">
        <v>1374</v>
      </c>
      <c r="F440" s="255" t="s">
        <v>3125</v>
      </c>
      <c r="G440" s="255"/>
      <c r="H440" s="255" t="s">
        <v>3471</v>
      </c>
      <c r="I440" s="255" t="s">
        <v>3204</v>
      </c>
      <c r="J440" s="46" t="str">
        <f t="shared" si="12"/>
        <v>TinShunda Huichang Kam Tin Co., Ltd.</v>
      </c>
      <c r="K440" s="46" t="str">
        <f t="shared" si="13"/>
        <v>TinShunda Huichang Kam Tin Co., Ltd.</v>
      </c>
      <c r="T440"/>
    </row>
    <row r="441" spans="1:20" ht="10.5" customHeight="1">
      <c r="A441" s="255" t="s">
        <v>2324</v>
      </c>
      <c r="B441" s="255" t="s">
        <v>4314</v>
      </c>
      <c r="C441" s="255" t="s">
        <v>4749</v>
      </c>
      <c r="D441" s="255" t="s">
        <v>2181</v>
      </c>
      <c r="E441" s="255" t="s">
        <v>1407</v>
      </c>
      <c r="F441" s="255" t="s">
        <v>3125</v>
      </c>
      <c r="G441" s="255"/>
      <c r="H441" s="255" t="s">
        <v>3468</v>
      </c>
      <c r="I441" s="255" t="s">
        <v>3161</v>
      </c>
      <c r="J441" s="46" t="str">
        <f t="shared" si="12"/>
        <v>TinSmelting Branch of Yunnan Tin Company Ltd</v>
      </c>
      <c r="K441" s="46" t="str">
        <f t="shared" si="13"/>
        <v>TinSmelting Branch of Yunnan Tin Company Ltd</v>
      </c>
      <c r="T441"/>
    </row>
    <row r="442" spans="1:20" ht="10.5" customHeight="1">
      <c r="A442" s="255" t="s">
        <v>2324</v>
      </c>
      <c r="B442" s="255" t="s">
        <v>4176</v>
      </c>
      <c r="C442" s="255" t="s">
        <v>4176</v>
      </c>
      <c r="D442" s="255" t="s">
        <v>2170</v>
      </c>
      <c r="E442" s="255" t="s">
        <v>1403</v>
      </c>
      <c r="F442" s="255" t="s">
        <v>3125</v>
      </c>
      <c r="G442" s="255"/>
      <c r="H442" s="255" t="s">
        <v>3509</v>
      </c>
      <c r="I442" s="255" t="s">
        <v>3313</v>
      </c>
      <c r="J442" s="46" t="str">
        <f t="shared" si="12"/>
        <v>TinSoft Metais Ltda.</v>
      </c>
      <c r="K442" s="46" t="str">
        <f t="shared" si="13"/>
        <v>TinSoft Metais Ltda.</v>
      </c>
      <c r="T442"/>
    </row>
    <row r="443" spans="1:20" ht="10.5" customHeight="1">
      <c r="A443" s="255" t="s">
        <v>2324</v>
      </c>
      <c r="B443" s="255" t="s">
        <v>60</v>
      </c>
      <c r="C443" s="255" t="s">
        <v>1951</v>
      </c>
      <c r="D443" s="255" t="s">
        <v>1743</v>
      </c>
      <c r="E443" s="255" t="s">
        <v>1404</v>
      </c>
      <c r="F443" s="255" t="s">
        <v>3125</v>
      </c>
      <c r="G443" s="255"/>
      <c r="H443" s="255" t="s">
        <v>3510</v>
      </c>
      <c r="I443" s="255" t="s">
        <v>3511</v>
      </c>
      <c r="J443" s="46" t="str">
        <f t="shared" si="12"/>
        <v>TinThai Solder Industry Corp., Ltd.</v>
      </c>
      <c r="K443" s="46" t="str">
        <f t="shared" si="13"/>
        <v>TinThai Solder Industry Corp., Ltd.</v>
      </c>
      <c r="T443"/>
    </row>
    <row r="444" spans="1:20" ht="10.5" customHeight="1">
      <c r="A444" s="255" t="s">
        <v>2324</v>
      </c>
      <c r="B444" s="255" t="s">
        <v>3512</v>
      </c>
      <c r="C444" s="255" t="s">
        <v>1951</v>
      </c>
      <c r="D444" s="255" t="s">
        <v>1743</v>
      </c>
      <c r="E444" s="255" t="s">
        <v>1404</v>
      </c>
      <c r="F444" s="255" t="s">
        <v>3125</v>
      </c>
      <c r="G444" s="255"/>
      <c r="H444" s="255" t="s">
        <v>3510</v>
      </c>
      <c r="I444" s="255" t="s">
        <v>3511</v>
      </c>
      <c r="J444" s="46" t="str">
        <f t="shared" si="12"/>
        <v>TinThailand Smelting &amp; Refining Co Ltd</v>
      </c>
      <c r="K444" s="46" t="str">
        <f t="shared" si="13"/>
        <v>TinThailand Smelting &amp; Refining Co Ltd</v>
      </c>
      <c r="T444"/>
    </row>
    <row r="445" spans="1:20" ht="10.5" customHeight="1">
      <c r="A445" s="255" t="s">
        <v>2324</v>
      </c>
      <c r="B445" s="255" t="s">
        <v>1951</v>
      </c>
      <c r="C445" s="255" t="s">
        <v>1951</v>
      </c>
      <c r="D445" s="255" t="s">
        <v>1743</v>
      </c>
      <c r="E445" s="255" t="s">
        <v>1404</v>
      </c>
      <c r="F445" s="255" t="s">
        <v>3125</v>
      </c>
      <c r="G445" s="255"/>
      <c r="H445" s="255" t="s">
        <v>3510</v>
      </c>
      <c r="I445" s="255" t="s">
        <v>3511</v>
      </c>
      <c r="J445" s="46" t="str">
        <f t="shared" si="12"/>
        <v>TinThaisarco</v>
      </c>
      <c r="K445" s="46" t="str">
        <f t="shared" si="13"/>
        <v>TinThaisarco</v>
      </c>
      <c r="T445"/>
    </row>
    <row r="446" spans="1:20" ht="10.5" customHeight="1">
      <c r="A446" s="255" t="s">
        <v>2324</v>
      </c>
      <c r="B446" s="255" t="s">
        <v>3515</v>
      </c>
      <c r="C446" s="255" t="s">
        <v>3513</v>
      </c>
      <c r="D446" s="255" t="s">
        <v>2181</v>
      </c>
      <c r="E446" s="255" t="s">
        <v>3514</v>
      </c>
      <c r="F446" s="255" t="s">
        <v>3125</v>
      </c>
      <c r="G446" s="255"/>
      <c r="H446" s="255" t="s">
        <v>3468</v>
      </c>
      <c r="I446" s="255" t="s">
        <v>3161</v>
      </c>
      <c r="J446" s="46" t="str">
        <f t="shared" si="12"/>
        <v>TinThe Gejiu cloud new colored electrolytic</v>
      </c>
      <c r="K446" s="46" t="str">
        <f t="shared" si="13"/>
        <v>TinThe Gejiu cloud new colored electrolytic</v>
      </c>
      <c r="T446"/>
    </row>
    <row r="447" spans="1:20" ht="10.5" customHeight="1">
      <c r="A447" s="255" t="s">
        <v>2324</v>
      </c>
      <c r="B447" s="255" t="s">
        <v>61</v>
      </c>
      <c r="C447" s="255" t="s">
        <v>4749</v>
      </c>
      <c r="D447" s="255" t="s">
        <v>2181</v>
      </c>
      <c r="E447" s="255" t="s">
        <v>1407</v>
      </c>
      <c r="F447" s="255" t="s">
        <v>3125</v>
      </c>
      <c r="G447" s="255"/>
      <c r="H447" s="255" t="s">
        <v>3468</v>
      </c>
      <c r="I447" s="255" t="s">
        <v>3161</v>
      </c>
      <c r="J447" s="46" t="str">
        <f t="shared" si="12"/>
        <v>TinTin Products Manufacturing Co.LTD. of YTCL</v>
      </c>
      <c r="K447" s="46" t="str">
        <f t="shared" si="13"/>
        <v>TinTin Products Manufacturing Co.LTD. of YTCL</v>
      </c>
      <c r="T447"/>
    </row>
    <row r="448" spans="1:20" ht="10.5" customHeight="1">
      <c r="A448" s="255" t="s">
        <v>2324</v>
      </c>
      <c r="B448" s="255" t="s">
        <v>3486</v>
      </c>
      <c r="C448" s="255" t="s">
        <v>1953</v>
      </c>
      <c r="D448" s="255" t="s">
        <v>2170</v>
      </c>
      <c r="E448" s="255" t="s">
        <v>1379</v>
      </c>
      <c r="F448" s="255" t="s">
        <v>3125</v>
      </c>
      <c r="G448" s="255"/>
      <c r="H448" s="255" t="s">
        <v>3485</v>
      </c>
      <c r="I448" s="255" t="s">
        <v>3313</v>
      </c>
      <c r="J448" s="46" t="str">
        <f t="shared" si="12"/>
        <v>TinToboca/ Paranapenema</v>
      </c>
      <c r="K448" s="46" t="str">
        <f t="shared" si="13"/>
        <v>TinToboca/ Paranapenema</v>
      </c>
      <c r="T448"/>
    </row>
    <row r="449" spans="1:20" ht="10.5" customHeight="1">
      <c r="A449" s="255" t="s">
        <v>2324</v>
      </c>
      <c r="B449" s="255" t="s">
        <v>3539</v>
      </c>
      <c r="C449" s="255" t="s">
        <v>3539</v>
      </c>
      <c r="D449" s="255" t="s">
        <v>1766</v>
      </c>
      <c r="E449" s="255" t="s">
        <v>3540</v>
      </c>
      <c r="F449" s="255" t="s">
        <v>3125</v>
      </c>
      <c r="G449" s="255"/>
      <c r="H449" s="255" t="s">
        <v>3541</v>
      </c>
      <c r="I449" s="255" t="s">
        <v>3542</v>
      </c>
      <c r="J449" s="46" t="str">
        <f t="shared" si="12"/>
        <v>TinTuyen Quang Non-Ferrous Metals Joint Stock Company</v>
      </c>
      <c r="K449" s="46" t="str">
        <f t="shared" si="13"/>
        <v>TinTuyen Quang Non-Ferrous Metals Joint Stock Company</v>
      </c>
      <c r="T449"/>
    </row>
    <row r="450" spans="1:20" ht="10.5" customHeight="1">
      <c r="A450" s="255" t="s">
        <v>2324</v>
      </c>
      <c r="B450" s="255" t="s">
        <v>4315</v>
      </c>
      <c r="C450" s="255" t="s">
        <v>3503</v>
      </c>
      <c r="D450" s="255" t="s">
        <v>2238</v>
      </c>
      <c r="E450" s="255" t="s">
        <v>1424</v>
      </c>
      <c r="F450" s="255" t="s">
        <v>3125</v>
      </c>
      <c r="G450" s="255"/>
      <c r="H450" s="255" t="s">
        <v>3504</v>
      </c>
      <c r="I450" s="255" t="s">
        <v>3505</v>
      </c>
      <c r="J450" s="46" t="str">
        <f t="shared" si="12"/>
        <v>TinUnit Timah Kundur PT Tambang</v>
      </c>
      <c r="K450" s="46" t="str">
        <f t="shared" si="13"/>
        <v>TinUnit Timah Kundur PT Tambang</v>
      </c>
      <c r="T450"/>
    </row>
    <row r="451" spans="1:20" ht="10.5" customHeight="1">
      <c r="A451" s="255" t="s">
        <v>2324</v>
      </c>
      <c r="B451" s="255" t="s">
        <v>3517</v>
      </c>
      <c r="C451" s="255" t="s">
        <v>3517</v>
      </c>
      <c r="D451" s="255" t="s">
        <v>1766</v>
      </c>
      <c r="E451" s="255" t="s">
        <v>3518</v>
      </c>
      <c r="F451" s="255" t="s">
        <v>3125</v>
      </c>
      <c r="G451" s="255"/>
      <c r="H451" s="255" t="s">
        <v>3519</v>
      </c>
      <c r="I451" s="255" t="s">
        <v>3520</v>
      </c>
      <c r="J451" s="46" t="str">
        <f t="shared" si="12"/>
        <v>TinVQB Mineral and Trading Group JSC</v>
      </c>
      <c r="K451" s="46" t="str">
        <f t="shared" si="13"/>
        <v>TinVQB Mineral and Trading Group JSC</v>
      </c>
      <c r="T451"/>
    </row>
    <row r="452" spans="1:20" ht="10.5" customHeight="1">
      <c r="A452" s="255" t="s">
        <v>2324</v>
      </c>
      <c r="B452" s="255" t="s">
        <v>68</v>
      </c>
      <c r="C452" s="255" t="s">
        <v>68</v>
      </c>
      <c r="D452" s="255" t="s">
        <v>2170</v>
      </c>
      <c r="E452" s="255" t="s">
        <v>1405</v>
      </c>
      <c r="F452" s="255" t="s">
        <v>3125</v>
      </c>
      <c r="G452" s="255"/>
      <c r="H452" s="255" t="s">
        <v>3451</v>
      </c>
      <c r="I452" s="255" t="s">
        <v>3452</v>
      </c>
      <c r="J452" s="46" t="str">
        <f t="shared" si="12"/>
        <v>TinWhite Solder Metalurgia e Mineração Ltda.</v>
      </c>
      <c r="K452" s="46" t="str">
        <f t="shared" si="13"/>
        <v>TinWhite Solder Metalurgia e Mineração Ltda.</v>
      </c>
      <c r="T452"/>
    </row>
    <row r="453" spans="1:20" ht="10.5" customHeight="1">
      <c r="A453" s="255" t="s">
        <v>2324</v>
      </c>
      <c r="B453" s="255" t="s">
        <v>3521</v>
      </c>
      <c r="C453" s="255" t="s">
        <v>68</v>
      </c>
      <c r="D453" s="255" t="s">
        <v>2170</v>
      </c>
      <c r="E453" s="255" t="s">
        <v>1405</v>
      </c>
      <c r="F453" s="255" t="s">
        <v>3125</v>
      </c>
      <c r="G453" s="255"/>
      <c r="H453" s="255" t="s">
        <v>3451</v>
      </c>
      <c r="I453" s="255" t="s">
        <v>3452</v>
      </c>
      <c r="J453" s="46" t="str">
        <f t="shared" ref="J453:J516" si="14">A453&amp;B453</f>
        <v>TinWhite Solder Metalurgica</v>
      </c>
      <c r="K453" s="46" t="str">
        <f t="shared" ref="K453:K516" si="15">A453&amp;B453</f>
        <v>TinWhite Solder Metalurgica</v>
      </c>
      <c r="T453"/>
    </row>
    <row r="454" spans="1:20" ht="10.5" customHeight="1">
      <c r="A454" s="255" t="s">
        <v>2324</v>
      </c>
      <c r="B454" s="255" t="s">
        <v>3480</v>
      </c>
      <c r="C454" s="255" t="s">
        <v>2578</v>
      </c>
      <c r="D454" s="255" t="s">
        <v>2181</v>
      </c>
      <c r="E454" s="255" t="s">
        <v>1377</v>
      </c>
      <c r="F454" s="255" t="s">
        <v>3125</v>
      </c>
      <c r="G454" s="255"/>
      <c r="H454" s="255" t="s">
        <v>3476</v>
      </c>
      <c r="I454" s="255" t="s">
        <v>3442</v>
      </c>
      <c r="J454" s="46" t="str">
        <f t="shared" si="14"/>
        <v>TinXiHai - Liuzhou China Tin Group Co ltd</v>
      </c>
      <c r="K454" s="46" t="str">
        <f t="shared" si="15"/>
        <v>TinXiHai - Liuzhou China Tin Group Co ltd</v>
      </c>
      <c r="T454"/>
    </row>
    <row r="455" spans="1:20" ht="10.5" customHeight="1">
      <c r="A455" s="255" t="s">
        <v>2324</v>
      </c>
      <c r="B455" s="255" t="s">
        <v>1937</v>
      </c>
      <c r="C455" s="255" t="s">
        <v>4749</v>
      </c>
      <c r="D455" s="255" t="s">
        <v>2181</v>
      </c>
      <c r="E455" s="255" t="s">
        <v>1407</v>
      </c>
      <c r="F455" s="255" t="s">
        <v>3125</v>
      </c>
      <c r="G455" s="255"/>
      <c r="H455" s="255" t="s">
        <v>3468</v>
      </c>
      <c r="I455" s="255" t="s">
        <v>3161</v>
      </c>
      <c r="J455" s="46" t="str">
        <f t="shared" si="14"/>
        <v>TinYTCL</v>
      </c>
      <c r="K455" s="46" t="str">
        <f t="shared" si="15"/>
        <v>TinYTCL</v>
      </c>
      <c r="T455"/>
    </row>
    <row r="456" spans="1:20" ht="10.5" customHeight="1">
      <c r="A456" s="255" t="s">
        <v>2324</v>
      </c>
      <c r="B456" s="255" t="s">
        <v>3516</v>
      </c>
      <c r="C456" s="255" t="s">
        <v>3513</v>
      </c>
      <c r="D456" s="255" t="s">
        <v>2181</v>
      </c>
      <c r="E456" s="255" t="s">
        <v>3514</v>
      </c>
      <c r="F456" s="255" t="s">
        <v>3125</v>
      </c>
      <c r="G456" s="255"/>
      <c r="H456" s="255" t="s">
        <v>3468</v>
      </c>
      <c r="I456" s="255" t="s">
        <v>3161</v>
      </c>
      <c r="J456" s="46" t="str">
        <f t="shared" si="14"/>
        <v>TinYunan Gejiu Yunxin Electrolyze Limited</v>
      </c>
      <c r="K456" s="46" t="str">
        <f t="shared" si="15"/>
        <v>TinYunan Gejiu Yunxin Electrolyze Limited</v>
      </c>
      <c r="T456"/>
    </row>
    <row r="457" spans="1:20" ht="10.5" customHeight="1">
      <c r="A457" s="255" t="s">
        <v>2324</v>
      </c>
      <c r="B457" s="255" t="s">
        <v>3522</v>
      </c>
      <c r="C457" s="255" t="s">
        <v>4183</v>
      </c>
      <c r="D457" s="255" t="s">
        <v>2181</v>
      </c>
      <c r="E457" s="255" t="s">
        <v>1406</v>
      </c>
      <c r="F457" s="255" t="s">
        <v>3125</v>
      </c>
      <c r="G457" s="255"/>
      <c r="H457" s="255" t="s">
        <v>3468</v>
      </c>
      <c r="I457" s="255" t="s">
        <v>3161</v>
      </c>
      <c r="J457" s="46" t="str">
        <f t="shared" si="14"/>
        <v>TinYunnan Adventure Co., Ltd.</v>
      </c>
      <c r="K457" s="46" t="str">
        <f t="shared" si="15"/>
        <v>TinYunnan Adventure Co., Ltd.</v>
      </c>
      <c r="T457"/>
    </row>
    <row r="458" spans="1:20" ht="10.5" customHeight="1">
      <c r="A458" s="255" t="s">
        <v>2324</v>
      </c>
      <c r="B458" s="255" t="s">
        <v>4316</v>
      </c>
      <c r="C458" s="255" t="s">
        <v>4183</v>
      </c>
      <c r="D458" s="255" t="s">
        <v>2181</v>
      </c>
      <c r="E458" s="255" t="s">
        <v>1406</v>
      </c>
      <c r="F458" s="255" t="s">
        <v>3125</v>
      </c>
      <c r="G458" s="255"/>
      <c r="H458" s="255" t="s">
        <v>3468</v>
      </c>
      <c r="I458" s="255" t="s">
        <v>3161</v>
      </c>
      <c r="J458" s="46" t="str">
        <f t="shared" si="14"/>
        <v>TinYunnan Chengfeng</v>
      </c>
      <c r="K458" s="46" t="str">
        <f t="shared" si="15"/>
        <v>TinYunnan Chengfeng</v>
      </c>
      <c r="T458"/>
    </row>
    <row r="459" spans="1:20" ht="10.5" customHeight="1">
      <c r="A459" s="255" t="s">
        <v>2324</v>
      </c>
      <c r="B459" s="255" t="s">
        <v>4183</v>
      </c>
      <c r="C459" s="255" t="s">
        <v>4183</v>
      </c>
      <c r="D459" s="255" t="s">
        <v>2181</v>
      </c>
      <c r="E459" s="255" t="s">
        <v>1406</v>
      </c>
      <c r="F459" s="255" t="s">
        <v>3125</v>
      </c>
      <c r="G459" s="255"/>
      <c r="H459" s="255" t="s">
        <v>3468</v>
      </c>
      <c r="I459" s="255" t="s">
        <v>3161</v>
      </c>
      <c r="J459" s="46" t="str">
        <f t="shared" si="14"/>
        <v>TinYunnan Chengfeng Non-ferrous Metals Co., Ltd.</v>
      </c>
      <c r="K459" s="46" t="str">
        <f t="shared" si="15"/>
        <v>TinYunnan Chengfeng Non-ferrous Metals Co., Ltd.</v>
      </c>
      <c r="T459"/>
    </row>
    <row r="460" spans="1:20" ht="10.5" customHeight="1">
      <c r="A460" s="255" t="s">
        <v>2324</v>
      </c>
      <c r="B460" s="255" t="s">
        <v>3470</v>
      </c>
      <c r="C460" s="255" t="s">
        <v>3469</v>
      </c>
      <c r="D460" s="255" t="s">
        <v>2181</v>
      </c>
      <c r="E460" s="255" t="s">
        <v>1373</v>
      </c>
      <c r="F460" s="255" t="s">
        <v>3125</v>
      </c>
      <c r="G460" s="255"/>
      <c r="H460" s="255" t="s">
        <v>3468</v>
      </c>
      <c r="I460" s="255" t="s">
        <v>3161</v>
      </c>
      <c r="J460" s="46" t="str">
        <f t="shared" si="14"/>
        <v>TinYunnan Geiju Zili Metallurgy Co. Ltd.</v>
      </c>
      <c r="K460" s="46" t="str">
        <f t="shared" si="15"/>
        <v>TinYunnan Geiju Zili Metallurgy Co. Ltd.</v>
      </c>
      <c r="T460"/>
    </row>
    <row r="461" spans="1:20" ht="10.5" customHeight="1">
      <c r="A461" s="255" t="s">
        <v>2324</v>
      </c>
      <c r="B461" s="255" t="s">
        <v>4740</v>
      </c>
      <c r="C461" s="255" t="s">
        <v>3513</v>
      </c>
      <c r="D461" s="255" t="s">
        <v>2181</v>
      </c>
      <c r="E461" s="255" t="s">
        <v>3514</v>
      </c>
      <c r="F461" s="255" t="s">
        <v>3125</v>
      </c>
      <c r="G461" s="255"/>
      <c r="H461" s="255" t="s">
        <v>3468</v>
      </c>
      <c r="I461" s="255" t="s">
        <v>3161</v>
      </c>
      <c r="J461" s="46" t="str">
        <f t="shared" si="14"/>
        <v>TinYunNan Gejiu Yunxin Electrolyze Limited</v>
      </c>
      <c r="K461" s="46" t="str">
        <f t="shared" si="15"/>
        <v>TinYunNan Gejiu Yunxin Electrolyze Limited</v>
      </c>
      <c r="T461"/>
    </row>
    <row r="462" spans="1:20" ht="10.5" customHeight="1">
      <c r="A462" s="255" t="s">
        <v>2324</v>
      </c>
      <c r="B462" s="255" t="s">
        <v>4749</v>
      </c>
      <c r="C462" s="255" t="s">
        <v>4749</v>
      </c>
      <c r="D462" s="255" t="s">
        <v>2181</v>
      </c>
      <c r="E462" s="255" t="s">
        <v>1407</v>
      </c>
      <c r="F462" s="255" t="s">
        <v>3125</v>
      </c>
      <c r="G462" s="255"/>
      <c r="H462" s="255" t="s">
        <v>3468</v>
      </c>
      <c r="I462" s="255" t="s">
        <v>3161</v>
      </c>
      <c r="J462" s="46" t="str">
        <f t="shared" si="14"/>
        <v>TinYunnan Tin Company Limited</v>
      </c>
      <c r="K462" s="46" t="str">
        <f t="shared" si="15"/>
        <v>TinYunnan Tin Company Limited</v>
      </c>
      <c r="T462"/>
    </row>
    <row r="463" spans="1:20" ht="10.5" customHeight="1">
      <c r="A463" s="255" t="s">
        <v>2324</v>
      </c>
      <c r="B463" s="255" t="s">
        <v>69</v>
      </c>
      <c r="C463" s="255" t="s">
        <v>4749</v>
      </c>
      <c r="D463" s="255" t="s">
        <v>2181</v>
      </c>
      <c r="E463" s="255" t="s">
        <v>1407</v>
      </c>
      <c r="F463" s="255" t="s">
        <v>3125</v>
      </c>
      <c r="G463" s="255"/>
      <c r="H463" s="255" t="s">
        <v>3468</v>
      </c>
      <c r="I463" s="255" t="s">
        <v>3161</v>
      </c>
      <c r="J463" s="46" t="str">
        <f t="shared" si="14"/>
        <v>TinYunnan Tin Company, Ltd.</v>
      </c>
      <c r="K463" s="46" t="str">
        <f t="shared" si="15"/>
        <v>TinYunnan Tin Company, Ltd.</v>
      </c>
      <c r="T463"/>
    </row>
    <row r="464" spans="1:20" ht="10.5" customHeight="1">
      <c r="A464" s="255" t="s">
        <v>2324</v>
      </c>
      <c r="B464" s="255" t="s">
        <v>3523</v>
      </c>
      <c r="C464" s="255" t="s">
        <v>4183</v>
      </c>
      <c r="D464" s="255" t="s">
        <v>2181</v>
      </c>
      <c r="E464" s="255" t="s">
        <v>1406</v>
      </c>
      <c r="F464" s="255" t="s">
        <v>3125</v>
      </c>
      <c r="G464" s="255"/>
      <c r="H464" s="255" t="s">
        <v>3468</v>
      </c>
      <c r="I464" s="255" t="s">
        <v>3161</v>
      </c>
      <c r="J464" s="46" t="str">
        <f t="shared" si="14"/>
        <v>TinYunnan wind Nonferrous Metals Co., Ltd.</v>
      </c>
      <c r="K464" s="46" t="str">
        <f t="shared" si="15"/>
        <v>TinYunnan wind Nonferrous Metals Co., Ltd.</v>
      </c>
      <c r="T464"/>
    </row>
    <row r="465" spans="1:20" ht="10.5" customHeight="1">
      <c r="A465" s="255" t="s">
        <v>2324</v>
      </c>
      <c r="B465" s="255" t="s">
        <v>62</v>
      </c>
      <c r="C465" s="255" t="s">
        <v>4749</v>
      </c>
      <c r="D465" s="255" t="s">
        <v>2181</v>
      </c>
      <c r="E465" s="255" t="s">
        <v>1407</v>
      </c>
      <c r="F465" s="255" t="s">
        <v>3125</v>
      </c>
      <c r="G465" s="255"/>
      <c r="H465" s="255" t="s">
        <v>3468</v>
      </c>
      <c r="I465" s="255" t="s">
        <v>3161</v>
      </c>
      <c r="J465" s="46" t="str">
        <f t="shared" si="14"/>
        <v>TinYuntinic Resources</v>
      </c>
      <c r="K465" s="46" t="str">
        <f t="shared" si="15"/>
        <v>TinYuntinic Resources</v>
      </c>
      <c r="T465"/>
    </row>
    <row r="466" spans="1:20" ht="10.5" customHeight="1">
      <c r="A466" s="255" t="s">
        <v>2324</v>
      </c>
      <c r="B466" s="255" t="s">
        <v>4741</v>
      </c>
      <c r="C466" s="255" t="s">
        <v>3513</v>
      </c>
      <c r="D466" s="255" t="s">
        <v>2181</v>
      </c>
      <c r="E466" s="255" t="s">
        <v>3514</v>
      </c>
      <c r="F466" s="255" t="s">
        <v>3125</v>
      </c>
      <c r="G466" s="255"/>
      <c r="H466" s="255" t="s">
        <v>3468</v>
      </c>
      <c r="I466" s="255" t="s">
        <v>3161</v>
      </c>
      <c r="J466" s="46" t="str">
        <f t="shared" si="14"/>
        <v>TinYUNXIN colored electrolysis Company Limited</v>
      </c>
      <c r="K466" s="46" t="str">
        <f t="shared" si="15"/>
        <v>TinYUNXIN colored electrolysis Company Limited</v>
      </c>
      <c r="T466"/>
    </row>
    <row r="467" spans="1:20" ht="10.5" customHeight="1">
      <c r="A467" s="255" t="s">
        <v>2324</v>
      </c>
      <c r="B467" s="255" t="s">
        <v>3604</v>
      </c>
      <c r="C467" s="255"/>
      <c r="D467" s="255"/>
      <c r="E467" s="255"/>
      <c r="F467" s="255"/>
      <c r="G467" s="255"/>
      <c r="H467" s="255"/>
      <c r="I467" s="255"/>
      <c r="J467" s="46" t="str">
        <f t="shared" si="14"/>
        <v>TinSmelter not listed</v>
      </c>
      <c r="K467" s="46" t="str">
        <f t="shared" si="15"/>
        <v>TinSmelter not listed</v>
      </c>
      <c r="T467"/>
    </row>
    <row r="468" spans="1:20" ht="10.5" customHeight="1">
      <c r="A468" s="255" t="s">
        <v>2324</v>
      </c>
      <c r="B468" s="255" t="s">
        <v>2573</v>
      </c>
      <c r="C468" s="255" t="s">
        <v>926</v>
      </c>
      <c r="D468" s="255" t="s">
        <v>926</v>
      </c>
      <c r="E468" s="255"/>
      <c r="F468" s="255"/>
      <c r="G468" s="255"/>
      <c r="H468" s="255"/>
      <c r="I468" s="255"/>
      <c r="J468" s="46" t="str">
        <f t="shared" si="14"/>
        <v>TinSmelter not yet identified</v>
      </c>
      <c r="K468" s="46" t="str">
        <f t="shared" si="15"/>
        <v>TinSmelter not yet identified</v>
      </c>
      <c r="T468"/>
    </row>
    <row r="469" spans="1:20" ht="10.5" customHeight="1">
      <c r="A469" s="255" t="s">
        <v>2326</v>
      </c>
      <c r="B469" s="255" t="s">
        <v>3552</v>
      </c>
      <c r="C469" s="255" t="s">
        <v>3552</v>
      </c>
      <c r="D469" s="255" t="s">
        <v>2249</v>
      </c>
      <c r="E469" s="255" t="s">
        <v>1408</v>
      </c>
      <c r="F469" s="255" t="s">
        <v>3125</v>
      </c>
      <c r="G469" s="255"/>
      <c r="H469" s="255" t="s">
        <v>4135</v>
      </c>
      <c r="I469" s="255" t="s">
        <v>4136</v>
      </c>
      <c r="J469" s="46" t="str">
        <f t="shared" si="14"/>
        <v>TungstenA.L.M.T. TUNGSTEN Corp.</v>
      </c>
      <c r="K469" s="46" t="str">
        <f t="shared" si="15"/>
        <v>TungstenA.L.M.T. TUNGSTEN Corp.</v>
      </c>
      <c r="T469"/>
    </row>
    <row r="470" spans="1:20" ht="10.5" customHeight="1">
      <c r="A470" s="255" t="s">
        <v>2326</v>
      </c>
      <c r="B470" s="255" t="s">
        <v>4365</v>
      </c>
      <c r="C470" s="255" t="s">
        <v>4365</v>
      </c>
      <c r="D470" s="255" t="s">
        <v>2170</v>
      </c>
      <c r="E470" s="255" t="s">
        <v>4366</v>
      </c>
      <c r="F470" s="255" t="s">
        <v>3125</v>
      </c>
      <c r="G470" s="255"/>
      <c r="H470" s="255" t="s">
        <v>4367</v>
      </c>
      <c r="I470" s="255" t="s">
        <v>3313</v>
      </c>
      <c r="J470" s="46" t="str">
        <f t="shared" si="14"/>
        <v>TungstenACL Metais Eireli</v>
      </c>
      <c r="K470" s="46" t="str">
        <f t="shared" si="15"/>
        <v>TungstenACL Metais Eireli</v>
      </c>
      <c r="T470"/>
    </row>
    <row r="471" spans="1:20" ht="10.5" customHeight="1">
      <c r="A471" s="255" t="s">
        <v>2326</v>
      </c>
      <c r="B471" s="255" t="s">
        <v>3553</v>
      </c>
      <c r="C471" s="255" t="s">
        <v>3552</v>
      </c>
      <c r="D471" s="255" t="s">
        <v>2249</v>
      </c>
      <c r="E471" s="255" t="s">
        <v>1408</v>
      </c>
      <c r="F471" s="255" t="s">
        <v>3125</v>
      </c>
      <c r="G471" s="255"/>
      <c r="H471" s="255" t="s">
        <v>4135</v>
      </c>
      <c r="I471" s="255" t="s">
        <v>4136</v>
      </c>
      <c r="J471" s="46" t="str">
        <f t="shared" si="14"/>
        <v>TungstenAllied Material Corporation</v>
      </c>
      <c r="K471" s="46" t="str">
        <f t="shared" si="15"/>
        <v>TungstenAllied Material Corporation</v>
      </c>
      <c r="T471"/>
    </row>
    <row r="472" spans="1:20" ht="10.5" customHeight="1">
      <c r="A472" s="255" t="s">
        <v>2326</v>
      </c>
      <c r="B472" s="255" t="s">
        <v>3554</v>
      </c>
      <c r="C472" s="255" t="s">
        <v>3552</v>
      </c>
      <c r="D472" s="255" t="s">
        <v>2249</v>
      </c>
      <c r="E472" s="255" t="s">
        <v>1408</v>
      </c>
      <c r="F472" s="255" t="s">
        <v>3125</v>
      </c>
      <c r="G472" s="255"/>
      <c r="H472" s="255" t="s">
        <v>4135</v>
      </c>
      <c r="I472" s="255" t="s">
        <v>4136</v>
      </c>
      <c r="J472" s="46" t="str">
        <f t="shared" si="14"/>
        <v>TungstenALMT Corp</v>
      </c>
      <c r="K472" s="46" t="str">
        <f t="shared" si="15"/>
        <v>TungstenALMT Corp</v>
      </c>
      <c r="T472"/>
    </row>
    <row r="473" spans="1:20" ht="10.5" customHeight="1">
      <c r="A473" s="255" t="s">
        <v>2326</v>
      </c>
      <c r="B473" s="255" t="s">
        <v>4317</v>
      </c>
      <c r="C473" s="255" t="s">
        <v>3552</v>
      </c>
      <c r="D473" s="255" t="s">
        <v>2249</v>
      </c>
      <c r="E473" s="255" t="s">
        <v>1408</v>
      </c>
      <c r="F473" s="255" t="s">
        <v>3125</v>
      </c>
      <c r="G473" s="255"/>
      <c r="H473" s="255" t="s">
        <v>4135</v>
      </c>
      <c r="I473" s="255" t="s">
        <v>4136</v>
      </c>
      <c r="J473" s="46" t="str">
        <f t="shared" si="14"/>
        <v>TungstenALMT Sumitomo Group</v>
      </c>
      <c r="K473" s="46" t="str">
        <f t="shared" si="15"/>
        <v>TungstenALMT Sumitomo Group</v>
      </c>
      <c r="T473"/>
    </row>
    <row r="474" spans="1:20" ht="10.5" customHeight="1">
      <c r="A474" s="255" t="s">
        <v>2326</v>
      </c>
      <c r="B474" s="255" t="s">
        <v>2715</v>
      </c>
      <c r="C474" s="255" t="s">
        <v>2715</v>
      </c>
      <c r="D474" s="255" t="s">
        <v>1766</v>
      </c>
      <c r="E474" s="255" t="s">
        <v>2716</v>
      </c>
      <c r="F474" s="255" t="s">
        <v>3125</v>
      </c>
      <c r="G474" s="255"/>
      <c r="H474" s="255" t="s">
        <v>3577</v>
      </c>
      <c r="I474" s="255" t="s">
        <v>3578</v>
      </c>
      <c r="J474" s="46" t="str">
        <f t="shared" si="14"/>
        <v>TungstenAsia Tungsten Products Vietnam Ltd.</v>
      </c>
      <c r="K474" s="46" t="str">
        <f t="shared" si="15"/>
        <v>TungstenAsia Tungsten Products Vietnam Ltd.</v>
      </c>
      <c r="T474"/>
    </row>
    <row r="475" spans="1:20" ht="10.5" customHeight="1">
      <c r="A475" s="255" t="s">
        <v>2326</v>
      </c>
      <c r="B475" s="255" t="s">
        <v>4318</v>
      </c>
      <c r="C475" s="255" t="s">
        <v>209</v>
      </c>
      <c r="D475" s="255" t="s">
        <v>1759</v>
      </c>
      <c r="E475" s="255" t="s">
        <v>1409</v>
      </c>
      <c r="F475" s="255" t="s">
        <v>3125</v>
      </c>
      <c r="G475" s="255"/>
      <c r="H475" s="255" t="s">
        <v>3555</v>
      </c>
      <c r="I475" s="255" t="s">
        <v>3556</v>
      </c>
      <c r="J475" s="46" t="str">
        <f t="shared" si="14"/>
        <v>TungstenATI Metalworking Products</v>
      </c>
      <c r="K475" s="46" t="str">
        <f t="shared" si="15"/>
        <v>TungstenATI Metalworking Products</v>
      </c>
      <c r="T475"/>
    </row>
    <row r="476" spans="1:20" ht="10.5" customHeight="1">
      <c r="A476" s="255" t="s">
        <v>2326</v>
      </c>
      <c r="B476" s="255" t="s">
        <v>2375</v>
      </c>
      <c r="C476" s="255" t="s">
        <v>209</v>
      </c>
      <c r="D476" s="255" t="s">
        <v>1759</v>
      </c>
      <c r="E476" s="255" t="s">
        <v>1409</v>
      </c>
      <c r="F476" s="255" t="s">
        <v>3125</v>
      </c>
      <c r="G476" s="255"/>
      <c r="H476" s="255" t="s">
        <v>3555</v>
      </c>
      <c r="I476" s="255" t="s">
        <v>3556</v>
      </c>
      <c r="J476" s="46" t="str">
        <f t="shared" si="14"/>
        <v>TungstenATI Tungsten Materials</v>
      </c>
      <c r="K476" s="46" t="str">
        <f t="shared" si="15"/>
        <v>TungstenATI Tungsten Materials</v>
      </c>
      <c r="T476"/>
    </row>
    <row r="477" spans="1:20" ht="10.5" customHeight="1">
      <c r="A477" s="255" t="s">
        <v>2326</v>
      </c>
      <c r="B477" s="255" t="s">
        <v>4324</v>
      </c>
      <c r="C477" s="255" t="s">
        <v>2660</v>
      </c>
      <c r="D477" s="255" t="s">
        <v>2181</v>
      </c>
      <c r="E477" s="255" t="s">
        <v>1410</v>
      </c>
      <c r="F477" s="255" t="s">
        <v>3125</v>
      </c>
      <c r="G477" s="255"/>
      <c r="H477" s="255" t="s">
        <v>3557</v>
      </c>
      <c r="I477" s="255" t="s">
        <v>3335</v>
      </c>
      <c r="J477" s="46" t="str">
        <f t="shared" si="14"/>
        <v>TungstenChaozhou Xianglu Tungsten Industry Co., Ltd.</v>
      </c>
      <c r="K477" s="46" t="str">
        <f t="shared" si="15"/>
        <v>TungstenChaozhou Xianglu Tungsten Industry Co., Ltd.</v>
      </c>
      <c r="T477"/>
    </row>
    <row r="478" spans="1:20" ht="10.5" customHeight="1">
      <c r="A478" s="255" t="s">
        <v>2326</v>
      </c>
      <c r="B478" s="255" t="s">
        <v>2717</v>
      </c>
      <c r="C478" s="255" t="s">
        <v>2717</v>
      </c>
      <c r="D478" s="255" t="s">
        <v>2181</v>
      </c>
      <c r="E478" s="255" t="s">
        <v>2718</v>
      </c>
      <c r="F478" s="255" t="s">
        <v>3125</v>
      </c>
      <c r="G478" s="255"/>
      <c r="H478" s="255" t="s">
        <v>3475</v>
      </c>
      <c r="I478" s="255" t="s">
        <v>3186</v>
      </c>
      <c r="J478" s="46" t="str">
        <f t="shared" si="14"/>
        <v>TungstenChenzhou Diamond Tungsten Products Co., Ltd.</v>
      </c>
      <c r="K478" s="46" t="str">
        <f t="shared" si="15"/>
        <v>TungstenChenzhou Diamond Tungsten Products Co., Ltd.</v>
      </c>
      <c r="T478"/>
    </row>
    <row r="479" spans="1:20" ht="10.5" customHeight="1">
      <c r="A479" s="255" t="s">
        <v>2326</v>
      </c>
      <c r="B479" s="255" t="s">
        <v>3561</v>
      </c>
      <c r="C479" s="255" t="s">
        <v>211</v>
      </c>
      <c r="D479" s="255" t="s">
        <v>2181</v>
      </c>
      <c r="E479" s="255" t="s">
        <v>1419</v>
      </c>
      <c r="F479" s="255" t="s">
        <v>3125</v>
      </c>
      <c r="G479" s="255"/>
      <c r="H479" s="255" t="s">
        <v>3471</v>
      </c>
      <c r="I479" s="255" t="s">
        <v>3204</v>
      </c>
      <c r="J479" s="46" t="str">
        <f t="shared" si="14"/>
        <v>TungstenChina National Non Ferrous</v>
      </c>
      <c r="K479" s="46" t="str">
        <f t="shared" si="15"/>
        <v>TungstenChina National Non Ferrous</v>
      </c>
      <c r="T479"/>
    </row>
    <row r="480" spans="1:20" ht="10.5" customHeight="1">
      <c r="A480" s="255" t="s">
        <v>2326</v>
      </c>
      <c r="B480" s="255" t="s">
        <v>2659</v>
      </c>
      <c r="C480" s="255" t="s">
        <v>2659</v>
      </c>
      <c r="D480" s="255" t="s">
        <v>2181</v>
      </c>
      <c r="E480" s="255" t="s">
        <v>1411</v>
      </c>
      <c r="F480" s="255" t="s">
        <v>3125</v>
      </c>
      <c r="G480" s="255"/>
      <c r="H480" s="255" t="s">
        <v>3471</v>
      </c>
      <c r="I480" s="255" t="s">
        <v>3204</v>
      </c>
      <c r="J480" s="46" t="str">
        <f t="shared" si="14"/>
        <v>TungstenChongyi Zhangyuan Tungsten Co., Ltd.</v>
      </c>
      <c r="K480" s="46" t="str">
        <f t="shared" si="15"/>
        <v>TungstenChongyi Zhangyuan Tungsten Co., Ltd.</v>
      </c>
      <c r="T480"/>
    </row>
    <row r="481" spans="1:20" ht="10.5" customHeight="1">
      <c r="A481" s="255" t="s">
        <v>2326</v>
      </c>
      <c r="B481" s="255" t="s">
        <v>2719</v>
      </c>
      <c r="C481" s="255" t="s">
        <v>2719</v>
      </c>
      <c r="D481" s="255" t="s">
        <v>2181</v>
      </c>
      <c r="E481" s="255" t="s">
        <v>2720</v>
      </c>
      <c r="F481" s="255" t="s">
        <v>3125</v>
      </c>
      <c r="G481" s="255"/>
      <c r="H481" s="255" t="s">
        <v>3579</v>
      </c>
      <c r="I481" s="255" t="s">
        <v>3204</v>
      </c>
      <c r="J481" s="46" t="str">
        <f t="shared" si="14"/>
        <v>TungstenDayu Jincheng Tungsten Industry Co., Ltd.</v>
      </c>
      <c r="K481" s="46" t="str">
        <f t="shared" si="15"/>
        <v>TungstenDayu Jincheng Tungsten Industry Co., Ltd.</v>
      </c>
      <c r="T481"/>
    </row>
    <row r="482" spans="1:20" ht="10.5" customHeight="1">
      <c r="A482" s="255" t="s">
        <v>2326</v>
      </c>
      <c r="B482" s="255" t="s">
        <v>1463</v>
      </c>
      <c r="C482" s="255" t="s">
        <v>1463</v>
      </c>
      <c r="D482" s="255" t="s">
        <v>2181</v>
      </c>
      <c r="E482" s="255" t="s">
        <v>1412</v>
      </c>
      <c r="F482" s="255" t="s">
        <v>3125</v>
      </c>
      <c r="G482" s="255"/>
      <c r="H482" s="255" t="s">
        <v>3471</v>
      </c>
      <c r="I482" s="255" t="s">
        <v>3204</v>
      </c>
      <c r="J482" s="46" t="str">
        <f t="shared" si="14"/>
        <v>TungstenDayu Weiliang Tungsten Co., Ltd.</v>
      </c>
      <c r="K482" s="46" t="str">
        <f t="shared" si="15"/>
        <v>TungstenDayu Weiliang Tungsten Co., Ltd.</v>
      </c>
      <c r="T482"/>
    </row>
    <row r="483" spans="1:20" ht="10.5" customHeight="1">
      <c r="A483" s="255" t="s">
        <v>2326</v>
      </c>
      <c r="B483" s="255" t="s">
        <v>1464</v>
      </c>
      <c r="C483" s="255" t="s">
        <v>1464</v>
      </c>
      <c r="D483" s="255" t="s">
        <v>2181</v>
      </c>
      <c r="E483" s="255" t="s">
        <v>1413</v>
      </c>
      <c r="F483" s="255" t="s">
        <v>3125</v>
      </c>
      <c r="G483" s="255"/>
      <c r="H483" s="255" t="s">
        <v>3559</v>
      </c>
      <c r="I483" s="255" t="s">
        <v>3332</v>
      </c>
      <c r="J483" s="46" t="str">
        <f t="shared" si="14"/>
        <v>TungstenFujian Jinxin Tungsten Co., Ltd.</v>
      </c>
      <c r="K483" s="46" t="str">
        <f t="shared" si="15"/>
        <v>TungstenFujian Jinxin Tungsten Co., Ltd.</v>
      </c>
      <c r="T483"/>
    </row>
    <row r="484" spans="1:20" ht="10.5" customHeight="1">
      <c r="A484" s="255" t="s">
        <v>2326</v>
      </c>
      <c r="B484" s="255" t="s">
        <v>2721</v>
      </c>
      <c r="C484" s="255" t="s">
        <v>2721</v>
      </c>
      <c r="D484" s="255" t="s">
        <v>2181</v>
      </c>
      <c r="E484" s="255" t="s">
        <v>2722</v>
      </c>
      <c r="F484" s="255" t="s">
        <v>3125</v>
      </c>
      <c r="G484" s="255"/>
      <c r="H484" s="255" t="s">
        <v>3580</v>
      </c>
      <c r="I484" s="255" t="s">
        <v>3204</v>
      </c>
      <c r="J484" s="46" t="str">
        <f t="shared" si="14"/>
        <v>TungstenGanxian Shirui New Material Co., Ltd.</v>
      </c>
      <c r="K484" s="46" t="str">
        <f t="shared" si="15"/>
        <v>TungstenGanxian Shirui New Material Co., Ltd.</v>
      </c>
      <c r="T484"/>
    </row>
    <row r="485" spans="1:20" ht="10.5" customHeight="1">
      <c r="A485" s="255" t="s">
        <v>2326</v>
      </c>
      <c r="B485" s="255" t="s">
        <v>211</v>
      </c>
      <c r="C485" s="255" t="s">
        <v>211</v>
      </c>
      <c r="D485" s="255" t="s">
        <v>2181</v>
      </c>
      <c r="E485" s="255" t="s">
        <v>1419</v>
      </c>
      <c r="F485" s="255" t="s">
        <v>3125</v>
      </c>
      <c r="G485" s="255"/>
      <c r="H485" s="255" t="s">
        <v>3471</v>
      </c>
      <c r="I485" s="255" t="s">
        <v>3204</v>
      </c>
      <c r="J485" s="46" t="str">
        <f t="shared" si="14"/>
        <v>TungstenGanzhou Huaxing Tungsten Products Co., Ltd.</v>
      </c>
      <c r="K485" s="46" t="str">
        <f t="shared" si="15"/>
        <v>TungstenGanzhou Huaxing Tungsten Products Co., Ltd.</v>
      </c>
      <c r="T485"/>
    </row>
    <row r="486" spans="1:20" ht="10.5" customHeight="1">
      <c r="A486" s="255" t="s">
        <v>2326</v>
      </c>
      <c r="B486" s="255" t="s">
        <v>213</v>
      </c>
      <c r="C486" s="255" t="s">
        <v>213</v>
      </c>
      <c r="D486" s="255" t="s">
        <v>2181</v>
      </c>
      <c r="E486" s="255" t="s">
        <v>201</v>
      </c>
      <c r="F486" s="255" t="s">
        <v>3125</v>
      </c>
      <c r="G486" s="255"/>
      <c r="H486" s="255" t="s">
        <v>3471</v>
      </c>
      <c r="I486" s="255" t="s">
        <v>3204</v>
      </c>
      <c r="J486" s="46" t="str">
        <f t="shared" si="14"/>
        <v>TungstenGanzhou Jiangwu Ferrotungsten Co., Ltd.</v>
      </c>
      <c r="K486" s="46" t="str">
        <f t="shared" si="15"/>
        <v>TungstenGanzhou Jiangwu Ferrotungsten Co., Ltd.</v>
      </c>
      <c r="T486"/>
    </row>
    <row r="487" spans="1:20" ht="10.5" customHeight="1">
      <c r="A487" s="255" t="s">
        <v>2326</v>
      </c>
      <c r="B487" s="255" t="s">
        <v>210</v>
      </c>
      <c r="C487" s="255" t="s">
        <v>210</v>
      </c>
      <c r="D487" s="255" t="s">
        <v>2181</v>
      </c>
      <c r="E487" s="255" t="s">
        <v>1418</v>
      </c>
      <c r="F487" s="255" t="s">
        <v>3125</v>
      </c>
      <c r="G487" s="255"/>
      <c r="H487" s="255" t="s">
        <v>3471</v>
      </c>
      <c r="I487" s="255" t="s">
        <v>3204</v>
      </c>
      <c r="J487" s="46" t="str">
        <f t="shared" si="14"/>
        <v>TungstenGanzhou Non-ferrous Metals Smelting Co., Ltd.</v>
      </c>
      <c r="K487" s="46" t="str">
        <f t="shared" si="15"/>
        <v>TungstenGanzhou Non-ferrous Metals Smelting Co., Ltd.</v>
      </c>
      <c r="T487"/>
    </row>
    <row r="488" spans="1:20" ht="10.5" customHeight="1">
      <c r="A488" s="255" t="s">
        <v>2326</v>
      </c>
      <c r="B488" s="255" t="s">
        <v>721</v>
      </c>
      <c r="C488" s="255" t="s">
        <v>721</v>
      </c>
      <c r="D488" s="255" t="s">
        <v>2181</v>
      </c>
      <c r="E488" s="255" t="s">
        <v>722</v>
      </c>
      <c r="F488" s="255" t="s">
        <v>3125</v>
      </c>
      <c r="G488" s="255"/>
      <c r="H488" s="255" t="s">
        <v>3471</v>
      </c>
      <c r="I488" s="255" t="s">
        <v>3204</v>
      </c>
      <c r="J488" s="46" t="str">
        <f t="shared" si="14"/>
        <v>TungstenGanzhou Seadragon W &amp; Mo Co., Ltd.</v>
      </c>
      <c r="K488" s="46" t="str">
        <f t="shared" si="15"/>
        <v>TungstenGanzhou Seadragon W &amp; Mo Co., Ltd.</v>
      </c>
      <c r="T488"/>
    </row>
    <row r="489" spans="1:20" ht="10.5" customHeight="1">
      <c r="A489" s="255" t="s">
        <v>2326</v>
      </c>
      <c r="B489" s="255" t="s">
        <v>2723</v>
      </c>
      <c r="C489" s="255" t="s">
        <v>2723</v>
      </c>
      <c r="D489" s="255" t="s">
        <v>2181</v>
      </c>
      <c r="E489" s="255" t="s">
        <v>2724</v>
      </c>
      <c r="F489" s="255" t="s">
        <v>3125</v>
      </c>
      <c r="G489" s="255"/>
      <c r="H489" s="255" t="s">
        <v>3471</v>
      </c>
      <c r="I489" s="255" t="s">
        <v>3204</v>
      </c>
      <c r="J489" s="46" t="str">
        <f t="shared" si="14"/>
        <v>TungstenGanzhou Yatai Tungsten Co., Ltd.</v>
      </c>
      <c r="K489" s="46" t="str">
        <f t="shared" si="15"/>
        <v>TungstenGanzhou Yatai Tungsten Co., Ltd.</v>
      </c>
      <c r="T489"/>
    </row>
    <row r="490" spans="1:20" ht="10.5" customHeight="1">
      <c r="A490" s="255" t="s">
        <v>2326</v>
      </c>
      <c r="B490" s="255" t="s">
        <v>1</v>
      </c>
      <c r="C490" s="255" t="s">
        <v>1</v>
      </c>
      <c r="D490" s="255" t="s">
        <v>1759</v>
      </c>
      <c r="E490" s="255" t="s">
        <v>1414</v>
      </c>
      <c r="F490" s="255" t="s">
        <v>3125</v>
      </c>
      <c r="G490" s="255"/>
      <c r="H490" s="255" t="s">
        <v>3560</v>
      </c>
      <c r="I490" s="255" t="s">
        <v>3401</v>
      </c>
      <c r="J490" s="46" t="str">
        <f t="shared" si="14"/>
        <v>TungstenGlobal Tungsten &amp; Powders Corp.</v>
      </c>
      <c r="K490" s="46" t="str">
        <f t="shared" si="15"/>
        <v>TungstenGlobal Tungsten &amp; Powders Corp.</v>
      </c>
      <c r="T490"/>
    </row>
    <row r="491" spans="1:20" ht="10.5" customHeight="1">
      <c r="A491" s="255" t="s">
        <v>2326</v>
      </c>
      <c r="B491" s="255" t="s">
        <v>1938</v>
      </c>
      <c r="C491" s="255" t="s">
        <v>1</v>
      </c>
      <c r="D491" s="255" t="s">
        <v>1759</v>
      </c>
      <c r="E491" s="255" t="s">
        <v>1414</v>
      </c>
      <c r="F491" s="255" t="s">
        <v>3125</v>
      </c>
      <c r="G491" s="255"/>
      <c r="H491" s="255" t="s">
        <v>3560</v>
      </c>
      <c r="I491" s="255" t="s">
        <v>3401</v>
      </c>
      <c r="J491" s="46" t="str">
        <f t="shared" si="14"/>
        <v>TungstenGTP</v>
      </c>
      <c r="K491" s="46" t="str">
        <f t="shared" si="15"/>
        <v>TungstenGTP</v>
      </c>
      <c r="T491"/>
    </row>
    <row r="492" spans="1:20" ht="10.5" customHeight="1">
      <c r="A492" s="255" t="s">
        <v>2326</v>
      </c>
      <c r="B492" s="255" t="s">
        <v>2660</v>
      </c>
      <c r="C492" s="255" t="s">
        <v>2660</v>
      </c>
      <c r="D492" s="255" t="s">
        <v>2181</v>
      </c>
      <c r="E492" s="255" t="s">
        <v>1410</v>
      </c>
      <c r="F492" s="255" t="s">
        <v>3125</v>
      </c>
      <c r="G492" s="255"/>
      <c r="H492" s="255" t="s">
        <v>3557</v>
      </c>
      <c r="I492" s="255" t="s">
        <v>3335</v>
      </c>
      <c r="J492" s="46" t="str">
        <f t="shared" si="14"/>
        <v>TungstenGuangdong Xianglu Tungsten Co., Ltd.</v>
      </c>
      <c r="K492" s="46" t="str">
        <f t="shared" si="15"/>
        <v>TungstenGuangdong Xianglu Tungsten Co., Ltd.</v>
      </c>
      <c r="T492"/>
    </row>
    <row r="493" spans="1:20" ht="10.5" customHeight="1">
      <c r="A493" s="255" t="s">
        <v>2326</v>
      </c>
      <c r="B493" s="255" t="s">
        <v>2759</v>
      </c>
      <c r="C493" s="255" t="s">
        <v>2759</v>
      </c>
      <c r="D493" s="255" t="s">
        <v>2195</v>
      </c>
      <c r="E493" s="255" t="s">
        <v>2760</v>
      </c>
      <c r="F493" s="255" t="s">
        <v>3125</v>
      </c>
      <c r="G493" s="255"/>
      <c r="H493" s="255" t="s">
        <v>3418</v>
      </c>
      <c r="I493" s="255" t="s">
        <v>3419</v>
      </c>
      <c r="J493" s="46" t="str">
        <f t="shared" si="14"/>
        <v>TungstenH.C. Starck GmbH</v>
      </c>
      <c r="K493" s="46" t="str">
        <f t="shared" si="15"/>
        <v>TungstenH.C. Starck GmbH</v>
      </c>
      <c r="T493"/>
    </row>
    <row r="494" spans="1:20" ht="10.5" customHeight="1">
      <c r="A494" s="255" t="s">
        <v>2326</v>
      </c>
      <c r="B494" s="255" t="s">
        <v>2749</v>
      </c>
      <c r="C494" s="255" t="s">
        <v>2749</v>
      </c>
      <c r="D494" s="255" t="s">
        <v>2195</v>
      </c>
      <c r="E494" s="255" t="s">
        <v>2761</v>
      </c>
      <c r="F494" s="255" t="s">
        <v>3125</v>
      </c>
      <c r="G494" s="255"/>
      <c r="H494" s="255" t="s">
        <v>3420</v>
      </c>
      <c r="I494" s="255" t="s">
        <v>3131</v>
      </c>
      <c r="J494" s="46" t="str">
        <f t="shared" si="14"/>
        <v>TungstenH.C. Starck Smelting GmbH &amp; Co.KG</v>
      </c>
      <c r="K494" s="46" t="str">
        <f t="shared" si="15"/>
        <v>TungstenH.C. Starck Smelting GmbH &amp; Co.KG</v>
      </c>
      <c r="T494"/>
    </row>
    <row r="495" spans="1:20" ht="10.5" customHeight="1">
      <c r="A495" s="255" t="s">
        <v>2326</v>
      </c>
      <c r="B495" s="255" t="s">
        <v>4750</v>
      </c>
      <c r="C495" s="255" t="s">
        <v>2661</v>
      </c>
      <c r="D495" s="255" t="s">
        <v>2181</v>
      </c>
      <c r="E495" s="255" t="s">
        <v>1416</v>
      </c>
      <c r="F495" s="255" t="s">
        <v>3125</v>
      </c>
      <c r="G495" s="255"/>
      <c r="H495" s="255" t="s">
        <v>3407</v>
      </c>
      <c r="I495" s="255" t="s">
        <v>3186</v>
      </c>
      <c r="J495" s="46" t="str">
        <f t="shared" si="14"/>
        <v>TungstenHuman Chun-Chang non-ferrous Smelting &amp; Concentrating Co., Ltd.</v>
      </c>
      <c r="K495" s="46" t="str">
        <f t="shared" si="15"/>
        <v>TungstenHuman Chun-Chang non-ferrous Smelting &amp; Concentrating Co., Ltd.</v>
      </c>
      <c r="T495"/>
    </row>
    <row r="496" spans="1:20" ht="10.5" customHeight="1">
      <c r="A496" s="255" t="s">
        <v>2326</v>
      </c>
      <c r="B496" s="255" t="s">
        <v>4286</v>
      </c>
      <c r="C496" s="255" t="s">
        <v>4286</v>
      </c>
      <c r="D496" s="255" t="s">
        <v>2181</v>
      </c>
      <c r="E496" s="255" t="s">
        <v>1415</v>
      </c>
      <c r="F496" s="255" t="s">
        <v>3125</v>
      </c>
      <c r="G496" s="255"/>
      <c r="H496" s="255" t="s">
        <v>4137</v>
      </c>
      <c r="I496" s="255" t="s">
        <v>3186</v>
      </c>
      <c r="J496" s="46" t="str">
        <f t="shared" si="14"/>
        <v>TungstenHunan Chenzhou Mining Co., Ltd.</v>
      </c>
      <c r="K496" s="46" t="str">
        <f t="shared" si="15"/>
        <v>TungstenHunan Chenzhou Mining Co., Ltd.</v>
      </c>
      <c r="T496"/>
    </row>
    <row r="497" spans="1:20" ht="10.5" customHeight="1">
      <c r="A497" s="255" t="s">
        <v>2326</v>
      </c>
      <c r="B497" s="255" t="s">
        <v>2657</v>
      </c>
      <c r="C497" s="255" t="s">
        <v>4286</v>
      </c>
      <c r="D497" s="255" t="s">
        <v>2181</v>
      </c>
      <c r="E497" s="255" t="s">
        <v>1415</v>
      </c>
      <c r="F497" s="255" t="s">
        <v>3125</v>
      </c>
      <c r="G497" s="255"/>
      <c r="H497" s="255" t="s">
        <v>4137</v>
      </c>
      <c r="I497" s="255" t="s">
        <v>3186</v>
      </c>
      <c r="J497" s="46" t="str">
        <f t="shared" si="14"/>
        <v>TungstenHunan Chenzhou Mining Group Co., Ltd.</v>
      </c>
      <c r="K497" s="46" t="str">
        <f t="shared" si="15"/>
        <v>TungstenHunan Chenzhou Mining Group Co., Ltd.</v>
      </c>
      <c r="T497"/>
    </row>
    <row r="498" spans="1:20" ht="10.5" customHeight="1">
      <c r="A498" s="255" t="s">
        <v>2326</v>
      </c>
      <c r="B498" s="255" t="s">
        <v>3591</v>
      </c>
      <c r="C498" s="255" t="s">
        <v>3591</v>
      </c>
      <c r="D498" s="255" t="s">
        <v>2181</v>
      </c>
      <c r="E498" s="255" t="s">
        <v>3592</v>
      </c>
      <c r="F498" s="255" t="s">
        <v>3125</v>
      </c>
      <c r="G498" s="255"/>
      <c r="H498" s="255" t="s">
        <v>3407</v>
      </c>
      <c r="I498" s="255" t="s">
        <v>3186</v>
      </c>
      <c r="J498" s="46" t="str">
        <f t="shared" si="14"/>
        <v>TungstenHunan Chuangda Vanadium Tungsten Co., Ltd. Wuji</v>
      </c>
      <c r="K498" s="46" t="str">
        <f t="shared" si="15"/>
        <v>TungstenHunan Chuangda Vanadium Tungsten Co., Ltd. Wuji</v>
      </c>
      <c r="T498"/>
    </row>
    <row r="499" spans="1:20" ht="10.5" customHeight="1">
      <c r="A499" s="255" t="s">
        <v>2326</v>
      </c>
      <c r="B499" s="255" t="s">
        <v>3589</v>
      </c>
      <c r="C499" s="255" t="s">
        <v>3589</v>
      </c>
      <c r="D499" s="255" t="s">
        <v>2181</v>
      </c>
      <c r="E499" s="255" t="s">
        <v>3590</v>
      </c>
      <c r="F499" s="255" t="s">
        <v>3125</v>
      </c>
      <c r="G499" s="255"/>
      <c r="H499" s="255" t="s">
        <v>3407</v>
      </c>
      <c r="I499" s="255" t="s">
        <v>3186</v>
      </c>
      <c r="J499" s="46" t="str">
        <f t="shared" si="14"/>
        <v>TungstenHunan Chuangda Vanadium Tungsten Co., Ltd. Yanglin</v>
      </c>
      <c r="K499" s="46" t="str">
        <f t="shared" si="15"/>
        <v>TungstenHunan Chuangda Vanadium Tungsten Co., Ltd. Yanglin</v>
      </c>
      <c r="T499"/>
    </row>
    <row r="500" spans="1:20" ht="10.5" customHeight="1">
      <c r="A500" s="255" t="s">
        <v>2326</v>
      </c>
      <c r="B500" s="255" t="s">
        <v>2661</v>
      </c>
      <c r="C500" s="255" t="s">
        <v>2661</v>
      </c>
      <c r="D500" s="255" t="s">
        <v>2181</v>
      </c>
      <c r="E500" s="255" t="s">
        <v>1416</v>
      </c>
      <c r="F500" s="255" t="s">
        <v>3125</v>
      </c>
      <c r="G500" s="255"/>
      <c r="H500" s="255" t="s">
        <v>3407</v>
      </c>
      <c r="I500" s="255" t="s">
        <v>3186</v>
      </c>
      <c r="J500" s="46" t="str">
        <f t="shared" si="14"/>
        <v>TungstenHunan Chunchang Nonferrous Metals Co., Ltd.</v>
      </c>
      <c r="K500" s="46" t="str">
        <f t="shared" si="15"/>
        <v>TungstenHunan Chunchang Nonferrous Metals Co., Ltd.</v>
      </c>
      <c r="T500"/>
    </row>
    <row r="501" spans="1:20" ht="10.5" customHeight="1">
      <c r="A501" s="255" t="s">
        <v>2326</v>
      </c>
      <c r="B501" s="255" t="s">
        <v>3596</v>
      </c>
      <c r="C501" s="255" t="s">
        <v>3596</v>
      </c>
      <c r="D501" s="255" t="s">
        <v>1717</v>
      </c>
      <c r="E501" s="255" t="s">
        <v>3597</v>
      </c>
      <c r="F501" s="255" t="s">
        <v>3125</v>
      </c>
      <c r="G501" s="255"/>
      <c r="H501" s="255" t="s">
        <v>3598</v>
      </c>
      <c r="I501" s="255" t="s">
        <v>3599</v>
      </c>
      <c r="J501" s="46" t="str">
        <f t="shared" si="14"/>
        <v>TungstenHydrometallurg, JSC</v>
      </c>
      <c r="K501" s="46" t="str">
        <f t="shared" si="15"/>
        <v>TungstenHydrometallurg, JSC</v>
      </c>
      <c r="T501"/>
    </row>
    <row r="502" spans="1:20" ht="10.5" customHeight="1">
      <c r="A502" s="255" t="s">
        <v>2326</v>
      </c>
      <c r="B502" s="255" t="s">
        <v>2662</v>
      </c>
      <c r="C502" s="255" t="s">
        <v>2662</v>
      </c>
      <c r="D502" s="255" t="s">
        <v>2249</v>
      </c>
      <c r="E502" s="255" t="s">
        <v>1417</v>
      </c>
      <c r="F502" s="255" t="s">
        <v>3125</v>
      </c>
      <c r="G502" s="255"/>
      <c r="H502" s="255" t="s">
        <v>4138</v>
      </c>
      <c r="I502" s="255" t="s">
        <v>3174</v>
      </c>
      <c r="J502" s="46" t="str">
        <f t="shared" si="14"/>
        <v>TungstenJapan New Metals Co., Ltd.</v>
      </c>
      <c r="K502" s="46" t="str">
        <f t="shared" si="15"/>
        <v>TungstenJapan New Metals Co., Ltd.</v>
      </c>
      <c r="T502"/>
    </row>
    <row r="503" spans="1:20" ht="10.5" customHeight="1">
      <c r="A503" s="255" t="s">
        <v>2326</v>
      </c>
      <c r="B503" s="255" t="s">
        <v>2762</v>
      </c>
      <c r="C503" s="255" t="s">
        <v>2762</v>
      </c>
      <c r="D503" s="255" t="s">
        <v>2181</v>
      </c>
      <c r="E503" s="255" t="s">
        <v>2763</v>
      </c>
      <c r="F503" s="255" t="s">
        <v>3125</v>
      </c>
      <c r="G503" s="255"/>
      <c r="H503" s="255" t="s">
        <v>3471</v>
      </c>
      <c r="I503" s="255" t="s">
        <v>3204</v>
      </c>
      <c r="J503" s="46" t="str">
        <f t="shared" si="14"/>
        <v>TungstenJiangwu H.C. Starck Tungsten Products Co., Ltd.</v>
      </c>
      <c r="K503" s="46" t="str">
        <f t="shared" si="15"/>
        <v>TungstenJiangwu H.C. Starck Tungsten Products Co., Ltd.</v>
      </c>
      <c r="T503"/>
    </row>
    <row r="504" spans="1:20" ht="10.5" customHeight="1">
      <c r="A504" s="255" t="s">
        <v>2326</v>
      </c>
      <c r="B504" s="255" t="s">
        <v>4368</v>
      </c>
      <c r="C504" s="255" t="s">
        <v>4368</v>
      </c>
      <c r="D504" s="255" t="s">
        <v>2181</v>
      </c>
      <c r="E504" s="255" t="s">
        <v>4369</v>
      </c>
      <c r="F504" s="255" t="s">
        <v>3125</v>
      </c>
      <c r="G504" s="255"/>
      <c r="H504" s="255" t="s">
        <v>4751</v>
      </c>
      <c r="I504" s="255" t="s">
        <v>3204</v>
      </c>
      <c r="J504" s="46" t="str">
        <f t="shared" si="14"/>
        <v>TungstenJiangxi Dayu Longxintai Tungsten Co., Ltd.</v>
      </c>
      <c r="K504" s="46" t="str">
        <f t="shared" si="15"/>
        <v>TungstenJiangxi Dayu Longxintai Tungsten Co., Ltd.</v>
      </c>
      <c r="T504"/>
    </row>
    <row r="505" spans="1:20" ht="10.5" customHeight="1">
      <c r="A505" s="255" t="s">
        <v>2326</v>
      </c>
      <c r="B505" s="255" t="s">
        <v>219</v>
      </c>
      <c r="C505" s="255" t="s">
        <v>219</v>
      </c>
      <c r="D505" s="255" t="s">
        <v>2181</v>
      </c>
      <c r="E505" s="255" t="s">
        <v>199</v>
      </c>
      <c r="F505" s="255" t="s">
        <v>3125</v>
      </c>
      <c r="G505" s="255"/>
      <c r="H505" s="255" t="s">
        <v>3576</v>
      </c>
      <c r="I505" s="255" t="s">
        <v>3204</v>
      </c>
      <c r="J505" s="46" t="str">
        <f t="shared" si="14"/>
        <v>TungstenJiangxi Gan Bei Tungsten Co., Ltd.</v>
      </c>
      <c r="K505" s="46" t="str">
        <f t="shared" si="15"/>
        <v>TungstenJiangxi Gan Bei Tungsten Co., Ltd.</v>
      </c>
      <c r="T505"/>
    </row>
    <row r="506" spans="1:20" ht="10.5" customHeight="1">
      <c r="A506" s="255" t="s">
        <v>2326</v>
      </c>
      <c r="B506" s="255" t="s">
        <v>1465</v>
      </c>
      <c r="C506" s="255" t="s">
        <v>1465</v>
      </c>
      <c r="D506" s="255" t="s">
        <v>2181</v>
      </c>
      <c r="E506" s="255" t="s">
        <v>1426</v>
      </c>
      <c r="F506" s="255" t="s">
        <v>3125</v>
      </c>
      <c r="G506" s="255"/>
      <c r="H506" s="255" t="s">
        <v>3572</v>
      </c>
      <c r="I506" s="255" t="s">
        <v>3204</v>
      </c>
      <c r="J506" s="46" t="str">
        <f t="shared" si="14"/>
        <v>TungstenJiangxi Minmetals Gao'an Non-ferrous Metals Co., Ltd.</v>
      </c>
      <c r="K506" s="46" t="str">
        <f t="shared" si="15"/>
        <v>TungstenJiangxi Minmetals Gao'an Non-ferrous Metals Co., Ltd.</v>
      </c>
      <c r="T506"/>
    </row>
    <row r="507" spans="1:20" ht="10.5" customHeight="1">
      <c r="A507" s="255" t="s">
        <v>2326</v>
      </c>
      <c r="B507" s="255" t="s">
        <v>216</v>
      </c>
      <c r="C507" s="255" t="s">
        <v>216</v>
      </c>
      <c r="D507" s="255" t="s">
        <v>2181</v>
      </c>
      <c r="E507" s="255" t="s">
        <v>204</v>
      </c>
      <c r="F507" s="255" t="s">
        <v>3125</v>
      </c>
      <c r="G507" s="255"/>
      <c r="H507" s="255" t="s">
        <v>3573</v>
      </c>
      <c r="I507" s="255" t="s">
        <v>3204</v>
      </c>
      <c r="J507" s="46" t="str">
        <f t="shared" si="14"/>
        <v>TungstenJiangxi Tonggu Non-ferrous Metallurgical &amp; Chemical Co., Ltd.</v>
      </c>
      <c r="K507" s="46" t="str">
        <f t="shared" si="15"/>
        <v>TungstenJiangxi Tonggu Non-ferrous Metallurgical &amp; Chemical Co., Ltd.</v>
      </c>
      <c r="T507"/>
    </row>
    <row r="508" spans="1:20" ht="10.5" customHeight="1">
      <c r="A508" s="255" t="s">
        <v>2326</v>
      </c>
      <c r="B508" s="255" t="s">
        <v>4319</v>
      </c>
      <c r="C508" s="255" t="s">
        <v>211</v>
      </c>
      <c r="D508" s="255" t="s">
        <v>2181</v>
      </c>
      <c r="E508" s="255" t="s">
        <v>1419</v>
      </c>
      <c r="F508" s="255" t="s">
        <v>3125</v>
      </c>
      <c r="G508" s="255"/>
      <c r="H508" s="255" t="s">
        <v>3471</v>
      </c>
      <c r="I508" s="255" t="s">
        <v>3204</v>
      </c>
      <c r="J508" s="46" t="str">
        <f t="shared" si="14"/>
        <v>TungstenJiangxi Tungsten Co Ltd</v>
      </c>
      <c r="K508" s="46" t="str">
        <f t="shared" si="15"/>
        <v>TungstenJiangxi Tungsten Co Ltd</v>
      </c>
      <c r="T508"/>
    </row>
    <row r="509" spans="1:20" ht="12.75">
      <c r="A509" s="255" t="s">
        <v>2326</v>
      </c>
      <c r="B509" s="255" t="s">
        <v>3562</v>
      </c>
      <c r="C509" s="255" t="s">
        <v>211</v>
      </c>
      <c r="D509" s="255" t="s">
        <v>2181</v>
      </c>
      <c r="E509" s="255" t="s">
        <v>1419</v>
      </c>
      <c r="F509" s="255" t="s">
        <v>3125</v>
      </c>
      <c r="G509" s="255"/>
      <c r="H509" s="255" t="s">
        <v>3471</v>
      </c>
      <c r="I509" s="255" t="s">
        <v>3204</v>
      </c>
      <c r="J509" s="46" t="str">
        <f t="shared" si="14"/>
        <v>TungstenJiangxi Tungsten Industry Group Co. Ltd.</v>
      </c>
      <c r="K509" s="46" t="str">
        <f t="shared" si="15"/>
        <v>TungstenJiangxi Tungsten Industry Group Co. Ltd.</v>
      </c>
      <c r="T509"/>
    </row>
    <row r="510" spans="1:20" ht="12.75">
      <c r="A510" s="255" t="s">
        <v>2326</v>
      </c>
      <c r="B510" s="255" t="s">
        <v>215</v>
      </c>
      <c r="C510" s="255" t="s">
        <v>215</v>
      </c>
      <c r="D510" s="255" t="s">
        <v>2181</v>
      </c>
      <c r="E510" s="255" t="s">
        <v>203</v>
      </c>
      <c r="F510" s="255" t="s">
        <v>3125</v>
      </c>
      <c r="G510" s="255"/>
      <c r="H510" s="255" t="s">
        <v>3471</v>
      </c>
      <c r="I510" s="255" t="s">
        <v>3204</v>
      </c>
      <c r="J510" s="46" t="str">
        <f t="shared" si="14"/>
        <v>TungstenJiangxi Xinsheng Tungsten Industry Co., Ltd.</v>
      </c>
      <c r="K510" s="46" t="str">
        <f t="shared" si="15"/>
        <v>TungstenJiangxi Xinsheng Tungsten Industry Co., Ltd.</v>
      </c>
      <c r="T510"/>
    </row>
    <row r="511" spans="1:20" ht="12.75">
      <c r="A511" s="255" t="s">
        <v>2326</v>
      </c>
      <c r="B511" s="255" t="s">
        <v>2725</v>
      </c>
      <c r="C511" s="255" t="s">
        <v>2725</v>
      </c>
      <c r="D511" s="255" t="s">
        <v>2181</v>
      </c>
      <c r="E511" s="255" t="s">
        <v>2726</v>
      </c>
      <c r="F511" s="255" t="s">
        <v>3125</v>
      </c>
      <c r="G511" s="255"/>
      <c r="H511" s="255" t="s">
        <v>3576</v>
      </c>
      <c r="I511" s="255" t="s">
        <v>3204</v>
      </c>
      <c r="J511" s="46" t="str">
        <f t="shared" si="14"/>
        <v>TungstenJiangxi Xiushui Xianggan Nonferrous Metals Co., Ltd.</v>
      </c>
      <c r="K511" s="46" t="str">
        <f t="shared" si="15"/>
        <v>TungstenJiangxi Xiushui Xianggan Nonferrous Metals Co., Ltd.</v>
      </c>
      <c r="T511"/>
    </row>
    <row r="512" spans="1:20" ht="12.75">
      <c r="A512" s="255" t="s">
        <v>2326</v>
      </c>
      <c r="B512" s="255" t="s">
        <v>214</v>
      </c>
      <c r="C512" s="255" t="s">
        <v>214</v>
      </c>
      <c r="D512" s="255" t="s">
        <v>2181</v>
      </c>
      <c r="E512" s="255" t="s">
        <v>202</v>
      </c>
      <c r="F512" s="255" t="s">
        <v>3125</v>
      </c>
      <c r="G512" s="255"/>
      <c r="H512" s="255" t="s">
        <v>3471</v>
      </c>
      <c r="I512" s="255" t="s">
        <v>3204</v>
      </c>
      <c r="J512" s="46" t="str">
        <f t="shared" si="14"/>
        <v>TungstenJiangxi Yaosheng Tungsten Co., Ltd.</v>
      </c>
      <c r="K512" s="46" t="str">
        <f t="shared" si="15"/>
        <v>TungstenJiangxi Yaosheng Tungsten Co., Ltd.</v>
      </c>
      <c r="T512"/>
    </row>
    <row r="513" spans="1:20" ht="12.75">
      <c r="A513" s="255" t="s">
        <v>2326</v>
      </c>
      <c r="B513" s="255" t="s">
        <v>212</v>
      </c>
      <c r="C513" s="255" t="s">
        <v>212</v>
      </c>
      <c r="D513" s="255" t="s">
        <v>1759</v>
      </c>
      <c r="E513" s="255" t="s">
        <v>1420</v>
      </c>
      <c r="F513" s="255" t="s">
        <v>3125</v>
      </c>
      <c r="G513" s="255"/>
      <c r="H513" s="255" t="s">
        <v>3563</v>
      </c>
      <c r="I513" s="255" t="s">
        <v>3431</v>
      </c>
      <c r="J513" s="46" t="str">
        <f t="shared" si="14"/>
        <v>TungstenKennametal Fallon</v>
      </c>
      <c r="K513" s="46" t="str">
        <f t="shared" si="15"/>
        <v>TungstenKennametal Fallon</v>
      </c>
      <c r="T513"/>
    </row>
    <row r="514" spans="1:20" ht="12.75">
      <c r="A514" s="255" t="s">
        <v>2326</v>
      </c>
      <c r="B514" s="255" t="s">
        <v>209</v>
      </c>
      <c r="C514" s="255" t="s">
        <v>209</v>
      </c>
      <c r="D514" s="255" t="s">
        <v>1759</v>
      </c>
      <c r="E514" s="255" t="s">
        <v>1409</v>
      </c>
      <c r="F514" s="255" t="s">
        <v>3125</v>
      </c>
      <c r="G514" s="255"/>
      <c r="H514" s="255" t="s">
        <v>3555</v>
      </c>
      <c r="I514" s="255" t="s">
        <v>3556</v>
      </c>
      <c r="J514" s="46" t="str">
        <f t="shared" si="14"/>
        <v>TungstenKennametal Huntsville</v>
      </c>
      <c r="K514" s="46" t="str">
        <f t="shared" si="15"/>
        <v>TungstenKennametal Huntsville</v>
      </c>
      <c r="T514"/>
    </row>
    <row r="515" spans="1:20" ht="12.75">
      <c r="A515" s="255" t="s">
        <v>2326</v>
      </c>
      <c r="B515" s="255" t="s">
        <v>217</v>
      </c>
      <c r="C515" s="255" t="s">
        <v>217</v>
      </c>
      <c r="D515" s="255" t="s">
        <v>2181</v>
      </c>
      <c r="E515" s="255" t="s">
        <v>205</v>
      </c>
      <c r="F515" s="255" t="s">
        <v>3125</v>
      </c>
      <c r="G515" s="255"/>
      <c r="H515" s="255" t="s">
        <v>3574</v>
      </c>
      <c r="I515" s="255" t="s">
        <v>3161</v>
      </c>
      <c r="J515" s="46" t="str">
        <f t="shared" si="14"/>
        <v>TungstenMalipo Haiyu Tungsten Co., Ltd.</v>
      </c>
      <c r="K515" s="46" t="str">
        <f t="shared" si="15"/>
        <v>TungstenMalipo Haiyu Tungsten Co., Ltd.</v>
      </c>
      <c r="T515"/>
    </row>
    <row r="516" spans="1:20" ht="12.75">
      <c r="A516" s="255" t="s">
        <v>2326</v>
      </c>
      <c r="B516" s="255" t="s">
        <v>4373</v>
      </c>
      <c r="C516" s="255" t="s">
        <v>4373</v>
      </c>
      <c r="D516" s="255" t="s">
        <v>1717</v>
      </c>
      <c r="E516" s="255" t="s">
        <v>4374</v>
      </c>
      <c r="F516" s="255" t="s">
        <v>3125</v>
      </c>
      <c r="G516" s="255"/>
      <c r="H516" s="255" t="s">
        <v>4375</v>
      </c>
      <c r="I516" s="255" t="s">
        <v>3294</v>
      </c>
      <c r="J516" s="46" t="str">
        <f t="shared" si="14"/>
        <v>TungstenMoliren Ltd</v>
      </c>
      <c r="K516" s="46" t="str">
        <f t="shared" si="15"/>
        <v>TungstenMoliren Ltd</v>
      </c>
      <c r="T516"/>
    </row>
    <row r="517" spans="1:20" ht="12.75">
      <c r="A517" s="255" t="s">
        <v>2326</v>
      </c>
      <c r="B517" s="255" t="s">
        <v>3593</v>
      </c>
      <c r="C517" s="255" t="s">
        <v>3593</v>
      </c>
      <c r="D517" s="255" t="s">
        <v>1759</v>
      </c>
      <c r="E517" s="255" t="s">
        <v>3594</v>
      </c>
      <c r="F517" s="255" t="s">
        <v>3125</v>
      </c>
      <c r="G517" s="255"/>
      <c r="H517" s="255" t="s">
        <v>3595</v>
      </c>
      <c r="I517" s="255" t="s">
        <v>3230</v>
      </c>
      <c r="J517" s="46" t="str">
        <f t="shared" ref="J517:J537" si="16">A517&amp;B517</f>
        <v>TungstenNiagara Refining LLC</v>
      </c>
      <c r="K517" s="46" t="str">
        <f t="shared" ref="K517:K537" si="17">A517&amp;B517</f>
        <v>TungstenNiagara Refining LLC</v>
      </c>
      <c r="T517"/>
    </row>
    <row r="518" spans="1:20" ht="12.75">
      <c r="A518" s="255" t="s">
        <v>2326</v>
      </c>
      <c r="B518" s="255" t="s">
        <v>2765</v>
      </c>
      <c r="C518" s="255" t="s">
        <v>2765</v>
      </c>
      <c r="D518" s="255" t="s">
        <v>1766</v>
      </c>
      <c r="E518" s="255" t="s">
        <v>2764</v>
      </c>
      <c r="F518" s="255" t="s">
        <v>3125</v>
      </c>
      <c r="G518" s="255"/>
      <c r="H518" s="255" t="s">
        <v>3587</v>
      </c>
      <c r="I518" s="255" t="s">
        <v>3588</v>
      </c>
      <c r="J518" s="46" t="str">
        <f t="shared" si="16"/>
        <v>TungstenNui Phao H.C. Starck Tungsten Chemicals Manufacturing LLC</v>
      </c>
      <c r="K518" s="46" t="str">
        <f t="shared" si="17"/>
        <v>TungstenNui Phao H.C. Starck Tungsten Chemicals Manufacturing LLC</v>
      </c>
      <c r="T518"/>
    </row>
    <row r="519" spans="1:20" ht="12.75">
      <c r="A519" s="255" t="s">
        <v>2326</v>
      </c>
      <c r="B519" s="255" t="s">
        <v>4752</v>
      </c>
      <c r="C519" s="255" t="s">
        <v>4752</v>
      </c>
      <c r="D519" s="255" t="s">
        <v>1705</v>
      </c>
      <c r="E519" s="255" t="s">
        <v>4376</v>
      </c>
      <c r="F519" s="255" t="s">
        <v>3125</v>
      </c>
      <c r="G519" s="255"/>
      <c r="H519" s="255" t="s">
        <v>4377</v>
      </c>
      <c r="I519" s="255" t="s">
        <v>4378</v>
      </c>
      <c r="J519" s="46" t="str">
        <f t="shared" si="16"/>
        <v>TungstenPhilippine Chuangxin Industrial Co., Inc.</v>
      </c>
      <c r="K519" s="46" t="str">
        <f t="shared" si="17"/>
        <v>TungstenPhilippine Chuangxin Industrial Co., Inc.</v>
      </c>
      <c r="T519"/>
    </row>
    <row r="520" spans="1:20" ht="12.75">
      <c r="A520" s="255" t="s">
        <v>2326</v>
      </c>
      <c r="B520" s="255" t="s">
        <v>3581</v>
      </c>
      <c r="C520" s="255" t="s">
        <v>3581</v>
      </c>
      <c r="D520" s="255" t="s">
        <v>1717</v>
      </c>
      <c r="E520" s="255" t="s">
        <v>3582</v>
      </c>
      <c r="F520" s="255" t="s">
        <v>3125</v>
      </c>
      <c r="G520" s="255"/>
      <c r="H520" s="255" t="s">
        <v>3583</v>
      </c>
      <c r="I520" s="255" t="s">
        <v>3584</v>
      </c>
      <c r="J520" s="46" t="str">
        <f t="shared" si="16"/>
        <v>TungstenPobedit, JSC</v>
      </c>
      <c r="K520" s="46" t="str">
        <f t="shared" si="17"/>
        <v>TungstenPobedit, JSC</v>
      </c>
      <c r="T520"/>
    </row>
    <row r="521" spans="1:20" ht="12.75">
      <c r="A521" s="255" t="s">
        <v>2326</v>
      </c>
      <c r="B521" s="255" t="s">
        <v>2727</v>
      </c>
      <c r="C521" s="255" t="s">
        <v>2727</v>
      </c>
      <c r="D521" s="255" t="s">
        <v>1766</v>
      </c>
      <c r="E521" s="255" t="s">
        <v>2728</v>
      </c>
      <c r="F521" s="255" t="s">
        <v>3125</v>
      </c>
      <c r="G521" s="255"/>
      <c r="H521" s="255" t="s">
        <v>3585</v>
      </c>
      <c r="I521" s="255" t="s">
        <v>3586</v>
      </c>
      <c r="J521" s="46" t="str">
        <f t="shared" si="16"/>
        <v>TungstenSanher Tungsten Vietnam Co., Ltd.</v>
      </c>
      <c r="K521" s="46" t="str">
        <f t="shared" si="17"/>
        <v>TungstenSanher Tungsten Vietnam Co., Ltd.</v>
      </c>
      <c r="T521"/>
    </row>
    <row r="522" spans="1:20" ht="12.75">
      <c r="A522" s="255" t="s">
        <v>2326</v>
      </c>
      <c r="B522" s="255" t="s">
        <v>3571</v>
      </c>
      <c r="C522" s="255" t="s">
        <v>1466</v>
      </c>
      <c r="D522" s="255" t="s">
        <v>2181</v>
      </c>
      <c r="E522" s="255" t="s">
        <v>1425</v>
      </c>
      <c r="F522" s="255" t="s">
        <v>3125</v>
      </c>
      <c r="G522" s="255"/>
      <c r="H522" s="255" t="s">
        <v>3570</v>
      </c>
      <c r="I522" s="255" t="s">
        <v>3335</v>
      </c>
      <c r="J522" s="46" t="str">
        <f t="shared" si="16"/>
        <v>TungstenShaoguan Xinhai Rendan Tungsten Industry Co. Ltd</v>
      </c>
      <c r="K522" s="46" t="str">
        <f t="shared" si="17"/>
        <v>TungstenShaoguan Xinhai Rendan Tungsten Industry Co. Ltd</v>
      </c>
      <c r="T522"/>
    </row>
    <row r="523" spans="1:20" ht="12.75">
      <c r="A523" s="255" t="s">
        <v>2326</v>
      </c>
      <c r="B523" s="255" t="s">
        <v>4379</v>
      </c>
      <c r="C523" s="255" t="s">
        <v>4379</v>
      </c>
      <c r="D523" s="255" t="s">
        <v>2181</v>
      </c>
      <c r="E523" s="255" t="s">
        <v>4380</v>
      </c>
      <c r="F523" s="255" t="s">
        <v>3125</v>
      </c>
      <c r="G523" s="255"/>
      <c r="H523" s="255" t="s">
        <v>3407</v>
      </c>
      <c r="I523" s="255" t="s">
        <v>3186</v>
      </c>
      <c r="J523" s="46" t="str">
        <f t="shared" si="16"/>
        <v>TungstenSouth-East Nonferrous Metal Company Limited of Hengyang City</v>
      </c>
      <c r="K523" s="46" t="str">
        <f t="shared" si="17"/>
        <v>TungstenSouth-East Nonferrous Metal Company Limited of Hengyang City</v>
      </c>
      <c r="T523"/>
    </row>
    <row r="524" spans="1:20" ht="12.75">
      <c r="A524" s="255" t="s">
        <v>2326</v>
      </c>
      <c r="B524" s="255" t="s">
        <v>2</v>
      </c>
      <c r="C524" s="255" t="s">
        <v>2</v>
      </c>
      <c r="D524" s="255" t="s">
        <v>1766</v>
      </c>
      <c r="E524" s="255" t="s">
        <v>1421</v>
      </c>
      <c r="F524" s="255" t="s">
        <v>3125</v>
      </c>
      <c r="G524" s="255"/>
      <c r="H524" s="255" t="s">
        <v>3564</v>
      </c>
      <c r="I524" s="255" t="s">
        <v>4139</v>
      </c>
      <c r="J524" s="46" t="str">
        <f t="shared" si="16"/>
        <v>TungstenTejing (Vietnam) Tungsten Co., Ltd.</v>
      </c>
      <c r="K524" s="46" t="str">
        <f t="shared" si="17"/>
        <v>TungstenTejing (Vietnam) Tungsten Co., Ltd.</v>
      </c>
      <c r="T524"/>
    </row>
    <row r="525" spans="1:20" ht="12.75">
      <c r="A525" s="255" t="s">
        <v>2326</v>
      </c>
      <c r="B525" s="255" t="s">
        <v>4180</v>
      </c>
      <c r="C525" s="255" t="s">
        <v>4180</v>
      </c>
      <c r="D525" s="255" t="s">
        <v>1766</v>
      </c>
      <c r="E525" s="255" t="s">
        <v>2577</v>
      </c>
      <c r="F525" s="255" t="s">
        <v>3125</v>
      </c>
      <c r="G525" s="255"/>
      <c r="H525" s="255" t="s">
        <v>3564</v>
      </c>
      <c r="I525" s="255" t="s">
        <v>3565</v>
      </c>
      <c r="J525" s="46" t="str">
        <f t="shared" si="16"/>
        <v>TungstenVietnam Youngsun Tungsten Industry Co., Ltd.</v>
      </c>
      <c r="K525" s="46" t="str">
        <f t="shared" si="17"/>
        <v>TungstenVietnam Youngsun Tungsten Industry Co., Ltd.</v>
      </c>
      <c r="T525"/>
    </row>
    <row r="526" spans="1:20" ht="12.75">
      <c r="A526" s="255" t="s">
        <v>2326</v>
      </c>
      <c r="B526" s="255" t="s">
        <v>3568</v>
      </c>
      <c r="C526" s="255" t="s">
        <v>1785</v>
      </c>
      <c r="D526" s="255" t="s">
        <v>2155</v>
      </c>
      <c r="E526" s="255" t="s">
        <v>1422</v>
      </c>
      <c r="F526" s="255" t="s">
        <v>3125</v>
      </c>
      <c r="G526" s="255"/>
      <c r="H526" s="255" t="s">
        <v>3566</v>
      </c>
      <c r="I526" s="255" t="s">
        <v>3415</v>
      </c>
      <c r="J526" s="46" t="str">
        <f t="shared" si="16"/>
        <v>TungstenWBH</v>
      </c>
      <c r="K526" s="46" t="str">
        <f t="shared" si="17"/>
        <v>TungstenWBH</v>
      </c>
      <c r="T526"/>
    </row>
    <row r="527" spans="1:20" ht="12.75">
      <c r="A527" s="255" t="s">
        <v>2326</v>
      </c>
      <c r="B527" s="255" t="s">
        <v>3567</v>
      </c>
      <c r="C527" s="255" t="s">
        <v>1785</v>
      </c>
      <c r="D527" s="255" t="s">
        <v>2155</v>
      </c>
      <c r="E527" s="255" t="s">
        <v>1422</v>
      </c>
      <c r="F527" s="255" t="s">
        <v>3125</v>
      </c>
      <c r="G527" s="255"/>
      <c r="H527" s="255" t="s">
        <v>3566</v>
      </c>
      <c r="I527" s="255" t="s">
        <v>3415</v>
      </c>
      <c r="J527" s="46" t="str">
        <f t="shared" si="16"/>
        <v>TungstenWBH,Wolfram [Austria]</v>
      </c>
      <c r="K527" s="46" t="str">
        <f t="shared" si="17"/>
        <v>TungstenWBH,Wolfram [Austria]</v>
      </c>
      <c r="T527"/>
    </row>
    <row r="528" spans="1:20" ht="12.75">
      <c r="A528" s="255" t="s">
        <v>2326</v>
      </c>
      <c r="B528" s="255" t="s">
        <v>1785</v>
      </c>
      <c r="C528" s="255" t="s">
        <v>1785</v>
      </c>
      <c r="D528" s="255" t="s">
        <v>2155</v>
      </c>
      <c r="E528" s="255" t="s">
        <v>1422</v>
      </c>
      <c r="F528" s="255" t="s">
        <v>3125</v>
      </c>
      <c r="G528" s="255"/>
      <c r="H528" s="255" t="s">
        <v>3566</v>
      </c>
      <c r="I528" s="255" t="s">
        <v>3415</v>
      </c>
      <c r="J528" s="46" t="str">
        <f t="shared" si="16"/>
        <v>TungstenWolfram Bergbau und Hütten AG</v>
      </c>
      <c r="K528" s="46" t="str">
        <f t="shared" si="17"/>
        <v>TungstenWolfram Bergbau und Hütten AG</v>
      </c>
      <c r="T528"/>
    </row>
    <row r="529" spans="1:20" ht="12.75">
      <c r="A529" s="255" t="s">
        <v>2326</v>
      </c>
      <c r="B529" s="255" t="s">
        <v>4381</v>
      </c>
      <c r="C529" s="255" t="s">
        <v>4381</v>
      </c>
      <c r="D529" s="255" t="s">
        <v>2256</v>
      </c>
      <c r="E529" s="255" t="s">
        <v>4382</v>
      </c>
      <c r="F529" s="255" t="s">
        <v>3125</v>
      </c>
      <c r="G529" s="255"/>
      <c r="H529" s="255" t="s">
        <v>4383</v>
      </c>
      <c r="I529" s="255" t="s">
        <v>4384</v>
      </c>
      <c r="J529" s="46" t="str">
        <f t="shared" si="16"/>
        <v>TungstenWoltech Korea Co., Ltd.</v>
      </c>
      <c r="K529" s="46" t="str">
        <f t="shared" si="17"/>
        <v>TungstenWoltech Korea Co., Ltd.</v>
      </c>
      <c r="T529"/>
    </row>
    <row r="530" spans="1:20" ht="12.75">
      <c r="A530" s="255" t="s">
        <v>2326</v>
      </c>
      <c r="B530" s="255" t="s">
        <v>3575</v>
      </c>
      <c r="C530" s="255" t="s">
        <v>218</v>
      </c>
      <c r="D530" s="255" t="s">
        <v>2181</v>
      </c>
      <c r="E530" s="255" t="s">
        <v>206</v>
      </c>
      <c r="F530" s="255" t="s">
        <v>3125</v>
      </c>
      <c r="G530" s="255"/>
      <c r="H530" s="255" t="s">
        <v>3569</v>
      </c>
      <c r="I530" s="255" t="s">
        <v>3332</v>
      </c>
      <c r="J530" s="46" t="str">
        <f t="shared" si="16"/>
        <v>TungstenXiamen H.C.</v>
      </c>
      <c r="K530" s="46" t="str">
        <f t="shared" si="17"/>
        <v>TungstenXiamen H.C.</v>
      </c>
      <c r="T530"/>
    </row>
    <row r="531" spans="1:20" ht="12.75">
      <c r="A531" s="255" t="s">
        <v>2326</v>
      </c>
      <c r="B531" s="255" t="s">
        <v>218</v>
      </c>
      <c r="C531" s="255" t="s">
        <v>218</v>
      </c>
      <c r="D531" s="255" t="s">
        <v>2181</v>
      </c>
      <c r="E531" s="255" t="s">
        <v>206</v>
      </c>
      <c r="F531" s="255" t="s">
        <v>3125</v>
      </c>
      <c r="G531" s="255"/>
      <c r="H531" s="255" t="s">
        <v>3569</v>
      </c>
      <c r="I531" s="255" t="s">
        <v>3332</v>
      </c>
      <c r="J531" s="46" t="str">
        <f t="shared" si="16"/>
        <v>TungstenXiamen Tungsten (H.C.) Co., Ltd.</v>
      </c>
      <c r="K531" s="46" t="str">
        <f t="shared" si="17"/>
        <v>TungstenXiamen Tungsten (H.C.) Co., Ltd.</v>
      </c>
      <c r="T531"/>
    </row>
    <row r="532" spans="1:20" ht="12.75">
      <c r="A532" s="255" t="s">
        <v>2326</v>
      </c>
      <c r="B532" s="255" t="s">
        <v>2663</v>
      </c>
      <c r="C532" s="255" t="s">
        <v>2663</v>
      </c>
      <c r="D532" s="255" t="s">
        <v>2181</v>
      </c>
      <c r="E532" s="255" t="s">
        <v>1423</v>
      </c>
      <c r="F532" s="255" t="s">
        <v>3125</v>
      </c>
      <c r="G532" s="255"/>
      <c r="H532" s="255" t="s">
        <v>3569</v>
      </c>
      <c r="I532" s="255" t="s">
        <v>3332</v>
      </c>
      <c r="J532" s="46" t="str">
        <f t="shared" si="16"/>
        <v>TungstenXiamen Tungsten Co., Ltd.</v>
      </c>
      <c r="K532" s="46" t="str">
        <f t="shared" si="17"/>
        <v>TungstenXiamen Tungsten Co., Ltd.</v>
      </c>
      <c r="T532"/>
    </row>
    <row r="533" spans="1:20" ht="12.75">
      <c r="A533" s="255" t="s">
        <v>2326</v>
      </c>
      <c r="B533" s="255" t="s">
        <v>4385</v>
      </c>
      <c r="C533" s="255" t="s">
        <v>4385</v>
      </c>
      <c r="D533" s="255" t="s">
        <v>2181</v>
      </c>
      <c r="E533" s="255" t="s">
        <v>4386</v>
      </c>
      <c r="F533" s="255" t="s">
        <v>3125</v>
      </c>
      <c r="G533" s="255"/>
      <c r="H533" s="255" t="s">
        <v>3471</v>
      </c>
      <c r="I533" s="255" t="s">
        <v>3204</v>
      </c>
      <c r="J533" s="46" t="str">
        <f t="shared" si="16"/>
        <v>TungstenXinfeng Huarui Tungsten &amp; Molybdenum New Material Co., Ltd.</v>
      </c>
      <c r="K533" s="46" t="str">
        <f t="shared" si="17"/>
        <v>TungstenXinfeng Huarui Tungsten &amp; Molybdenum New Material Co., Ltd.</v>
      </c>
      <c r="T533"/>
    </row>
    <row r="534" spans="1:20" ht="12.75">
      <c r="A534" s="255" t="s">
        <v>2326</v>
      </c>
      <c r="B534" s="255" t="s">
        <v>1466</v>
      </c>
      <c r="C534" s="255" t="s">
        <v>1466</v>
      </c>
      <c r="D534" s="255" t="s">
        <v>2181</v>
      </c>
      <c r="E534" s="255" t="s">
        <v>1425</v>
      </c>
      <c r="F534" s="255" t="s">
        <v>3125</v>
      </c>
      <c r="G534" s="255"/>
      <c r="H534" s="255" t="s">
        <v>3570</v>
      </c>
      <c r="I534" s="255" t="s">
        <v>3335</v>
      </c>
      <c r="J534" s="46" t="str">
        <f t="shared" si="16"/>
        <v>TungstenXinhai Rendan Shaoguan Tungsten Co., Ltd.</v>
      </c>
      <c r="K534" s="46" t="str">
        <f t="shared" si="17"/>
        <v>TungstenXinhai Rendan Shaoguan Tungsten Co., Ltd.</v>
      </c>
      <c r="T534"/>
    </row>
    <row r="535" spans="1:20" ht="12.75">
      <c r="A535" s="255" t="s">
        <v>2326</v>
      </c>
      <c r="B535" s="255" t="s">
        <v>3558</v>
      </c>
      <c r="C535" s="255" t="s">
        <v>2659</v>
      </c>
      <c r="D535" s="255" t="s">
        <v>2181</v>
      </c>
      <c r="E535" s="255" t="s">
        <v>1411</v>
      </c>
      <c r="F535" s="255" t="s">
        <v>3125</v>
      </c>
      <c r="G535" s="255"/>
      <c r="H535" s="255" t="s">
        <v>3471</v>
      </c>
      <c r="I535" s="255" t="s">
        <v>3204</v>
      </c>
      <c r="J535" s="46" t="str">
        <f t="shared" si="16"/>
        <v>TungstenZhangyuan Tungsten Co Ltd</v>
      </c>
      <c r="K535" s="46" t="str">
        <f t="shared" si="17"/>
        <v>TungstenZhangyuan Tungsten Co Ltd</v>
      </c>
      <c r="T535"/>
    </row>
    <row r="536" spans="1:20" ht="10.5" customHeight="1">
      <c r="A536" s="255" t="s">
        <v>2326</v>
      </c>
      <c r="B536" s="255" t="s">
        <v>3604</v>
      </c>
      <c r="C536" s="255"/>
      <c r="D536" s="255"/>
      <c r="E536" s="255"/>
      <c r="F536" s="255"/>
      <c r="G536" s="255"/>
      <c r="H536" s="255"/>
      <c r="I536" s="255"/>
      <c r="J536" s="46" t="str">
        <f t="shared" si="16"/>
        <v>TungstenSmelter not listed</v>
      </c>
      <c r="K536" s="46" t="str">
        <f t="shared" si="17"/>
        <v>TungstenSmelter not listed</v>
      </c>
    </row>
    <row r="537" spans="1:20" ht="10.5" customHeight="1">
      <c r="A537" s="255" t="s">
        <v>2326</v>
      </c>
      <c r="B537" s="255" t="s">
        <v>2573</v>
      </c>
      <c r="C537" s="255" t="s">
        <v>926</v>
      </c>
      <c r="D537" s="255" t="s">
        <v>926</v>
      </c>
      <c r="E537" s="255"/>
      <c r="F537" s="255"/>
      <c r="G537" s="255"/>
      <c r="H537" s="255"/>
      <c r="I537" s="255"/>
      <c r="J537" s="46" t="str">
        <f t="shared" si="16"/>
        <v>TungstenSmelter not yet identified</v>
      </c>
      <c r="K537" s="46" t="str">
        <f t="shared" si="17"/>
        <v>TungstenSmelter not yet identified</v>
      </c>
    </row>
  </sheetData>
  <sheetProtection password="E985" sheet="1" objects="1" scenarios="1" formatRows="0"/>
  <mergeCells count="1">
    <mergeCell ref="A1:G1"/>
  </mergeCells>
  <phoneticPr fontId="29"/>
  <conditionalFormatting sqref="K5:K224 K227:K290 K293:K300 K458:K525 K303:K455">
    <cfRule type="cellIs" dxfId="54" priority="7" stopIfTrue="1" operator="equal">
      <formula>"Yes"</formula>
    </cfRule>
  </conditionalFormatting>
  <conditionalFormatting sqref="K225:K226">
    <cfRule type="cellIs" dxfId="53" priority="6" stopIfTrue="1" operator="equal">
      <formula>"Yes"</formula>
    </cfRule>
  </conditionalFormatting>
  <conditionalFormatting sqref="K291:K292">
    <cfRule type="cellIs" dxfId="52" priority="5" stopIfTrue="1" operator="equal">
      <formula>"Yes"</formula>
    </cfRule>
  </conditionalFormatting>
  <conditionalFormatting sqref="K456:K457">
    <cfRule type="cellIs" dxfId="51" priority="4" stopIfTrue="1" operator="equal">
      <formula>"Yes"</formula>
    </cfRule>
  </conditionalFormatting>
  <conditionalFormatting sqref="K526">
    <cfRule type="cellIs" dxfId="50" priority="3" stopIfTrue="1" operator="equal">
      <formula>"Yes"</formula>
    </cfRule>
  </conditionalFormatting>
  <conditionalFormatting sqref="K301:K302">
    <cfRule type="cellIs" dxfId="49" priority="2" stopIfTrue="1" operator="equal">
      <formula>"Yes"</formula>
    </cfRule>
  </conditionalFormatting>
  <conditionalFormatting sqref="K536:K537">
    <cfRule type="cellIs" dxfId="48"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313"/>
  <sheetViews>
    <sheetView zoomScale="75" zoomScaleNormal="75" workbookViewId="0">
      <pane xSplit="3" ySplit="1" topLeftCell="D203" activePane="bottomRight" state="frozen"/>
      <selection pane="topRight" activeCell="D1" sqref="D1"/>
      <selection pane="bottomLeft" activeCell="A2" sqref="A2"/>
      <selection pane="bottomRight" activeCell="D207" sqref="D207"/>
    </sheetView>
  </sheetViews>
  <sheetFormatPr baseColWidth="10" defaultColWidth="8.75" defaultRowHeight="14.25"/>
  <cols>
    <col min="1" max="1" width="14.625" style="198" customWidth="1"/>
    <col min="2" max="2" width="14" style="198" customWidth="1"/>
    <col min="3" max="3" width="6.25" style="198" customWidth="1"/>
    <col min="4" max="4" width="50.875" style="198" customWidth="1"/>
    <col min="5" max="5" width="44.875" style="198" customWidth="1"/>
    <col min="6" max="11" width="40" style="198" customWidth="1"/>
    <col min="12" max="12" width="40" style="275" customWidth="1"/>
    <col min="13" max="13" width="40" style="48" customWidth="1"/>
    <col min="14" max="16384" width="8.75" style="48"/>
  </cols>
  <sheetData>
    <row r="1" spans="1:13">
      <c r="B1" s="198" t="s">
        <v>2770</v>
      </c>
      <c r="C1" s="198" t="s">
        <v>1206</v>
      </c>
      <c r="D1" s="198" t="s">
        <v>1529</v>
      </c>
      <c r="E1" s="200" t="s">
        <v>2771</v>
      </c>
      <c r="F1" s="200" t="s">
        <v>2772</v>
      </c>
      <c r="G1" s="198" t="s">
        <v>977</v>
      </c>
      <c r="H1" s="198" t="s">
        <v>978</v>
      </c>
      <c r="I1" s="198" t="s">
        <v>979</v>
      </c>
      <c r="J1" s="198" t="s">
        <v>980</v>
      </c>
      <c r="K1" s="198" t="s">
        <v>981</v>
      </c>
      <c r="L1" s="275" t="s">
        <v>982</v>
      </c>
      <c r="M1" s="48" t="s">
        <v>4395</v>
      </c>
    </row>
    <row r="2" spans="1:13" ht="114">
      <c r="A2" s="198" t="str">
        <f>B2&amp;C2</f>
        <v>InstructionsA1</v>
      </c>
      <c r="B2" s="198" t="s">
        <v>976</v>
      </c>
      <c r="C2" s="198" t="s">
        <v>1207</v>
      </c>
      <c r="D2" s="198" t="s">
        <v>4840</v>
      </c>
      <c r="E2" s="200" t="s">
        <v>1041</v>
      </c>
      <c r="F2" s="200" t="s">
        <v>1428</v>
      </c>
      <c r="G2" s="198" t="s">
        <v>639</v>
      </c>
      <c r="H2" s="198" t="s">
        <v>531</v>
      </c>
      <c r="I2" s="198" t="s">
        <v>220</v>
      </c>
      <c r="J2" s="198" t="s">
        <v>2631</v>
      </c>
      <c r="K2" s="276" t="s">
        <v>728</v>
      </c>
      <c r="L2" s="275" t="s">
        <v>99</v>
      </c>
      <c r="M2" s="198" t="s">
        <v>4396</v>
      </c>
    </row>
    <row r="3" spans="1:13">
      <c r="A3" s="198" t="str">
        <f t="shared" ref="A3:A79" si="0">B3&amp;C3</f>
        <v>InstructionsA2</v>
      </c>
      <c r="B3" s="198" t="s">
        <v>976</v>
      </c>
      <c r="C3" s="198" t="s">
        <v>1208</v>
      </c>
      <c r="D3" s="198" t="s">
        <v>1519</v>
      </c>
      <c r="E3" s="198" t="s">
        <v>1042</v>
      </c>
      <c r="F3" s="200" t="s">
        <v>2023</v>
      </c>
      <c r="G3" s="198" t="s">
        <v>1961</v>
      </c>
      <c r="H3" s="198" t="s">
        <v>1519</v>
      </c>
      <c r="I3" s="198" t="s">
        <v>1962</v>
      </c>
      <c r="J3" s="198" t="s">
        <v>1963</v>
      </c>
      <c r="K3" s="277" t="s">
        <v>729</v>
      </c>
      <c r="L3" s="275" t="s">
        <v>2394</v>
      </c>
      <c r="M3" s="198" t="s">
        <v>4397</v>
      </c>
    </row>
    <row r="4" spans="1:13" ht="409.5">
      <c r="A4" s="198" t="str">
        <f t="shared" si="0"/>
        <v>InstructionsA3</v>
      </c>
      <c r="B4" s="198" t="s">
        <v>976</v>
      </c>
      <c r="C4" s="198" t="s">
        <v>1209</v>
      </c>
      <c r="D4" s="198" t="s">
        <v>4947</v>
      </c>
      <c r="E4" s="200" t="s">
        <v>4779</v>
      </c>
      <c r="F4" s="200" t="s">
        <v>4780</v>
      </c>
      <c r="G4" s="198" t="s">
        <v>4781</v>
      </c>
      <c r="H4" s="198" t="s">
        <v>4782</v>
      </c>
      <c r="I4" s="198" t="s">
        <v>4783</v>
      </c>
      <c r="J4" s="198" t="s">
        <v>4784</v>
      </c>
      <c r="K4" s="276" t="s">
        <v>4785</v>
      </c>
      <c r="L4" s="275" t="s">
        <v>4786</v>
      </c>
      <c r="M4" s="262" t="s">
        <v>4787</v>
      </c>
    </row>
    <row r="5" spans="1:13" ht="384.75">
      <c r="A5" s="198" t="str">
        <f t="shared" si="0"/>
        <v>InstructionsA4</v>
      </c>
      <c r="B5" s="198" t="s">
        <v>976</v>
      </c>
      <c r="C5" s="198" t="s">
        <v>1210</v>
      </c>
      <c r="D5" s="198" t="s">
        <v>1427</v>
      </c>
      <c r="E5" s="200" t="s">
        <v>2773</v>
      </c>
      <c r="F5" s="200" t="s">
        <v>1429</v>
      </c>
      <c r="G5" s="198" t="s">
        <v>640</v>
      </c>
      <c r="H5" s="200" t="s">
        <v>532</v>
      </c>
      <c r="I5" s="198" t="s">
        <v>434</v>
      </c>
      <c r="J5" s="198" t="s">
        <v>2632</v>
      </c>
      <c r="K5" s="276" t="s">
        <v>730</v>
      </c>
      <c r="L5" s="275" t="s">
        <v>158</v>
      </c>
      <c r="M5" s="198" t="s">
        <v>4398</v>
      </c>
    </row>
    <row r="6" spans="1:13" ht="71.25">
      <c r="A6" s="198" t="str">
        <f t="shared" si="0"/>
        <v>InstructionsA6</v>
      </c>
      <c r="B6" s="198" t="s">
        <v>976</v>
      </c>
      <c r="C6" s="198" t="s">
        <v>1211</v>
      </c>
      <c r="D6" s="198" t="s">
        <v>794</v>
      </c>
      <c r="E6" s="200" t="s">
        <v>1043</v>
      </c>
      <c r="F6" s="200" t="s">
        <v>1430</v>
      </c>
      <c r="G6" s="198" t="s">
        <v>1964</v>
      </c>
      <c r="H6" s="198" t="s">
        <v>533</v>
      </c>
      <c r="I6" s="198" t="s">
        <v>435</v>
      </c>
      <c r="J6" s="198" t="s">
        <v>2580</v>
      </c>
      <c r="K6" s="276" t="s">
        <v>731</v>
      </c>
      <c r="L6" s="275" t="s">
        <v>159</v>
      </c>
      <c r="M6" s="198" t="s">
        <v>4399</v>
      </c>
    </row>
    <row r="7" spans="1:13" ht="28.5">
      <c r="A7" s="198" t="str">
        <f t="shared" si="0"/>
        <v>InstructionsA7</v>
      </c>
      <c r="B7" s="198" t="s">
        <v>976</v>
      </c>
      <c r="C7" s="198" t="s">
        <v>1212</v>
      </c>
      <c r="D7" s="198" t="s">
        <v>4842</v>
      </c>
      <c r="E7" s="200" t="s">
        <v>1044</v>
      </c>
      <c r="F7" s="200" t="s">
        <v>1431</v>
      </c>
      <c r="G7" s="198" t="s">
        <v>1965</v>
      </c>
      <c r="H7" s="198" t="s">
        <v>983</v>
      </c>
      <c r="I7" s="198" t="s">
        <v>436</v>
      </c>
      <c r="J7" s="198" t="s">
        <v>2476</v>
      </c>
      <c r="K7" s="276" t="s">
        <v>732</v>
      </c>
      <c r="L7" s="275" t="s">
        <v>2395</v>
      </c>
      <c r="M7" s="198" t="s">
        <v>4400</v>
      </c>
    </row>
    <row r="8" spans="1:13" ht="42.75">
      <c r="A8" s="198" t="str">
        <f t="shared" si="0"/>
        <v>InstructionsA8</v>
      </c>
      <c r="B8" s="198" t="s">
        <v>976</v>
      </c>
      <c r="C8" s="198" t="s">
        <v>1213</v>
      </c>
      <c r="D8" s="198" t="s">
        <v>803</v>
      </c>
      <c r="E8" s="198" t="s">
        <v>1045</v>
      </c>
      <c r="F8" s="200" t="s">
        <v>1432</v>
      </c>
      <c r="G8" s="198" t="s">
        <v>1966</v>
      </c>
      <c r="H8" s="198" t="s">
        <v>534</v>
      </c>
      <c r="I8" s="198" t="s">
        <v>389</v>
      </c>
      <c r="J8" s="198" t="s">
        <v>2477</v>
      </c>
      <c r="K8" s="276" t="s">
        <v>733</v>
      </c>
      <c r="L8" s="275" t="s">
        <v>2479</v>
      </c>
      <c r="M8" s="198" t="s">
        <v>4401</v>
      </c>
    </row>
    <row r="9" spans="1:13" ht="409.5">
      <c r="A9" s="198" t="str">
        <f t="shared" si="0"/>
        <v>InstructionsA9</v>
      </c>
      <c r="B9" s="198" t="s">
        <v>976</v>
      </c>
      <c r="C9" s="198" t="s">
        <v>2399</v>
      </c>
      <c r="D9" s="198" t="s">
        <v>4264</v>
      </c>
      <c r="E9" s="199" t="s">
        <v>2843</v>
      </c>
      <c r="F9" s="213" t="s">
        <v>4127</v>
      </c>
      <c r="G9" s="199" t="s">
        <v>4112</v>
      </c>
      <c r="H9" s="199" t="s">
        <v>2844</v>
      </c>
      <c r="I9" s="199" t="s">
        <v>2845</v>
      </c>
      <c r="J9" s="199" t="s">
        <v>2798</v>
      </c>
      <c r="K9" s="199" t="s">
        <v>2846</v>
      </c>
      <c r="L9" s="199" t="s">
        <v>2847</v>
      </c>
      <c r="M9" s="278" t="s">
        <v>4402</v>
      </c>
    </row>
    <row r="10" spans="1:13" ht="57">
      <c r="A10" s="198" t="str">
        <f t="shared" si="0"/>
        <v>InstructionsA10</v>
      </c>
      <c r="B10" s="198" t="s">
        <v>976</v>
      </c>
      <c r="C10" s="198" t="s">
        <v>2400</v>
      </c>
      <c r="D10" s="198" t="s">
        <v>804</v>
      </c>
      <c r="E10" s="200" t="s">
        <v>1046</v>
      </c>
      <c r="F10" s="200" t="s">
        <v>506</v>
      </c>
      <c r="G10" s="198" t="s">
        <v>1474</v>
      </c>
      <c r="H10" s="198" t="s">
        <v>535</v>
      </c>
      <c r="I10" s="198" t="s">
        <v>437</v>
      </c>
      <c r="J10" s="198" t="s">
        <v>2581</v>
      </c>
      <c r="K10" s="279" t="s">
        <v>734</v>
      </c>
      <c r="L10" s="275" t="s">
        <v>2480</v>
      </c>
      <c r="M10" s="198" t="s">
        <v>4403</v>
      </c>
    </row>
    <row r="11" spans="1:13" ht="57">
      <c r="A11" s="198" t="str">
        <f>B11&amp;C11</f>
        <v>InstructionsA11</v>
      </c>
      <c r="B11" s="198" t="s">
        <v>976</v>
      </c>
      <c r="C11" s="198" t="s">
        <v>2401</v>
      </c>
      <c r="D11" s="198" t="s">
        <v>805</v>
      </c>
      <c r="E11" s="200" t="s">
        <v>1047</v>
      </c>
      <c r="F11" s="200" t="s">
        <v>1433</v>
      </c>
      <c r="G11" s="198" t="s">
        <v>641</v>
      </c>
      <c r="H11" s="198" t="s">
        <v>820</v>
      </c>
      <c r="I11" s="198" t="s">
        <v>438</v>
      </c>
      <c r="J11" s="198" t="s">
        <v>2582</v>
      </c>
      <c r="K11" s="279" t="s">
        <v>735</v>
      </c>
      <c r="L11" s="275" t="s">
        <v>7</v>
      </c>
      <c r="M11" s="198" t="s">
        <v>4404</v>
      </c>
    </row>
    <row r="12" spans="1:13" ht="57">
      <c r="A12" s="198" t="str">
        <f t="shared" si="0"/>
        <v>InstructionsA12</v>
      </c>
      <c r="B12" s="198" t="s">
        <v>976</v>
      </c>
      <c r="C12" s="198" t="s">
        <v>2402</v>
      </c>
      <c r="D12" s="198" t="s">
        <v>806</v>
      </c>
      <c r="E12" s="200" t="s">
        <v>1048</v>
      </c>
      <c r="F12" s="200" t="s">
        <v>1434</v>
      </c>
      <c r="G12" s="198" t="s">
        <v>642</v>
      </c>
      <c r="H12" s="198" t="s">
        <v>821</v>
      </c>
      <c r="I12" s="198" t="s">
        <v>439</v>
      </c>
      <c r="J12" s="198" t="s">
        <v>2583</v>
      </c>
      <c r="K12" s="279" t="s">
        <v>175</v>
      </c>
      <c r="L12" s="275" t="s">
        <v>8</v>
      </c>
      <c r="M12" s="198" t="s">
        <v>4405</v>
      </c>
    </row>
    <row r="13" spans="1:13" ht="85.5">
      <c r="A13" s="198" t="str">
        <f t="shared" si="0"/>
        <v>InstructionsA13</v>
      </c>
      <c r="B13" s="198" t="s">
        <v>976</v>
      </c>
      <c r="C13" s="198" t="s">
        <v>2403</v>
      </c>
      <c r="D13" s="198" t="s">
        <v>795</v>
      </c>
      <c r="E13" s="200" t="s">
        <v>1049</v>
      </c>
      <c r="F13" s="200" t="s">
        <v>1435</v>
      </c>
      <c r="G13" s="198" t="s">
        <v>643</v>
      </c>
      <c r="H13" s="198" t="s">
        <v>822</v>
      </c>
      <c r="I13" s="198" t="s">
        <v>440</v>
      </c>
      <c r="J13" s="198" t="s">
        <v>2584</v>
      </c>
      <c r="K13" s="279" t="s">
        <v>174</v>
      </c>
      <c r="L13" s="275" t="s">
        <v>9</v>
      </c>
      <c r="M13" s="198" t="s">
        <v>4406</v>
      </c>
    </row>
    <row r="14" spans="1:13" ht="99.75">
      <c r="A14" s="198" t="str">
        <f t="shared" si="0"/>
        <v>InstructionsA14</v>
      </c>
      <c r="B14" s="198" t="s">
        <v>976</v>
      </c>
      <c r="C14" s="198" t="s">
        <v>2404</v>
      </c>
      <c r="D14" s="198" t="s">
        <v>796</v>
      </c>
      <c r="E14" s="200" t="s">
        <v>1050</v>
      </c>
      <c r="F14" s="200" t="s">
        <v>507</v>
      </c>
      <c r="G14" s="198" t="s">
        <v>644</v>
      </c>
      <c r="H14" s="198" t="s">
        <v>823</v>
      </c>
      <c r="I14" s="198" t="s">
        <v>441</v>
      </c>
      <c r="J14" s="198" t="s">
        <v>2633</v>
      </c>
      <c r="K14" s="279" t="s">
        <v>173</v>
      </c>
      <c r="L14" s="275" t="s">
        <v>10</v>
      </c>
      <c r="M14" s="198" t="s">
        <v>4407</v>
      </c>
    </row>
    <row r="15" spans="1:13" ht="42.75">
      <c r="A15" s="198" t="str">
        <f t="shared" si="0"/>
        <v>InstructionsA15</v>
      </c>
      <c r="B15" s="198" t="s">
        <v>976</v>
      </c>
      <c r="C15" s="198" t="s">
        <v>798</v>
      </c>
      <c r="D15" s="198" t="s">
        <v>797</v>
      </c>
      <c r="E15" s="200" t="s">
        <v>1051</v>
      </c>
      <c r="F15" s="200" t="s">
        <v>1436</v>
      </c>
      <c r="G15" s="198" t="s">
        <v>645</v>
      </c>
      <c r="H15" s="198" t="s">
        <v>824</v>
      </c>
      <c r="I15" s="198" t="s">
        <v>442</v>
      </c>
      <c r="J15" s="198" t="s">
        <v>2585</v>
      </c>
      <c r="K15" s="279" t="s">
        <v>172</v>
      </c>
      <c r="L15" s="275" t="s">
        <v>11</v>
      </c>
      <c r="M15" s="198" t="s">
        <v>4408</v>
      </c>
    </row>
    <row r="16" spans="1:13" ht="128.25">
      <c r="A16" s="198" t="str">
        <f t="shared" si="0"/>
        <v>InstructionsA16</v>
      </c>
      <c r="B16" s="198" t="s">
        <v>976</v>
      </c>
      <c r="C16" s="198" t="s">
        <v>2405</v>
      </c>
      <c r="D16" s="198" t="s">
        <v>807</v>
      </c>
      <c r="E16" s="200" t="s">
        <v>1052</v>
      </c>
      <c r="F16" s="200" t="s">
        <v>508</v>
      </c>
      <c r="G16" s="198" t="s">
        <v>646</v>
      </c>
      <c r="H16" s="198" t="s">
        <v>825</v>
      </c>
      <c r="I16" s="198" t="s">
        <v>443</v>
      </c>
      <c r="J16" s="198" t="s">
        <v>2586</v>
      </c>
      <c r="K16" s="280" t="s">
        <v>736</v>
      </c>
      <c r="L16" s="275" t="s">
        <v>12</v>
      </c>
      <c r="M16" s="198" t="s">
        <v>4409</v>
      </c>
    </row>
    <row r="17" spans="1:13" ht="42.75">
      <c r="A17" s="198" t="str">
        <f t="shared" si="0"/>
        <v>InstructionsA17</v>
      </c>
      <c r="B17" s="198" t="s">
        <v>976</v>
      </c>
      <c r="C17" s="198" t="s">
        <v>2406</v>
      </c>
      <c r="D17" s="198" t="s">
        <v>799</v>
      </c>
      <c r="E17" s="200" t="s">
        <v>1053</v>
      </c>
      <c r="F17" s="200" t="s">
        <v>1437</v>
      </c>
      <c r="G17" s="198" t="s">
        <v>647</v>
      </c>
      <c r="H17" s="198" t="s">
        <v>826</v>
      </c>
      <c r="I17" s="198" t="s">
        <v>444</v>
      </c>
      <c r="J17" s="198" t="s">
        <v>2587</v>
      </c>
      <c r="K17" s="280" t="s">
        <v>737</v>
      </c>
      <c r="L17" s="275" t="s">
        <v>13</v>
      </c>
      <c r="M17" s="198" t="s">
        <v>4410</v>
      </c>
    </row>
    <row r="18" spans="1:13" ht="99.75">
      <c r="A18" s="198" t="str">
        <f t="shared" si="0"/>
        <v>InstructionsA18</v>
      </c>
      <c r="B18" s="198" t="s">
        <v>976</v>
      </c>
      <c r="C18" s="198" t="s">
        <v>2407</v>
      </c>
      <c r="D18" s="198" t="s">
        <v>4229</v>
      </c>
      <c r="E18" s="200" t="s">
        <v>4231</v>
      </c>
      <c r="F18" s="200" t="s">
        <v>4232</v>
      </c>
      <c r="G18" s="198" t="s">
        <v>4233</v>
      </c>
      <c r="H18" s="198" t="s">
        <v>4234</v>
      </c>
      <c r="I18" s="198" t="s">
        <v>4235</v>
      </c>
      <c r="J18" s="198" t="s">
        <v>4236</v>
      </c>
      <c r="K18" s="280" t="s">
        <v>4237</v>
      </c>
      <c r="L18" s="275" t="s">
        <v>4238</v>
      </c>
      <c r="M18" s="198" t="s">
        <v>4411</v>
      </c>
    </row>
    <row r="19" spans="1:13" ht="42.75">
      <c r="A19" s="198" t="str">
        <f t="shared" si="0"/>
        <v>InstructionsA19</v>
      </c>
      <c r="B19" s="198" t="s">
        <v>976</v>
      </c>
      <c r="C19" s="198" t="s">
        <v>2408</v>
      </c>
      <c r="D19" s="198" t="s">
        <v>4230</v>
      </c>
      <c r="E19" s="200" t="s">
        <v>4246</v>
      </c>
      <c r="F19" s="200" t="s">
        <v>4245</v>
      </c>
      <c r="G19" s="198" t="s">
        <v>4244</v>
      </c>
      <c r="H19" s="198" t="s">
        <v>4243</v>
      </c>
      <c r="I19" s="198" t="s">
        <v>4242</v>
      </c>
      <c r="J19" s="198" t="s">
        <v>4241</v>
      </c>
      <c r="K19" s="280" t="s">
        <v>4240</v>
      </c>
      <c r="L19" s="275" t="s">
        <v>4239</v>
      </c>
      <c r="M19" s="198" t="s">
        <v>4412</v>
      </c>
    </row>
    <row r="20" spans="1:13" ht="57">
      <c r="A20" s="198" t="str">
        <f t="shared" si="0"/>
        <v>InstructionsA20</v>
      </c>
      <c r="B20" s="198" t="s">
        <v>976</v>
      </c>
      <c r="C20" s="198" t="s">
        <v>2409</v>
      </c>
      <c r="D20" s="198" t="s">
        <v>808</v>
      </c>
      <c r="E20" s="200" t="s">
        <v>1054</v>
      </c>
      <c r="F20" s="200" t="s">
        <v>1438</v>
      </c>
      <c r="G20" s="198" t="s">
        <v>648</v>
      </c>
      <c r="H20" s="198" t="s">
        <v>827</v>
      </c>
      <c r="I20" s="198" t="s">
        <v>445</v>
      </c>
      <c r="J20" s="198" t="s">
        <v>2588</v>
      </c>
      <c r="K20" s="280" t="s">
        <v>738</v>
      </c>
      <c r="L20" s="275" t="s">
        <v>14</v>
      </c>
      <c r="M20" s="198" t="s">
        <v>4413</v>
      </c>
    </row>
    <row r="21" spans="1:13" ht="57">
      <c r="A21" s="198" t="str">
        <f t="shared" si="0"/>
        <v>InstructionsA21</v>
      </c>
      <c r="B21" s="198" t="s">
        <v>976</v>
      </c>
      <c r="C21" s="198" t="s">
        <v>2410</v>
      </c>
      <c r="D21" s="198" t="s">
        <v>809</v>
      </c>
      <c r="E21" s="200" t="s">
        <v>1055</v>
      </c>
      <c r="F21" s="200" t="s">
        <v>1439</v>
      </c>
      <c r="G21" s="198" t="s">
        <v>649</v>
      </c>
      <c r="H21" s="198" t="s">
        <v>828</v>
      </c>
      <c r="I21" s="198" t="s">
        <v>446</v>
      </c>
      <c r="J21" s="198" t="s">
        <v>2589</v>
      </c>
      <c r="K21" s="280" t="s">
        <v>739</v>
      </c>
      <c r="L21" s="275" t="s">
        <v>15</v>
      </c>
      <c r="M21" s="198" t="s">
        <v>4414</v>
      </c>
    </row>
    <row r="22" spans="1:13" ht="54.75" customHeight="1">
      <c r="A22" s="198" t="str">
        <f t="shared" si="0"/>
        <v>InstructionsA23</v>
      </c>
      <c r="B22" s="198" t="s">
        <v>976</v>
      </c>
      <c r="C22" s="198" t="s">
        <v>2411</v>
      </c>
      <c r="D22" s="198" t="s">
        <v>800</v>
      </c>
      <c r="E22" s="200" t="s">
        <v>479</v>
      </c>
      <c r="F22" s="200" t="s">
        <v>1440</v>
      </c>
      <c r="G22" s="198" t="s">
        <v>650</v>
      </c>
      <c r="H22" s="198" t="s">
        <v>829</v>
      </c>
      <c r="I22" s="198" t="s">
        <v>447</v>
      </c>
      <c r="J22" s="198" t="s">
        <v>2590</v>
      </c>
      <c r="K22" s="280" t="s">
        <v>740</v>
      </c>
      <c r="L22" s="275" t="s">
        <v>16</v>
      </c>
      <c r="M22" s="198" t="s">
        <v>4415</v>
      </c>
    </row>
    <row r="23" spans="1:13" ht="191.25">
      <c r="A23" s="198" t="str">
        <f t="shared" si="0"/>
        <v>InstructionsA24</v>
      </c>
      <c r="B23" s="198" t="s">
        <v>976</v>
      </c>
      <c r="C23" s="198" t="s">
        <v>2412</v>
      </c>
      <c r="D23" s="199" t="s">
        <v>2799</v>
      </c>
      <c r="E23" s="199" t="s">
        <v>2800</v>
      </c>
      <c r="F23" s="213" t="s">
        <v>2801</v>
      </c>
      <c r="G23" s="199" t="s">
        <v>2848</v>
      </c>
      <c r="H23" s="199" t="s">
        <v>2849</v>
      </c>
      <c r="I23" s="199" t="s">
        <v>2850</v>
      </c>
      <c r="J23" s="199" t="s">
        <v>2851</v>
      </c>
      <c r="K23" s="199" t="s">
        <v>2852</v>
      </c>
      <c r="L23" s="199" t="s">
        <v>2853</v>
      </c>
      <c r="M23" s="199" t="s">
        <v>4416</v>
      </c>
    </row>
    <row r="24" spans="1:13" ht="165.75">
      <c r="A24" s="198" t="str">
        <f t="shared" si="0"/>
        <v>InstructionsA25</v>
      </c>
      <c r="B24" s="198" t="s">
        <v>976</v>
      </c>
      <c r="C24" s="198" t="s">
        <v>2413</v>
      </c>
      <c r="D24" s="199" t="s">
        <v>2805</v>
      </c>
      <c r="E24" s="199" t="s">
        <v>2806</v>
      </c>
      <c r="F24" s="213" t="s">
        <v>2807</v>
      </c>
      <c r="G24" s="199" t="s">
        <v>2854</v>
      </c>
      <c r="H24" s="199" t="s">
        <v>2855</v>
      </c>
      <c r="I24" s="199" t="s">
        <v>2856</v>
      </c>
      <c r="J24" s="199" t="s">
        <v>2857</v>
      </c>
      <c r="K24" s="199" t="s">
        <v>2858</v>
      </c>
      <c r="L24" s="199" t="s">
        <v>2859</v>
      </c>
      <c r="M24" s="199" t="s">
        <v>4417</v>
      </c>
    </row>
    <row r="25" spans="1:13" ht="409.5">
      <c r="A25" s="198" t="str">
        <f t="shared" si="0"/>
        <v>InstructionsA26</v>
      </c>
      <c r="B25" s="198" t="s">
        <v>976</v>
      </c>
      <c r="C25" s="198" t="s">
        <v>2414</v>
      </c>
      <c r="D25" s="199" t="s">
        <v>4836</v>
      </c>
      <c r="E25" s="260" t="s">
        <v>4788</v>
      </c>
      <c r="F25" s="213" t="s">
        <v>4789</v>
      </c>
      <c r="G25" s="260" t="s">
        <v>4790</v>
      </c>
      <c r="H25" s="260" t="s">
        <v>4791</v>
      </c>
      <c r="I25" s="260" t="s">
        <v>4792</v>
      </c>
      <c r="J25" s="260" t="s">
        <v>4793</v>
      </c>
      <c r="K25" s="260" t="s">
        <v>4794</v>
      </c>
      <c r="L25" s="260" t="s">
        <v>4795</v>
      </c>
      <c r="M25" s="261" t="s">
        <v>4796</v>
      </c>
    </row>
    <row r="26" spans="1:13" ht="57">
      <c r="A26" s="198" t="str">
        <f t="shared" si="0"/>
        <v>InstructionsA27</v>
      </c>
      <c r="B26" s="198" t="s">
        <v>976</v>
      </c>
      <c r="C26" s="198" t="s">
        <v>801</v>
      </c>
      <c r="D26" s="198" t="s">
        <v>802</v>
      </c>
      <c r="E26" s="200" t="s">
        <v>1056</v>
      </c>
      <c r="F26" s="200" t="s">
        <v>1441</v>
      </c>
      <c r="G26" s="198" t="s">
        <v>651</v>
      </c>
      <c r="H26" s="198" t="s">
        <v>830</v>
      </c>
      <c r="I26" s="198" t="s">
        <v>448</v>
      </c>
      <c r="J26" s="198" t="s">
        <v>2591</v>
      </c>
      <c r="K26" s="280" t="s">
        <v>741</v>
      </c>
      <c r="L26" s="275" t="s">
        <v>17</v>
      </c>
      <c r="M26" s="198" t="s">
        <v>4418</v>
      </c>
    </row>
    <row r="27" spans="1:13" ht="409.5">
      <c r="A27" s="198" t="str">
        <f t="shared" si="0"/>
        <v>InstructionsA28</v>
      </c>
      <c r="B27" s="198" t="s">
        <v>976</v>
      </c>
      <c r="C27" s="198" t="s">
        <v>1886</v>
      </c>
      <c r="D27" s="199" t="s">
        <v>4839</v>
      </c>
      <c r="E27" s="260" t="s">
        <v>4797</v>
      </c>
      <c r="F27" s="213" t="s">
        <v>4798</v>
      </c>
      <c r="G27" s="260" t="s">
        <v>4799</v>
      </c>
      <c r="H27" s="260" t="s">
        <v>4800</v>
      </c>
      <c r="I27" s="260" t="s">
        <v>4801</v>
      </c>
      <c r="J27" s="260" t="s">
        <v>4802</v>
      </c>
      <c r="K27" s="260" t="s">
        <v>4803</v>
      </c>
      <c r="L27" s="260" t="s">
        <v>4804</v>
      </c>
      <c r="M27" s="261" t="s">
        <v>4805</v>
      </c>
    </row>
    <row r="28" spans="1:13" ht="165.75">
      <c r="A28" s="198" t="str">
        <f>B28&amp;C28</f>
        <v>InstructionsA29</v>
      </c>
      <c r="B28" s="198" t="s">
        <v>976</v>
      </c>
      <c r="C28" s="198" t="s">
        <v>2415</v>
      </c>
      <c r="D28" s="199" t="s">
        <v>2808</v>
      </c>
      <c r="E28" s="199" t="s">
        <v>2809</v>
      </c>
      <c r="F28" s="213" t="s">
        <v>2810</v>
      </c>
      <c r="G28" s="199" t="s">
        <v>2860</v>
      </c>
      <c r="H28" s="199" t="s">
        <v>2861</v>
      </c>
      <c r="I28" s="199" t="s">
        <v>2862</v>
      </c>
      <c r="J28" s="199" t="s">
        <v>2863</v>
      </c>
      <c r="K28" s="199" t="s">
        <v>2864</v>
      </c>
      <c r="L28" s="199" t="s">
        <v>2865</v>
      </c>
      <c r="M28" s="199" t="s">
        <v>4419</v>
      </c>
    </row>
    <row r="29" spans="1:13" ht="280.5">
      <c r="A29" s="198" t="str">
        <f t="shared" si="0"/>
        <v>InstructionsA30</v>
      </c>
      <c r="B29" s="198" t="s">
        <v>976</v>
      </c>
      <c r="C29" s="198" t="s">
        <v>2416</v>
      </c>
      <c r="D29" s="199" t="s">
        <v>2811</v>
      </c>
      <c r="E29" s="199" t="s">
        <v>2812</v>
      </c>
      <c r="F29" s="213" t="s">
        <v>2813</v>
      </c>
      <c r="G29" s="199" t="s">
        <v>2866</v>
      </c>
      <c r="H29" s="199" t="s">
        <v>2867</v>
      </c>
      <c r="I29" s="199" t="s">
        <v>2868</v>
      </c>
      <c r="J29" s="199" t="s">
        <v>2814</v>
      </c>
      <c r="K29" s="199" t="s">
        <v>2869</v>
      </c>
      <c r="L29" s="199" t="s">
        <v>2870</v>
      </c>
      <c r="M29" s="199" t="s">
        <v>4420</v>
      </c>
    </row>
    <row r="30" spans="1:13" ht="242.25">
      <c r="A30" s="198" t="str">
        <f t="shared" si="0"/>
        <v>InstructionsA31</v>
      </c>
      <c r="B30" s="198" t="s">
        <v>976</v>
      </c>
      <c r="C30" s="198" t="s">
        <v>2417</v>
      </c>
      <c r="D30" s="199" t="s">
        <v>2815</v>
      </c>
      <c r="E30" s="199" t="s">
        <v>2816</v>
      </c>
      <c r="F30" s="213" t="s">
        <v>2817</v>
      </c>
      <c r="G30" s="199" t="s">
        <v>2871</v>
      </c>
      <c r="H30" s="199" t="s">
        <v>2872</v>
      </c>
      <c r="I30" s="199" t="s">
        <v>2873</v>
      </c>
      <c r="J30" s="199" t="s">
        <v>2818</v>
      </c>
      <c r="K30" s="199" t="s">
        <v>2874</v>
      </c>
      <c r="L30" s="199" t="s">
        <v>2875</v>
      </c>
      <c r="M30" s="199" t="s">
        <v>4421</v>
      </c>
    </row>
    <row r="31" spans="1:13" ht="153">
      <c r="A31" s="198" t="str">
        <f t="shared" si="0"/>
        <v>InstructionsA32</v>
      </c>
      <c r="B31" s="198" t="s">
        <v>976</v>
      </c>
      <c r="C31" s="198" t="s">
        <v>2418</v>
      </c>
      <c r="D31" s="199" t="s">
        <v>2819</v>
      </c>
      <c r="E31" s="199" t="s">
        <v>2820</v>
      </c>
      <c r="F31" s="213" t="s">
        <v>2821</v>
      </c>
      <c r="G31" s="199" t="s">
        <v>2876</v>
      </c>
      <c r="H31" s="199" t="s">
        <v>2877</v>
      </c>
      <c r="I31" s="199" t="s">
        <v>2878</v>
      </c>
      <c r="J31" s="199" t="s">
        <v>2879</v>
      </c>
      <c r="K31" s="199" t="s">
        <v>2880</v>
      </c>
      <c r="L31" s="199" t="s">
        <v>2881</v>
      </c>
      <c r="M31" s="199" t="s">
        <v>4422</v>
      </c>
    </row>
    <row r="32" spans="1:13" ht="153">
      <c r="A32" s="198" t="str">
        <f t="shared" si="0"/>
        <v>InstructionsA33</v>
      </c>
      <c r="B32" s="198" t="s">
        <v>976</v>
      </c>
      <c r="C32" s="198" t="s">
        <v>2419</v>
      </c>
      <c r="D32" s="199" t="s">
        <v>2822</v>
      </c>
      <c r="E32" s="199" t="s">
        <v>2823</v>
      </c>
      <c r="F32" s="213" t="s">
        <v>4128</v>
      </c>
      <c r="G32" s="199" t="s">
        <v>2882</v>
      </c>
      <c r="H32" s="199" t="s">
        <v>2883</v>
      </c>
      <c r="I32" s="199" t="s">
        <v>2884</v>
      </c>
      <c r="J32" s="199" t="s">
        <v>2885</v>
      </c>
      <c r="K32" s="199" t="s">
        <v>2886</v>
      </c>
      <c r="L32" s="199" t="s">
        <v>2887</v>
      </c>
      <c r="M32" s="199" t="s">
        <v>4423</v>
      </c>
    </row>
    <row r="33" spans="1:13" ht="57">
      <c r="A33" s="198" t="str">
        <f t="shared" si="0"/>
        <v>InstructionsA34</v>
      </c>
      <c r="B33" s="198" t="s">
        <v>976</v>
      </c>
      <c r="C33" s="198" t="s">
        <v>2420</v>
      </c>
      <c r="D33" s="198" t="s">
        <v>1949</v>
      </c>
      <c r="E33" s="198" t="s">
        <v>1832</v>
      </c>
      <c r="F33" s="200" t="s">
        <v>1833</v>
      </c>
      <c r="G33" s="198" t="s">
        <v>1834</v>
      </c>
      <c r="H33" s="198" t="s">
        <v>1835</v>
      </c>
      <c r="I33" s="198" t="s">
        <v>449</v>
      </c>
      <c r="J33" s="198" t="s">
        <v>1967</v>
      </c>
      <c r="K33" s="281" t="s">
        <v>742</v>
      </c>
      <c r="L33" s="275" t="s">
        <v>2481</v>
      </c>
      <c r="M33" s="198" t="s">
        <v>4424</v>
      </c>
    </row>
    <row r="34" spans="1:13" ht="99.75">
      <c r="A34" s="198" t="str">
        <f t="shared" si="0"/>
        <v>InstructionsA36</v>
      </c>
      <c r="B34" s="198" t="s">
        <v>976</v>
      </c>
      <c r="C34" s="198" t="s">
        <v>2421</v>
      </c>
      <c r="D34" s="198" t="s">
        <v>810</v>
      </c>
      <c r="E34" s="200" t="s">
        <v>1057</v>
      </c>
      <c r="F34" s="200" t="s">
        <v>1442</v>
      </c>
      <c r="G34" s="198" t="s">
        <v>652</v>
      </c>
      <c r="H34" s="282" t="s">
        <v>831</v>
      </c>
      <c r="I34" s="198" t="s">
        <v>450</v>
      </c>
      <c r="J34" s="198" t="s">
        <v>2592</v>
      </c>
      <c r="K34" s="280" t="s">
        <v>743</v>
      </c>
      <c r="L34" s="275" t="s">
        <v>18</v>
      </c>
      <c r="M34" s="198" t="s">
        <v>4425</v>
      </c>
    </row>
    <row r="35" spans="1:13" ht="370.5">
      <c r="A35" s="198" t="str">
        <f t="shared" si="0"/>
        <v>InstructionsA37</v>
      </c>
      <c r="B35" s="198" t="s">
        <v>976</v>
      </c>
      <c r="C35" s="198" t="s">
        <v>2422</v>
      </c>
      <c r="D35" s="198" t="s">
        <v>1931</v>
      </c>
      <c r="E35" s="200" t="s">
        <v>1058</v>
      </c>
      <c r="F35" s="200" t="s">
        <v>1443</v>
      </c>
      <c r="G35" s="198" t="s">
        <v>653</v>
      </c>
      <c r="H35" s="198" t="s">
        <v>2376</v>
      </c>
      <c r="I35" s="198" t="s">
        <v>451</v>
      </c>
      <c r="J35" s="198" t="s">
        <v>1968</v>
      </c>
      <c r="K35" s="201" t="s">
        <v>463</v>
      </c>
      <c r="L35" s="275" t="s">
        <v>2482</v>
      </c>
      <c r="M35" s="198" t="s">
        <v>4426</v>
      </c>
    </row>
    <row r="36" spans="1:13" ht="42.75">
      <c r="A36" s="198" t="str">
        <f t="shared" si="0"/>
        <v>InstructionsA38</v>
      </c>
      <c r="B36" s="198" t="s">
        <v>976</v>
      </c>
      <c r="C36" s="198" t="s">
        <v>2423</v>
      </c>
      <c r="D36" s="198" t="s">
        <v>818</v>
      </c>
      <c r="E36" s="200" t="s">
        <v>1059</v>
      </c>
      <c r="F36" s="200" t="s">
        <v>1444</v>
      </c>
      <c r="G36" s="198" t="s">
        <v>654</v>
      </c>
      <c r="H36" s="198" t="s">
        <v>2377</v>
      </c>
      <c r="I36" s="198" t="s">
        <v>452</v>
      </c>
      <c r="J36" s="198" t="s">
        <v>1969</v>
      </c>
      <c r="K36" s="276" t="s">
        <v>464</v>
      </c>
      <c r="L36" s="275" t="s">
        <v>2483</v>
      </c>
      <c r="M36" s="198" t="s">
        <v>4427</v>
      </c>
    </row>
    <row r="37" spans="1:13" ht="42.75">
      <c r="A37" s="198" t="str">
        <f t="shared" si="0"/>
        <v>InstructionsA39</v>
      </c>
      <c r="B37" s="198" t="s">
        <v>976</v>
      </c>
      <c r="C37" s="198" t="s">
        <v>2424</v>
      </c>
      <c r="D37" s="198" t="s">
        <v>817</v>
      </c>
      <c r="E37" s="200" t="s">
        <v>1060</v>
      </c>
      <c r="F37" s="200" t="s">
        <v>509</v>
      </c>
      <c r="G37" s="198" t="s">
        <v>2378</v>
      </c>
      <c r="H37" s="198" t="s">
        <v>1475</v>
      </c>
      <c r="I37" s="198" t="s">
        <v>453</v>
      </c>
      <c r="J37" s="198" t="s">
        <v>1970</v>
      </c>
      <c r="K37" s="276" t="s">
        <v>465</v>
      </c>
      <c r="L37" s="275" t="s">
        <v>2484</v>
      </c>
      <c r="M37" s="198" t="s">
        <v>4428</v>
      </c>
    </row>
    <row r="38" spans="1:13" ht="77.25" customHeight="1">
      <c r="A38" s="198" t="str">
        <f t="shared" si="0"/>
        <v>InstructionsA40</v>
      </c>
      <c r="B38" s="198" t="s">
        <v>976</v>
      </c>
      <c r="C38" s="198" t="s">
        <v>811</v>
      </c>
      <c r="D38" s="198" t="s">
        <v>4841</v>
      </c>
      <c r="E38" s="200" t="s">
        <v>1061</v>
      </c>
      <c r="F38" s="200" t="s">
        <v>510</v>
      </c>
      <c r="G38" s="198" t="s">
        <v>655</v>
      </c>
      <c r="H38" s="198" t="s">
        <v>832</v>
      </c>
      <c r="I38" s="198" t="s">
        <v>454</v>
      </c>
      <c r="J38" s="198" t="s">
        <v>2593</v>
      </c>
      <c r="K38" s="280" t="s">
        <v>466</v>
      </c>
      <c r="L38" s="275" t="s">
        <v>1141</v>
      </c>
      <c r="M38" s="198" t="s">
        <v>4429</v>
      </c>
    </row>
    <row r="39" spans="1:13" ht="102">
      <c r="A39" s="198" t="str">
        <f t="shared" si="0"/>
        <v>InstructionsA41</v>
      </c>
      <c r="B39" s="198" t="s">
        <v>976</v>
      </c>
      <c r="C39" s="198" t="s">
        <v>1887</v>
      </c>
      <c r="D39" s="199" t="s">
        <v>4263</v>
      </c>
      <c r="E39" s="199" t="s">
        <v>2824</v>
      </c>
      <c r="F39" s="213" t="s">
        <v>4133</v>
      </c>
      <c r="G39" s="199" t="s">
        <v>4113</v>
      </c>
      <c r="H39" s="199" t="s">
        <v>2888</v>
      </c>
      <c r="I39" s="199" t="s">
        <v>2889</v>
      </c>
      <c r="J39" s="199" t="s">
        <v>2890</v>
      </c>
      <c r="K39" s="199" t="s">
        <v>2891</v>
      </c>
      <c r="L39" s="199" t="s">
        <v>2892</v>
      </c>
      <c r="M39" s="199" t="s">
        <v>4430</v>
      </c>
    </row>
    <row r="40" spans="1:13" ht="409.5">
      <c r="A40" s="198" t="str">
        <f t="shared" si="0"/>
        <v>InstructionsA42</v>
      </c>
      <c r="B40" s="198" t="s">
        <v>976</v>
      </c>
      <c r="C40" s="198" t="s">
        <v>2425</v>
      </c>
      <c r="D40" s="198" t="s">
        <v>816</v>
      </c>
      <c r="E40" s="200" t="s">
        <v>2774</v>
      </c>
      <c r="F40" s="200" t="s">
        <v>511</v>
      </c>
      <c r="G40" s="198" t="s">
        <v>4114</v>
      </c>
      <c r="H40" s="282" t="s">
        <v>833</v>
      </c>
      <c r="I40" s="198" t="s">
        <v>455</v>
      </c>
      <c r="J40" s="198" t="s">
        <v>2594</v>
      </c>
      <c r="K40" s="201" t="s">
        <v>276</v>
      </c>
      <c r="L40" s="275" t="s">
        <v>1142</v>
      </c>
      <c r="M40" s="198" t="s">
        <v>4431</v>
      </c>
    </row>
    <row r="41" spans="1:13" ht="114.75">
      <c r="A41" s="198" t="str">
        <f t="shared" si="0"/>
        <v>InstructionsA43</v>
      </c>
      <c r="B41" s="198" t="s">
        <v>976</v>
      </c>
      <c r="C41" s="198" t="s">
        <v>2426</v>
      </c>
      <c r="D41" s="199" t="s">
        <v>2825</v>
      </c>
      <c r="E41" s="199" t="s">
        <v>2826</v>
      </c>
      <c r="F41" s="213" t="s">
        <v>2827</v>
      </c>
      <c r="G41" s="199" t="s">
        <v>2893</v>
      </c>
      <c r="H41" s="199" t="s">
        <v>2894</v>
      </c>
      <c r="I41" s="199" t="s">
        <v>2895</v>
      </c>
      <c r="J41" s="199" t="s">
        <v>2828</v>
      </c>
      <c r="K41" s="199" t="s">
        <v>2896</v>
      </c>
      <c r="L41" s="199" t="s">
        <v>2897</v>
      </c>
      <c r="M41" s="199" t="s">
        <v>4432</v>
      </c>
    </row>
    <row r="42" spans="1:13" ht="42.75">
      <c r="A42" s="198" t="str">
        <f t="shared" si="0"/>
        <v>InstructionsA44</v>
      </c>
      <c r="B42" s="198" t="s">
        <v>976</v>
      </c>
      <c r="C42" s="198" t="s">
        <v>2427</v>
      </c>
      <c r="D42" s="198" t="s">
        <v>815</v>
      </c>
      <c r="E42" s="200" t="s">
        <v>1062</v>
      </c>
      <c r="F42" s="200" t="s">
        <v>1445</v>
      </c>
      <c r="G42" s="198" t="s">
        <v>1476</v>
      </c>
      <c r="H42" s="198" t="s">
        <v>1477</v>
      </c>
      <c r="I42" s="198" t="s">
        <v>456</v>
      </c>
      <c r="J42" s="198" t="s">
        <v>2396</v>
      </c>
      <c r="K42" s="281" t="s">
        <v>277</v>
      </c>
      <c r="L42" s="275" t="s">
        <v>1143</v>
      </c>
      <c r="M42" s="198" t="s">
        <v>4433</v>
      </c>
    </row>
    <row r="43" spans="1:13" ht="256.5">
      <c r="A43" s="198" t="str">
        <f t="shared" si="0"/>
        <v>InstructionsA45</v>
      </c>
      <c r="B43" s="198" t="s">
        <v>976</v>
      </c>
      <c r="C43" s="198" t="s">
        <v>2428</v>
      </c>
      <c r="D43" s="198" t="s">
        <v>814</v>
      </c>
      <c r="E43" s="200" t="s">
        <v>2775</v>
      </c>
      <c r="F43" s="200" t="s">
        <v>512</v>
      </c>
      <c r="G43" s="198" t="s">
        <v>656</v>
      </c>
      <c r="H43" s="198" t="s">
        <v>718</v>
      </c>
      <c r="I43" s="198" t="s">
        <v>457</v>
      </c>
      <c r="J43" s="198" t="s">
        <v>2595</v>
      </c>
      <c r="K43" s="283" t="s">
        <v>278</v>
      </c>
      <c r="L43" s="275" t="s">
        <v>1144</v>
      </c>
      <c r="M43" s="198" t="s">
        <v>4434</v>
      </c>
    </row>
    <row r="44" spans="1:13" ht="71.25">
      <c r="A44" s="198" t="str">
        <f t="shared" si="0"/>
        <v>InstructionsA46</v>
      </c>
      <c r="B44" s="198" t="s">
        <v>976</v>
      </c>
      <c r="C44" s="198" t="s">
        <v>2429</v>
      </c>
      <c r="D44" s="198" t="s">
        <v>813</v>
      </c>
      <c r="E44" s="200" t="s">
        <v>1063</v>
      </c>
      <c r="F44" s="200" t="s">
        <v>1446</v>
      </c>
      <c r="G44" s="198" t="s">
        <v>1478</v>
      </c>
      <c r="H44" s="198" t="s">
        <v>834</v>
      </c>
      <c r="I44" s="198" t="s">
        <v>458</v>
      </c>
      <c r="J44" s="198" t="s">
        <v>2596</v>
      </c>
      <c r="K44" s="276" t="s">
        <v>279</v>
      </c>
      <c r="L44" s="275" t="s">
        <v>1145</v>
      </c>
      <c r="M44" s="198" t="s">
        <v>4435</v>
      </c>
    </row>
    <row r="45" spans="1:13" ht="99.75">
      <c r="A45" s="198" t="str">
        <f t="shared" si="0"/>
        <v>InstructionsA47</v>
      </c>
      <c r="B45" s="198" t="s">
        <v>976</v>
      </c>
      <c r="C45" s="198" t="s">
        <v>2430</v>
      </c>
      <c r="D45" s="198" t="s">
        <v>812</v>
      </c>
      <c r="E45" s="200" t="s">
        <v>1064</v>
      </c>
      <c r="F45" s="200" t="s">
        <v>1447</v>
      </c>
      <c r="G45" s="198" t="s">
        <v>1199</v>
      </c>
      <c r="H45" s="198" t="s">
        <v>835</v>
      </c>
      <c r="I45" s="198" t="s">
        <v>459</v>
      </c>
      <c r="J45" s="198" t="s">
        <v>2397</v>
      </c>
      <c r="K45" s="201" t="s">
        <v>280</v>
      </c>
      <c r="L45" s="275" t="s">
        <v>1146</v>
      </c>
      <c r="M45" s="198" t="s">
        <v>4436</v>
      </c>
    </row>
    <row r="46" spans="1:13" ht="57">
      <c r="A46" s="198" t="str">
        <f t="shared" si="0"/>
        <v>InstructionsA49</v>
      </c>
      <c r="B46" s="198" t="s">
        <v>976</v>
      </c>
      <c r="C46" s="198" t="s">
        <v>2431</v>
      </c>
      <c r="D46" s="198" t="s">
        <v>1932</v>
      </c>
      <c r="E46" s="200" t="s">
        <v>1065</v>
      </c>
      <c r="F46" s="200" t="s">
        <v>1448</v>
      </c>
      <c r="G46" s="198" t="s">
        <v>2386</v>
      </c>
      <c r="H46" s="198" t="s">
        <v>836</v>
      </c>
      <c r="I46" s="198" t="s">
        <v>460</v>
      </c>
      <c r="J46" s="198" t="s">
        <v>2597</v>
      </c>
      <c r="K46" s="276" t="s">
        <v>281</v>
      </c>
      <c r="L46" s="275" t="s">
        <v>1147</v>
      </c>
      <c r="M46" s="198" t="s">
        <v>4437</v>
      </c>
    </row>
    <row r="47" spans="1:13" ht="42.75">
      <c r="A47" s="198" t="str">
        <f t="shared" si="0"/>
        <v>InstructionsA50</v>
      </c>
      <c r="B47" s="198" t="s">
        <v>976</v>
      </c>
      <c r="C47" s="198" t="s">
        <v>2432</v>
      </c>
      <c r="D47" s="198" t="s">
        <v>1520</v>
      </c>
      <c r="E47" s="200" t="s">
        <v>1066</v>
      </c>
      <c r="F47" s="200" t="s">
        <v>1449</v>
      </c>
      <c r="G47" s="198" t="s">
        <v>2387</v>
      </c>
      <c r="H47" s="198" t="s">
        <v>837</v>
      </c>
      <c r="I47" s="198" t="s">
        <v>461</v>
      </c>
      <c r="J47" s="198" t="s">
        <v>2398</v>
      </c>
      <c r="K47" s="276" t="s">
        <v>282</v>
      </c>
      <c r="L47" s="275" t="s">
        <v>1148</v>
      </c>
      <c r="M47" s="198" t="s">
        <v>4438</v>
      </c>
    </row>
    <row r="48" spans="1:13" ht="128.25">
      <c r="A48" s="198" t="str">
        <f t="shared" si="0"/>
        <v>InstructionsA51</v>
      </c>
      <c r="B48" s="198" t="s">
        <v>976</v>
      </c>
      <c r="C48" s="198" t="s">
        <v>2433</v>
      </c>
      <c r="D48" s="198" t="s">
        <v>2368</v>
      </c>
      <c r="E48" s="200" t="s">
        <v>1067</v>
      </c>
      <c r="F48" s="200" t="s">
        <v>1450</v>
      </c>
      <c r="G48" s="198" t="s">
        <v>1204</v>
      </c>
      <c r="H48" s="198" t="s">
        <v>838</v>
      </c>
      <c r="I48" s="198" t="s">
        <v>462</v>
      </c>
      <c r="J48" s="198" t="s">
        <v>2598</v>
      </c>
      <c r="K48" s="276" t="s">
        <v>283</v>
      </c>
      <c r="L48" s="275" t="s">
        <v>1185</v>
      </c>
      <c r="M48" s="198" t="s">
        <v>4439</v>
      </c>
    </row>
    <row r="49" spans="1:256" ht="114">
      <c r="A49" s="263" t="s">
        <v>4835</v>
      </c>
      <c r="B49" s="263" t="s">
        <v>976</v>
      </c>
      <c r="C49" s="263" t="s">
        <v>2434</v>
      </c>
      <c r="D49" s="263" t="s">
        <v>4950</v>
      </c>
      <c r="E49" s="200" t="s">
        <v>4954</v>
      </c>
      <c r="F49" s="200" t="s">
        <v>4960</v>
      </c>
      <c r="G49" s="200" t="s">
        <v>4966</v>
      </c>
      <c r="H49" s="198" t="s">
        <v>4972</v>
      </c>
      <c r="I49" s="198" t="s">
        <v>4978</v>
      </c>
      <c r="J49" s="198" t="s">
        <v>4984</v>
      </c>
      <c r="K49" s="198" t="s">
        <v>4990</v>
      </c>
      <c r="L49" s="198" t="s">
        <v>4996</v>
      </c>
      <c r="M49" s="198" t="s">
        <v>5002</v>
      </c>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c r="CP49" s="135"/>
      <c r="CQ49" s="135"/>
      <c r="CR49" s="135"/>
      <c r="CS49" s="135"/>
      <c r="CT49" s="135"/>
      <c r="CU49" s="135"/>
      <c r="CV49" s="135"/>
      <c r="CW49" s="135"/>
      <c r="CX49" s="135"/>
      <c r="CY49" s="135"/>
      <c r="CZ49" s="135"/>
      <c r="DA49" s="135"/>
      <c r="DB49" s="135"/>
      <c r="DC49" s="135"/>
      <c r="DD49" s="135"/>
      <c r="DE49" s="135"/>
      <c r="DF49" s="135"/>
      <c r="DG49" s="135"/>
      <c r="DH49" s="135"/>
      <c r="DI49" s="135"/>
      <c r="DJ49" s="135"/>
      <c r="DK49" s="135"/>
      <c r="DL49" s="135"/>
      <c r="DM49" s="135"/>
      <c r="DN49" s="135"/>
      <c r="DO49" s="135"/>
      <c r="DP49" s="135"/>
      <c r="DQ49" s="135"/>
      <c r="DR49" s="135"/>
      <c r="DS49" s="135"/>
      <c r="DT49" s="135"/>
      <c r="DU49" s="135"/>
      <c r="DV49" s="135"/>
      <c r="DW49" s="135"/>
      <c r="DX49" s="135"/>
      <c r="DY49" s="135"/>
      <c r="DZ49" s="135"/>
      <c r="EA49" s="135"/>
      <c r="EB49" s="135"/>
      <c r="EC49" s="135"/>
      <c r="ED49" s="135"/>
      <c r="EE49" s="135"/>
      <c r="EF49" s="135"/>
      <c r="EG49" s="135"/>
      <c r="EH49" s="135"/>
      <c r="EI49" s="135"/>
      <c r="EJ49" s="135"/>
      <c r="EK49" s="135"/>
      <c r="EL49" s="135"/>
      <c r="EM49" s="135"/>
      <c r="EN49" s="135"/>
      <c r="EO49" s="135"/>
      <c r="EP49" s="135"/>
      <c r="EQ49" s="135"/>
      <c r="ER49" s="135"/>
      <c r="ES49" s="135"/>
      <c r="ET49" s="135"/>
      <c r="EU49" s="135"/>
      <c r="EV49" s="135"/>
      <c r="EW49" s="135"/>
      <c r="EX49" s="135"/>
      <c r="EY49" s="135"/>
      <c r="EZ49" s="135"/>
      <c r="FA49" s="135"/>
      <c r="FB49" s="135"/>
      <c r="FC49" s="135"/>
      <c r="FD49" s="135"/>
      <c r="FE49" s="135"/>
      <c r="FF49" s="135"/>
      <c r="FG49" s="135"/>
      <c r="FH49" s="135"/>
      <c r="FI49" s="135"/>
      <c r="FJ49" s="135"/>
      <c r="FK49" s="135"/>
      <c r="FL49" s="135"/>
      <c r="FM49" s="135"/>
      <c r="FN49" s="135"/>
      <c r="FO49" s="135"/>
      <c r="FP49" s="135"/>
      <c r="FQ49" s="135"/>
      <c r="FR49" s="135"/>
      <c r="FS49" s="135"/>
      <c r="FT49" s="135"/>
      <c r="FU49" s="135"/>
      <c r="FV49" s="135"/>
      <c r="FW49" s="135"/>
      <c r="FX49" s="135"/>
      <c r="FY49" s="135"/>
      <c r="FZ49" s="135"/>
      <c r="GA49" s="135"/>
      <c r="GB49" s="135"/>
      <c r="GC49" s="135"/>
      <c r="GD49" s="135"/>
      <c r="GE49" s="135"/>
      <c r="GF49" s="135"/>
      <c r="GG49" s="135"/>
      <c r="GH49" s="135"/>
      <c r="GI49" s="135"/>
      <c r="GJ49" s="135"/>
      <c r="GK49" s="135"/>
      <c r="GL49" s="135"/>
      <c r="GM49" s="135"/>
      <c r="GN49" s="135"/>
      <c r="GO49" s="135"/>
      <c r="GP49" s="135"/>
      <c r="GQ49" s="135"/>
      <c r="GR49" s="135"/>
      <c r="GS49" s="135"/>
      <c r="GT49" s="135"/>
      <c r="GU49" s="135"/>
      <c r="GV49" s="135"/>
      <c r="GW49" s="135"/>
      <c r="GX49" s="135"/>
      <c r="GY49" s="135"/>
      <c r="GZ49" s="135"/>
      <c r="HA49" s="135"/>
      <c r="HB49" s="135"/>
      <c r="HC49" s="135"/>
      <c r="HD49" s="135"/>
      <c r="HE49" s="135"/>
      <c r="HF49" s="135"/>
      <c r="HG49" s="135"/>
      <c r="HH49" s="135"/>
      <c r="HI49" s="135"/>
      <c r="HJ49" s="135"/>
      <c r="HK49" s="135"/>
      <c r="HL49" s="135"/>
      <c r="HM49" s="135"/>
      <c r="HN49" s="135"/>
      <c r="HO49" s="135"/>
      <c r="HP49" s="135"/>
      <c r="HQ49" s="135"/>
      <c r="HR49" s="135"/>
      <c r="HS49" s="135"/>
      <c r="HT49" s="135"/>
      <c r="HU49" s="135"/>
      <c r="HV49" s="135"/>
      <c r="HW49" s="135"/>
      <c r="HX49" s="135"/>
      <c r="HY49" s="135"/>
      <c r="HZ49" s="135"/>
      <c r="IA49" s="135"/>
      <c r="IB49" s="135"/>
      <c r="IC49" s="135"/>
      <c r="ID49" s="135"/>
      <c r="IE49" s="135"/>
      <c r="IF49" s="135"/>
      <c r="IG49" s="135"/>
      <c r="IH49" s="135"/>
      <c r="II49" s="135"/>
      <c r="IJ49" s="135"/>
      <c r="IK49" s="135"/>
      <c r="IL49" s="135"/>
      <c r="IM49" s="135"/>
      <c r="IN49" s="135"/>
      <c r="IO49" s="135"/>
      <c r="IP49" s="135"/>
      <c r="IQ49" s="135"/>
      <c r="IR49" s="135"/>
      <c r="IS49" s="135"/>
      <c r="IT49" s="135"/>
      <c r="IU49" s="135"/>
      <c r="IV49" s="135"/>
    </row>
    <row r="50" spans="1:256" ht="71.25">
      <c r="A50" s="198" t="str">
        <f>B50&amp;C50</f>
        <v>InstructionsA53</v>
      </c>
      <c r="B50" s="198" t="s">
        <v>976</v>
      </c>
      <c r="C50" s="198" t="s">
        <v>2435</v>
      </c>
      <c r="D50" s="198" t="s">
        <v>4846</v>
      </c>
      <c r="E50" s="200" t="s">
        <v>4857</v>
      </c>
      <c r="F50" s="200" t="s">
        <v>4858</v>
      </c>
      <c r="G50" s="198" t="s">
        <v>4859</v>
      </c>
      <c r="H50" s="198" t="s">
        <v>4860</v>
      </c>
      <c r="I50" s="198" t="s">
        <v>4861</v>
      </c>
      <c r="J50" s="198" t="s">
        <v>4862</v>
      </c>
      <c r="K50" s="280" t="s">
        <v>4863</v>
      </c>
      <c r="L50" s="275" t="s">
        <v>4864</v>
      </c>
      <c r="M50" s="262" t="s">
        <v>4865</v>
      </c>
    </row>
    <row r="51" spans="1:256" ht="229.5">
      <c r="A51" s="198" t="str">
        <f t="shared" si="0"/>
        <v>InstructionsA54</v>
      </c>
      <c r="B51" s="198" t="s">
        <v>976</v>
      </c>
      <c r="C51" s="198" t="s">
        <v>2436</v>
      </c>
      <c r="D51" s="198" t="s">
        <v>4953</v>
      </c>
      <c r="E51" s="200" t="s">
        <v>4955</v>
      </c>
      <c r="F51" s="200" t="s">
        <v>4961</v>
      </c>
      <c r="G51" s="198" t="s">
        <v>4967</v>
      </c>
      <c r="H51" s="198" t="s">
        <v>4973</v>
      </c>
      <c r="I51" s="198" t="s">
        <v>4979</v>
      </c>
      <c r="J51" s="198" t="s">
        <v>4985</v>
      </c>
      <c r="K51" s="280" t="s">
        <v>4991</v>
      </c>
      <c r="L51" s="275" t="s">
        <v>4997</v>
      </c>
      <c r="M51" s="262" t="s">
        <v>5003</v>
      </c>
    </row>
    <row r="52" spans="1:256" ht="99.75">
      <c r="A52" s="198" t="str">
        <f t="shared" si="0"/>
        <v>InstructionsA55</v>
      </c>
      <c r="B52" s="198" t="s">
        <v>976</v>
      </c>
      <c r="C52" s="198" t="s">
        <v>2437</v>
      </c>
      <c r="D52" s="198" t="s">
        <v>4847</v>
      </c>
      <c r="E52" s="200" t="s">
        <v>4869</v>
      </c>
      <c r="F52" s="200" t="s">
        <v>4870</v>
      </c>
      <c r="G52" s="198" t="s">
        <v>4871</v>
      </c>
      <c r="H52" s="282" t="s">
        <v>4872</v>
      </c>
      <c r="I52" s="198" t="s">
        <v>4873</v>
      </c>
      <c r="J52" s="198" t="s">
        <v>4874</v>
      </c>
      <c r="K52" s="201" t="s">
        <v>4868</v>
      </c>
      <c r="L52" s="275" t="s">
        <v>4867</v>
      </c>
      <c r="M52" s="262" t="s">
        <v>4866</v>
      </c>
    </row>
    <row r="53" spans="1:256" ht="128.25">
      <c r="A53" s="198" t="str">
        <f t="shared" si="0"/>
        <v>InstructionsA56</v>
      </c>
      <c r="B53" s="198" t="s">
        <v>976</v>
      </c>
      <c r="C53" s="198" t="s">
        <v>2438</v>
      </c>
      <c r="D53" s="198" t="s">
        <v>4848</v>
      </c>
      <c r="E53" s="284" t="s">
        <v>4875</v>
      </c>
      <c r="F53" s="200" t="s">
        <v>4876</v>
      </c>
      <c r="G53" s="198" t="s">
        <v>4877</v>
      </c>
      <c r="H53" s="198" t="s">
        <v>4878</v>
      </c>
      <c r="I53" s="198" t="s">
        <v>4879</v>
      </c>
      <c r="J53" s="198" t="s">
        <v>4880</v>
      </c>
      <c r="K53" s="201" t="s">
        <v>4881</v>
      </c>
      <c r="L53" s="275" t="s">
        <v>4882</v>
      </c>
      <c r="M53" s="262" t="s">
        <v>4883</v>
      </c>
    </row>
    <row r="54" spans="1:256" ht="185.25">
      <c r="A54" s="198" t="str">
        <f>B54&amp;C54</f>
        <v>InstructionsA57</v>
      </c>
      <c r="B54" s="198" t="s">
        <v>976</v>
      </c>
      <c r="C54" s="198" t="s">
        <v>819</v>
      </c>
      <c r="D54" s="198" t="s">
        <v>4849</v>
      </c>
      <c r="E54" s="200" t="s">
        <v>4884</v>
      </c>
      <c r="F54" s="200" t="s">
        <v>4885</v>
      </c>
      <c r="G54" s="198" t="s">
        <v>4886</v>
      </c>
      <c r="H54" s="198" t="s">
        <v>4887</v>
      </c>
      <c r="I54" s="198" t="s">
        <v>4888</v>
      </c>
      <c r="J54" s="198" t="s">
        <v>4889</v>
      </c>
      <c r="K54" s="201" t="s">
        <v>4890</v>
      </c>
      <c r="L54" s="275" t="s">
        <v>4891</v>
      </c>
      <c r="M54" s="262" t="s">
        <v>4892</v>
      </c>
    </row>
    <row r="55" spans="1:256" ht="114">
      <c r="A55" s="198" t="str">
        <f>B55&amp;C55</f>
        <v>InstructionsA58</v>
      </c>
      <c r="B55" s="198" t="s">
        <v>976</v>
      </c>
      <c r="C55" s="198" t="s">
        <v>2439</v>
      </c>
      <c r="D55" s="198" t="s">
        <v>4850</v>
      </c>
      <c r="E55" s="200" t="s">
        <v>4893</v>
      </c>
      <c r="F55" s="200" t="s">
        <v>4894</v>
      </c>
      <c r="G55" s="198" t="s">
        <v>4895</v>
      </c>
      <c r="H55" s="198" t="s">
        <v>4896</v>
      </c>
      <c r="I55" s="198" t="s">
        <v>4897</v>
      </c>
      <c r="J55" s="198" t="s">
        <v>4898</v>
      </c>
      <c r="K55" s="201" t="s">
        <v>4899</v>
      </c>
      <c r="L55" s="275" t="s">
        <v>4900</v>
      </c>
      <c r="M55" s="262" t="s">
        <v>4901</v>
      </c>
    </row>
    <row r="56" spans="1:256" ht="63.75">
      <c r="A56" s="198" t="str">
        <f t="shared" si="0"/>
        <v>InstructionsA59</v>
      </c>
      <c r="B56" s="198" t="s">
        <v>976</v>
      </c>
      <c r="C56" s="198" t="s">
        <v>2440</v>
      </c>
      <c r="D56" s="199" t="s">
        <v>4851</v>
      </c>
      <c r="E56" s="199" t="s">
        <v>4933</v>
      </c>
      <c r="F56" s="213" t="s">
        <v>4902</v>
      </c>
      <c r="G56" s="199" t="s">
        <v>4903</v>
      </c>
      <c r="H56" s="199" t="s">
        <v>4904</v>
      </c>
      <c r="I56" s="199" t="s">
        <v>4905</v>
      </c>
      <c r="J56" s="199" t="s">
        <v>4906</v>
      </c>
      <c r="K56" s="199" t="s">
        <v>4907</v>
      </c>
      <c r="L56" s="199" t="s">
        <v>4908</v>
      </c>
      <c r="M56" s="261" t="s">
        <v>4909</v>
      </c>
    </row>
    <row r="57" spans="1:256" ht="63.75">
      <c r="A57" s="198" t="str">
        <f t="shared" si="0"/>
        <v>InstructionsA60</v>
      </c>
      <c r="B57" s="198" t="s">
        <v>976</v>
      </c>
      <c r="C57" s="198" t="s">
        <v>2441</v>
      </c>
      <c r="D57" s="199" t="s">
        <v>4852</v>
      </c>
      <c r="E57" s="199" t="s">
        <v>4934</v>
      </c>
      <c r="F57" s="213" t="s">
        <v>4910</v>
      </c>
      <c r="G57" s="199" t="s">
        <v>4911</v>
      </c>
      <c r="H57" s="199" t="s">
        <v>4912</v>
      </c>
      <c r="I57" s="199" t="s">
        <v>4913</v>
      </c>
      <c r="J57" s="199" t="s">
        <v>4914</v>
      </c>
      <c r="K57" s="199" t="s">
        <v>4915</v>
      </c>
      <c r="L57" s="199" t="s">
        <v>4916</v>
      </c>
      <c r="M57" s="261" t="s">
        <v>4917</v>
      </c>
    </row>
    <row r="58" spans="1:256" ht="63.75">
      <c r="A58" s="198" t="str">
        <f t="shared" si="0"/>
        <v>InstructionsA61</v>
      </c>
      <c r="B58" s="198" t="s">
        <v>976</v>
      </c>
      <c r="C58" s="198" t="s">
        <v>2442</v>
      </c>
      <c r="D58" s="199" t="s">
        <v>4853</v>
      </c>
      <c r="E58" s="199" t="s">
        <v>4935</v>
      </c>
      <c r="F58" s="213" t="s">
        <v>4918</v>
      </c>
      <c r="G58" s="199" t="s">
        <v>4919</v>
      </c>
      <c r="H58" s="199" t="s">
        <v>4920</v>
      </c>
      <c r="I58" s="199" t="s">
        <v>4921</v>
      </c>
      <c r="J58" s="199" t="s">
        <v>4922</v>
      </c>
      <c r="K58" s="199" t="s">
        <v>4923</v>
      </c>
      <c r="L58" s="199" t="s">
        <v>4924</v>
      </c>
      <c r="M58" s="261" t="s">
        <v>4925</v>
      </c>
    </row>
    <row r="59" spans="1:256" ht="409.5">
      <c r="A59" s="198" t="str">
        <f t="shared" si="0"/>
        <v>InstructionsA62</v>
      </c>
      <c r="B59" s="198" t="s">
        <v>976</v>
      </c>
      <c r="C59" s="198" t="s">
        <v>2443</v>
      </c>
      <c r="D59" s="198" t="s">
        <v>4854</v>
      </c>
      <c r="E59" s="200" t="s">
        <v>4936</v>
      </c>
      <c r="F59" s="200" t="s">
        <v>4937</v>
      </c>
      <c r="G59" s="275" t="s">
        <v>4926</v>
      </c>
      <c r="H59" s="198" t="s">
        <v>4927</v>
      </c>
      <c r="I59" s="198" t="s">
        <v>4928</v>
      </c>
      <c r="J59" s="198" t="s">
        <v>4929</v>
      </c>
      <c r="K59" s="201" t="s">
        <v>4930</v>
      </c>
      <c r="L59" s="275" t="s">
        <v>4931</v>
      </c>
      <c r="M59" s="262" t="s">
        <v>4932</v>
      </c>
    </row>
    <row r="60" spans="1:256" ht="128.25">
      <c r="A60" s="198" t="str">
        <f t="shared" si="0"/>
        <v>InstructionsA63</v>
      </c>
      <c r="B60" s="198" t="s">
        <v>976</v>
      </c>
      <c r="C60" s="198" t="s">
        <v>2444</v>
      </c>
      <c r="D60" s="198" t="s">
        <v>4855</v>
      </c>
      <c r="E60" s="200" t="s">
        <v>4938</v>
      </c>
      <c r="F60" s="200" t="s">
        <v>4939</v>
      </c>
      <c r="G60" s="198" t="s">
        <v>4940</v>
      </c>
      <c r="H60" s="198" t="s">
        <v>4941</v>
      </c>
      <c r="I60" s="198" t="s">
        <v>4942</v>
      </c>
      <c r="J60" s="198" t="s">
        <v>4943</v>
      </c>
      <c r="K60" s="201" t="s">
        <v>4944</v>
      </c>
      <c r="L60" s="275" t="s">
        <v>4945</v>
      </c>
      <c r="M60" s="262" t="s">
        <v>4946</v>
      </c>
    </row>
    <row r="61" spans="1:256" ht="242.25">
      <c r="A61" s="198" t="str">
        <f t="shared" si="0"/>
        <v>InstructionsA64</v>
      </c>
      <c r="B61" s="198" t="s">
        <v>976</v>
      </c>
      <c r="C61" s="198" t="s">
        <v>2445</v>
      </c>
      <c r="D61" s="198" t="s">
        <v>4757</v>
      </c>
      <c r="E61" s="200" t="s">
        <v>4806</v>
      </c>
      <c r="F61" s="200" t="s">
        <v>4807</v>
      </c>
      <c r="G61" s="198" t="s">
        <v>4808</v>
      </c>
      <c r="H61" s="198" t="s">
        <v>4809</v>
      </c>
      <c r="I61" s="198" t="s">
        <v>4810</v>
      </c>
      <c r="J61" s="198" t="s">
        <v>4811</v>
      </c>
      <c r="K61" s="201" t="s">
        <v>4812</v>
      </c>
      <c r="L61" s="275" t="s">
        <v>4813</v>
      </c>
      <c r="M61" s="262" t="s">
        <v>4814</v>
      </c>
    </row>
    <row r="62" spans="1:256" ht="270.75">
      <c r="A62" s="198" t="str">
        <f t="shared" si="0"/>
        <v>InstructionsA65</v>
      </c>
      <c r="B62" s="198" t="s">
        <v>976</v>
      </c>
      <c r="C62" s="198" t="s">
        <v>1214</v>
      </c>
      <c r="D62" s="198" t="s">
        <v>4758</v>
      </c>
      <c r="E62" s="200" t="s">
        <v>4815</v>
      </c>
      <c r="F62" s="200" t="s">
        <v>4816</v>
      </c>
      <c r="G62" s="198" t="s">
        <v>4817</v>
      </c>
      <c r="H62" s="198" t="s">
        <v>4818</v>
      </c>
      <c r="I62" s="198" t="s">
        <v>4819</v>
      </c>
      <c r="J62" s="198" t="s">
        <v>4820</v>
      </c>
      <c r="K62" s="201" t="s">
        <v>4821</v>
      </c>
      <c r="L62" s="275" t="s">
        <v>4822</v>
      </c>
      <c r="M62" s="262" t="s">
        <v>4823</v>
      </c>
    </row>
    <row r="63" spans="1:256" ht="142.5">
      <c r="A63" s="198" t="str">
        <f>B63&amp;C63</f>
        <v>InstructionsA66</v>
      </c>
      <c r="B63" s="198" t="s">
        <v>976</v>
      </c>
      <c r="C63" s="198" t="s">
        <v>1215</v>
      </c>
      <c r="D63" s="198" t="s">
        <v>1216</v>
      </c>
      <c r="E63" s="200" t="s">
        <v>1068</v>
      </c>
      <c r="F63" s="200" t="s">
        <v>513</v>
      </c>
      <c r="G63" s="198" t="s">
        <v>657</v>
      </c>
      <c r="H63" s="198" t="s">
        <v>839</v>
      </c>
      <c r="I63" s="198" t="s">
        <v>101</v>
      </c>
      <c r="J63" s="198" t="s">
        <v>2599</v>
      </c>
      <c r="K63" s="201" t="s">
        <v>284</v>
      </c>
      <c r="L63" s="275" t="s">
        <v>19</v>
      </c>
      <c r="M63" s="198" t="s">
        <v>4440</v>
      </c>
    </row>
    <row r="64" spans="1:256" ht="57">
      <c r="A64" s="198" t="str">
        <f t="shared" si="0"/>
        <v>InstructionsA67</v>
      </c>
      <c r="B64" s="198" t="s">
        <v>976</v>
      </c>
      <c r="C64" s="198" t="s">
        <v>1218</v>
      </c>
      <c r="D64" s="198" t="s">
        <v>1217</v>
      </c>
      <c r="E64" s="200" t="s">
        <v>4856</v>
      </c>
      <c r="F64" s="200" t="s">
        <v>840</v>
      </c>
      <c r="G64" s="198" t="s">
        <v>1219</v>
      </c>
      <c r="H64" s="198" t="s">
        <v>579</v>
      </c>
      <c r="I64" s="198" t="s">
        <v>102</v>
      </c>
      <c r="J64" s="198" t="s">
        <v>1220</v>
      </c>
      <c r="K64" s="201" t="s">
        <v>285</v>
      </c>
      <c r="L64" s="275" t="s">
        <v>1221</v>
      </c>
      <c r="M64" s="198" t="s">
        <v>4441</v>
      </c>
    </row>
    <row r="65" spans="1:13" ht="256.5">
      <c r="A65" s="198" t="str">
        <f>B65&amp;C65</f>
        <v>InstructionsA69</v>
      </c>
      <c r="B65" s="198" t="s">
        <v>976</v>
      </c>
      <c r="C65" s="198" t="s">
        <v>1222</v>
      </c>
      <c r="D65" s="198" t="s">
        <v>1230</v>
      </c>
      <c r="E65" s="200" t="s">
        <v>1069</v>
      </c>
      <c r="F65" s="200" t="s">
        <v>841</v>
      </c>
      <c r="G65" s="198" t="s">
        <v>658</v>
      </c>
      <c r="H65" s="200" t="s">
        <v>2776</v>
      </c>
      <c r="I65" s="198" t="s">
        <v>103</v>
      </c>
      <c r="J65" s="198" t="s">
        <v>2634</v>
      </c>
      <c r="K65" s="201" t="s">
        <v>286</v>
      </c>
      <c r="L65" s="275" t="s">
        <v>221</v>
      </c>
      <c r="M65" s="198" t="s">
        <v>4442</v>
      </c>
    </row>
    <row r="66" spans="1:13" ht="57">
      <c r="A66" s="198" t="str">
        <f t="shared" si="0"/>
        <v>InstructionsA71</v>
      </c>
      <c r="B66" s="198" t="s">
        <v>976</v>
      </c>
      <c r="C66" s="198" t="s">
        <v>1223</v>
      </c>
      <c r="D66" s="198" t="s">
        <v>1798</v>
      </c>
      <c r="E66" s="198" t="s">
        <v>2388</v>
      </c>
      <c r="F66" s="200" t="s">
        <v>2389</v>
      </c>
      <c r="G66" s="198" t="s">
        <v>1940</v>
      </c>
      <c r="H66" s="200" t="s">
        <v>580</v>
      </c>
      <c r="I66" s="198" t="s">
        <v>2390</v>
      </c>
      <c r="J66" s="198" t="s">
        <v>2391</v>
      </c>
      <c r="K66" s="201"/>
      <c r="L66" s="275" t="s">
        <v>2489</v>
      </c>
      <c r="M66" s="198" t="s">
        <v>4443</v>
      </c>
    </row>
    <row r="67" spans="1:13" ht="409.5">
      <c r="A67" s="198" t="str">
        <f t="shared" si="0"/>
        <v>InstructionsA72</v>
      </c>
      <c r="B67" s="198" t="s">
        <v>976</v>
      </c>
      <c r="C67" s="198" t="s">
        <v>1224</v>
      </c>
      <c r="D67" s="198" t="s">
        <v>1799</v>
      </c>
      <c r="E67" s="198" t="s">
        <v>1070</v>
      </c>
      <c r="F67" s="200" t="s">
        <v>2392</v>
      </c>
      <c r="G67" s="198" t="s">
        <v>1200</v>
      </c>
      <c r="H67" s="200" t="s">
        <v>194</v>
      </c>
      <c r="I67" s="198" t="s">
        <v>104</v>
      </c>
      <c r="J67" s="198" t="s">
        <v>2635</v>
      </c>
      <c r="K67" s="201" t="s">
        <v>287</v>
      </c>
      <c r="L67" s="275" t="s">
        <v>1205</v>
      </c>
      <c r="M67" s="198" t="s">
        <v>4444</v>
      </c>
    </row>
    <row r="68" spans="1:13" ht="242.25">
      <c r="A68" s="198" t="str">
        <f t="shared" si="0"/>
        <v>InstructionsA73</v>
      </c>
      <c r="B68" s="198" t="s">
        <v>976</v>
      </c>
      <c r="C68" s="198" t="s">
        <v>1225</v>
      </c>
      <c r="D68" s="198" t="s">
        <v>1822</v>
      </c>
      <c r="E68" s="198" t="s">
        <v>1071</v>
      </c>
      <c r="F68" s="200" t="s">
        <v>1480</v>
      </c>
      <c r="G68" s="198" t="s">
        <v>1481</v>
      </c>
      <c r="H68" s="200" t="s">
        <v>581</v>
      </c>
      <c r="I68" s="198" t="s">
        <v>105</v>
      </c>
      <c r="J68" s="198" t="s">
        <v>2636</v>
      </c>
      <c r="K68" s="201" t="s">
        <v>1703</v>
      </c>
      <c r="L68" s="275" t="s">
        <v>2490</v>
      </c>
      <c r="M68" s="198" t="s">
        <v>4445</v>
      </c>
    </row>
    <row r="69" spans="1:13" ht="213.75">
      <c r="A69" s="198" t="str">
        <f t="shared" si="0"/>
        <v>InstructionsA74</v>
      </c>
      <c r="B69" s="198" t="s">
        <v>976</v>
      </c>
      <c r="C69" s="198" t="s">
        <v>1226</v>
      </c>
      <c r="D69" s="198" t="s">
        <v>1823</v>
      </c>
      <c r="E69" s="198" t="s">
        <v>1072</v>
      </c>
      <c r="F69" s="200" t="s">
        <v>1482</v>
      </c>
      <c r="G69" s="198" t="s">
        <v>1483</v>
      </c>
      <c r="H69" s="200" t="s">
        <v>195</v>
      </c>
      <c r="I69" s="198" t="s">
        <v>106</v>
      </c>
      <c r="J69" s="198" t="s">
        <v>1484</v>
      </c>
      <c r="K69" s="201" t="s">
        <v>288</v>
      </c>
      <c r="L69" s="275" t="s">
        <v>2491</v>
      </c>
      <c r="M69" s="198" t="s">
        <v>4446</v>
      </c>
    </row>
    <row r="70" spans="1:13" ht="409.5">
      <c r="A70" s="198" t="str">
        <f t="shared" si="0"/>
        <v>InstructionsA75</v>
      </c>
      <c r="B70" s="198" t="s">
        <v>976</v>
      </c>
      <c r="C70" s="198" t="s">
        <v>1227</v>
      </c>
      <c r="D70" s="198" t="s">
        <v>1839</v>
      </c>
      <c r="E70" s="198" t="s">
        <v>1073</v>
      </c>
      <c r="F70" s="200" t="s">
        <v>1889</v>
      </c>
      <c r="G70" s="198" t="s">
        <v>1840</v>
      </c>
      <c r="H70" s="200" t="s">
        <v>196</v>
      </c>
      <c r="I70" s="198" t="s">
        <v>107</v>
      </c>
      <c r="J70" s="198" t="s">
        <v>2471</v>
      </c>
      <c r="K70" s="201" t="s">
        <v>1888</v>
      </c>
      <c r="L70" s="275" t="s">
        <v>2393</v>
      </c>
      <c r="M70" s="198" t="s">
        <v>4447</v>
      </c>
    </row>
    <row r="71" spans="1:13" ht="142.5">
      <c r="A71" s="198" t="str">
        <f t="shared" si="0"/>
        <v>InstructionsA76</v>
      </c>
      <c r="B71" s="198" t="s">
        <v>976</v>
      </c>
      <c r="C71" s="198" t="s">
        <v>1228</v>
      </c>
      <c r="D71" s="198" t="s">
        <v>1824</v>
      </c>
      <c r="E71" s="198" t="s">
        <v>1074</v>
      </c>
      <c r="F71" s="200" t="s">
        <v>1890</v>
      </c>
      <c r="G71" s="198" t="s">
        <v>1485</v>
      </c>
      <c r="H71" s="200" t="s">
        <v>197</v>
      </c>
      <c r="I71" s="198" t="s">
        <v>108</v>
      </c>
      <c r="J71" s="198" t="s">
        <v>2637</v>
      </c>
      <c r="K71" s="201" t="s">
        <v>2313</v>
      </c>
      <c r="L71" s="275" t="s">
        <v>2492</v>
      </c>
      <c r="M71" s="198" t="s">
        <v>4448</v>
      </c>
    </row>
    <row r="72" spans="1:13" ht="57">
      <c r="A72" s="198" t="str">
        <f t="shared" si="0"/>
        <v>InstructionsA77</v>
      </c>
      <c r="B72" s="198" t="s">
        <v>976</v>
      </c>
      <c r="C72" s="198" t="s">
        <v>1229</v>
      </c>
      <c r="D72" s="198" t="s">
        <v>1825</v>
      </c>
      <c r="E72" s="198" t="s">
        <v>1486</v>
      </c>
      <c r="F72" s="200" t="s">
        <v>1487</v>
      </c>
      <c r="G72" s="198" t="s">
        <v>1488</v>
      </c>
      <c r="H72" s="200" t="s">
        <v>198</v>
      </c>
      <c r="I72" s="198" t="s">
        <v>109</v>
      </c>
      <c r="J72" s="198" t="s">
        <v>1971</v>
      </c>
      <c r="K72" s="201" t="s">
        <v>2314</v>
      </c>
      <c r="L72" s="275" t="s">
        <v>2493</v>
      </c>
      <c r="M72" s="198" t="s">
        <v>4449</v>
      </c>
    </row>
    <row r="73" spans="1:13">
      <c r="A73" s="198" t="str">
        <f t="shared" si="0"/>
        <v>DefinitionsB2</v>
      </c>
      <c r="B73" s="198" t="s">
        <v>1841</v>
      </c>
      <c r="C73" s="198" t="s">
        <v>1891</v>
      </c>
      <c r="D73" s="198" t="s">
        <v>1972</v>
      </c>
      <c r="E73" s="198" t="s">
        <v>1533</v>
      </c>
      <c r="F73" s="200" t="s">
        <v>2024</v>
      </c>
      <c r="G73" s="198" t="s">
        <v>1538</v>
      </c>
      <c r="H73" s="200" t="s">
        <v>1972</v>
      </c>
      <c r="I73" s="198" t="s">
        <v>110</v>
      </c>
      <c r="J73" s="198" t="s">
        <v>1973</v>
      </c>
      <c r="K73" s="201" t="s">
        <v>2315</v>
      </c>
      <c r="L73" s="275" t="s">
        <v>1149</v>
      </c>
      <c r="M73" s="198" t="s">
        <v>4450</v>
      </c>
    </row>
    <row r="74" spans="1:13" ht="27">
      <c r="A74" s="198" t="str">
        <f>B74&amp;C74</f>
        <v>DefinitionsB3</v>
      </c>
      <c r="B74" s="198" t="s">
        <v>1841</v>
      </c>
      <c r="C74" s="198" t="s">
        <v>1842</v>
      </c>
      <c r="D74" s="198" t="s">
        <v>1902</v>
      </c>
      <c r="E74" s="200" t="s">
        <v>1075</v>
      </c>
      <c r="F74" s="200" t="s">
        <v>1902</v>
      </c>
      <c r="G74" s="198" t="s">
        <v>1902</v>
      </c>
      <c r="H74" s="200" t="s">
        <v>1902</v>
      </c>
      <c r="I74" s="198" t="s">
        <v>1902</v>
      </c>
      <c r="J74" s="198" t="s">
        <v>1902</v>
      </c>
      <c r="K74" s="201" t="s">
        <v>1902</v>
      </c>
      <c r="L74" s="275" t="s">
        <v>1902</v>
      </c>
      <c r="M74" s="198" t="s">
        <v>4451</v>
      </c>
    </row>
    <row r="75" spans="1:13">
      <c r="A75" s="198" t="str">
        <f t="shared" si="0"/>
        <v>DefinitionsB4</v>
      </c>
      <c r="B75" s="198" t="s">
        <v>1841</v>
      </c>
      <c r="C75" s="198" t="s">
        <v>1843</v>
      </c>
      <c r="D75" s="198" t="s">
        <v>1904</v>
      </c>
      <c r="E75" s="200" t="s">
        <v>1076</v>
      </c>
      <c r="F75" s="200" t="s">
        <v>842</v>
      </c>
      <c r="G75" s="198" t="s">
        <v>659</v>
      </c>
      <c r="H75" s="200" t="s">
        <v>184</v>
      </c>
      <c r="I75" s="198" t="s">
        <v>111</v>
      </c>
      <c r="J75" s="198" t="s">
        <v>2600</v>
      </c>
      <c r="K75" s="201" t="s">
        <v>289</v>
      </c>
      <c r="L75" s="275" t="s">
        <v>222</v>
      </c>
      <c r="M75" s="198" t="s">
        <v>4452</v>
      </c>
    </row>
    <row r="76" spans="1:13" ht="28.5">
      <c r="A76" s="198" t="str">
        <f t="shared" si="0"/>
        <v>DefinitionsB5</v>
      </c>
      <c r="B76" s="198" t="s">
        <v>1841</v>
      </c>
      <c r="C76" s="198" t="s">
        <v>1844</v>
      </c>
      <c r="D76" s="198" t="s">
        <v>1906</v>
      </c>
      <c r="E76" s="200" t="s">
        <v>1077</v>
      </c>
      <c r="F76" s="200" t="s">
        <v>1974</v>
      </c>
      <c r="G76" s="198" t="s">
        <v>1201</v>
      </c>
      <c r="H76" s="198" t="s">
        <v>582</v>
      </c>
      <c r="I76" s="198" t="s">
        <v>112</v>
      </c>
      <c r="J76" s="198" t="s">
        <v>144</v>
      </c>
      <c r="K76" s="201" t="s">
        <v>2316</v>
      </c>
      <c r="L76" s="275" t="s">
        <v>1150</v>
      </c>
      <c r="M76" s="198" t="s">
        <v>4453</v>
      </c>
    </row>
    <row r="77" spans="1:13" ht="28.5">
      <c r="A77" s="198" t="str">
        <f t="shared" si="0"/>
        <v>DefinitionsB6</v>
      </c>
      <c r="B77" s="198" t="s">
        <v>1841</v>
      </c>
      <c r="C77" s="198" t="s">
        <v>1845</v>
      </c>
      <c r="D77" s="198" t="s">
        <v>1907</v>
      </c>
      <c r="E77" s="200" t="s">
        <v>1078</v>
      </c>
      <c r="F77" s="200" t="s">
        <v>2039</v>
      </c>
      <c r="G77" s="198" t="s">
        <v>1202</v>
      </c>
      <c r="H77" s="200" t="s">
        <v>583</v>
      </c>
      <c r="I77" s="198" t="s">
        <v>113</v>
      </c>
      <c r="J77" s="198" t="s">
        <v>145</v>
      </c>
      <c r="K77" s="201" t="s">
        <v>2317</v>
      </c>
      <c r="L77" s="275" t="s">
        <v>1151</v>
      </c>
      <c r="M77" s="198" t="s">
        <v>4454</v>
      </c>
    </row>
    <row r="78" spans="1:13" ht="28.5">
      <c r="A78" s="198" t="str">
        <f t="shared" si="0"/>
        <v>DefinitionsB7</v>
      </c>
      <c r="B78" s="198" t="s">
        <v>1841</v>
      </c>
      <c r="C78" s="198" t="s">
        <v>1846</v>
      </c>
      <c r="D78" s="198" t="s">
        <v>1909</v>
      </c>
      <c r="E78" s="200" t="s">
        <v>1079</v>
      </c>
      <c r="F78" s="200" t="s">
        <v>843</v>
      </c>
      <c r="G78" s="198" t="s">
        <v>660</v>
      </c>
      <c r="H78" s="200" t="s">
        <v>584</v>
      </c>
      <c r="I78" s="198" t="s">
        <v>114</v>
      </c>
      <c r="J78" s="198" t="s">
        <v>146</v>
      </c>
      <c r="K78" s="201" t="s">
        <v>290</v>
      </c>
      <c r="L78" s="275" t="s">
        <v>223</v>
      </c>
      <c r="M78" s="198" t="s">
        <v>4455</v>
      </c>
    </row>
    <row r="79" spans="1:13" ht="27">
      <c r="A79" s="198" t="str">
        <f t="shared" si="0"/>
        <v>DefinitionsB8</v>
      </c>
      <c r="B79" s="198" t="s">
        <v>1841</v>
      </c>
      <c r="C79" s="198" t="s">
        <v>1847</v>
      </c>
      <c r="D79" s="198" t="s">
        <v>1525</v>
      </c>
      <c r="E79" s="200" t="s">
        <v>1080</v>
      </c>
      <c r="F79" s="200" t="s">
        <v>2040</v>
      </c>
      <c r="G79" s="198" t="s">
        <v>1203</v>
      </c>
      <c r="H79" s="198" t="s">
        <v>1975</v>
      </c>
      <c r="I79" s="198" t="s">
        <v>115</v>
      </c>
      <c r="J79" s="198" t="s">
        <v>2475</v>
      </c>
      <c r="K79" s="201" t="s">
        <v>2318</v>
      </c>
      <c r="L79" s="275" t="s">
        <v>1152</v>
      </c>
      <c r="M79" s="198" t="s">
        <v>4456</v>
      </c>
    </row>
    <row r="80" spans="1:13">
      <c r="A80" s="198" t="str">
        <f>B80&amp;C80</f>
        <v>DefinitionsB9</v>
      </c>
      <c r="B80" s="198" t="s">
        <v>1841</v>
      </c>
      <c r="C80" s="198" t="s">
        <v>1848</v>
      </c>
      <c r="D80" s="198" t="s">
        <v>1911</v>
      </c>
      <c r="E80" s="200" t="s">
        <v>1081</v>
      </c>
      <c r="F80" s="200" t="s">
        <v>844</v>
      </c>
      <c r="G80" s="198" t="s">
        <v>661</v>
      </c>
      <c r="H80" s="198" t="s">
        <v>585</v>
      </c>
      <c r="I80" s="198" t="s">
        <v>116</v>
      </c>
      <c r="J80" s="198" t="s">
        <v>2601</v>
      </c>
      <c r="K80" s="201" t="s">
        <v>291</v>
      </c>
      <c r="L80" s="275" t="s">
        <v>224</v>
      </c>
      <c r="M80" s="198" t="s">
        <v>4457</v>
      </c>
    </row>
    <row r="81" spans="1:13" ht="28.5">
      <c r="A81" s="198" t="str">
        <f t="shared" ref="A81:A168" si="1">B81&amp;C81</f>
        <v>DefinitionsB10</v>
      </c>
      <c r="B81" s="198" t="s">
        <v>1841</v>
      </c>
      <c r="C81" s="198" t="s">
        <v>1849</v>
      </c>
      <c r="D81" s="198" t="s">
        <v>1913</v>
      </c>
      <c r="E81" s="200" t="s">
        <v>1082</v>
      </c>
      <c r="F81" s="200" t="s">
        <v>845</v>
      </c>
      <c r="G81" s="198" t="s">
        <v>1976</v>
      </c>
      <c r="H81" s="198" t="s">
        <v>1977</v>
      </c>
      <c r="I81" s="198" t="s">
        <v>117</v>
      </c>
      <c r="J81" s="198" t="s">
        <v>147</v>
      </c>
      <c r="K81" s="201" t="s">
        <v>292</v>
      </c>
      <c r="L81" s="275" t="s">
        <v>1153</v>
      </c>
      <c r="M81" s="198" t="s">
        <v>4458</v>
      </c>
    </row>
    <row r="82" spans="1:13" ht="40.5">
      <c r="A82" s="198" t="str">
        <f t="shared" si="1"/>
        <v>DefinitionsB11</v>
      </c>
      <c r="B82" s="198" t="s">
        <v>1841</v>
      </c>
      <c r="C82" s="198" t="s">
        <v>1850</v>
      </c>
      <c r="D82" s="198" t="s">
        <v>1537</v>
      </c>
      <c r="E82" s="198" t="s">
        <v>1083</v>
      </c>
      <c r="F82" s="200" t="s">
        <v>846</v>
      </c>
      <c r="G82" s="198" t="s">
        <v>1537</v>
      </c>
      <c r="H82" s="198" t="s">
        <v>1537</v>
      </c>
      <c r="I82" s="198" t="s">
        <v>1537</v>
      </c>
      <c r="J82" s="198" t="s">
        <v>1537</v>
      </c>
      <c r="K82" s="201" t="s">
        <v>1537</v>
      </c>
      <c r="L82" s="275" t="s">
        <v>1537</v>
      </c>
      <c r="M82" s="198" t="s">
        <v>4459</v>
      </c>
    </row>
    <row r="83" spans="1:13">
      <c r="A83" s="198" t="str">
        <f t="shared" si="1"/>
        <v>DefinitionsB12</v>
      </c>
      <c r="B83" s="198" t="s">
        <v>1841</v>
      </c>
      <c r="C83" s="198" t="s">
        <v>1851</v>
      </c>
      <c r="D83" s="198" t="s">
        <v>1526</v>
      </c>
      <c r="E83" s="198" t="s">
        <v>1084</v>
      </c>
      <c r="F83" s="200" t="s">
        <v>1978</v>
      </c>
      <c r="G83" s="198" t="s">
        <v>1979</v>
      </c>
      <c r="H83" s="198" t="s">
        <v>1980</v>
      </c>
      <c r="I83" s="198" t="s">
        <v>1980</v>
      </c>
      <c r="J83" s="198" t="s">
        <v>2602</v>
      </c>
      <c r="K83" s="201" t="s">
        <v>1526</v>
      </c>
      <c r="L83" s="275" t="s">
        <v>1980</v>
      </c>
      <c r="M83" s="198" t="s">
        <v>4460</v>
      </c>
    </row>
    <row r="84" spans="1:13" ht="27">
      <c r="A84" s="198" t="str">
        <f t="shared" si="1"/>
        <v>DefinitionsB13</v>
      </c>
      <c r="B84" s="198" t="s">
        <v>1841</v>
      </c>
      <c r="C84" s="198" t="s">
        <v>1852</v>
      </c>
      <c r="D84" s="198" t="s">
        <v>1915</v>
      </c>
      <c r="E84" s="198" t="s">
        <v>1085</v>
      </c>
      <c r="F84" s="200" t="s">
        <v>2041</v>
      </c>
      <c r="G84" s="198" t="s">
        <v>1527</v>
      </c>
      <c r="H84" s="198" t="s">
        <v>1981</v>
      </c>
      <c r="I84" s="198" t="s">
        <v>1982</v>
      </c>
      <c r="J84" s="198" t="s">
        <v>2603</v>
      </c>
      <c r="K84" s="201" t="s">
        <v>293</v>
      </c>
      <c r="L84" s="275" t="s">
        <v>1154</v>
      </c>
      <c r="M84" s="198" t="s">
        <v>4461</v>
      </c>
    </row>
    <row r="85" spans="1:13">
      <c r="A85" s="198" t="str">
        <f t="shared" si="1"/>
        <v>DefinitionsB14</v>
      </c>
      <c r="B85" s="198" t="s">
        <v>1841</v>
      </c>
      <c r="C85" s="198" t="s">
        <v>1853</v>
      </c>
      <c r="D85" s="198" t="s">
        <v>1521</v>
      </c>
      <c r="E85" s="198" t="s">
        <v>1983</v>
      </c>
      <c r="F85" s="200" t="s">
        <v>1521</v>
      </c>
      <c r="G85" s="198" t="s">
        <v>1521</v>
      </c>
      <c r="H85" s="198" t="s">
        <v>1521</v>
      </c>
      <c r="I85" s="198" t="s">
        <v>1521</v>
      </c>
      <c r="J85" s="198" t="s">
        <v>1521</v>
      </c>
      <c r="K85" s="201" t="s">
        <v>1521</v>
      </c>
      <c r="L85" s="275" t="s">
        <v>1521</v>
      </c>
      <c r="M85" s="198" t="s">
        <v>4462</v>
      </c>
    </row>
    <row r="86" spans="1:13">
      <c r="A86" s="198" t="str">
        <f t="shared" si="1"/>
        <v>DefinitionsB15</v>
      </c>
      <c r="B86" s="198" t="s">
        <v>1841</v>
      </c>
      <c r="C86" s="198" t="s">
        <v>1854</v>
      </c>
      <c r="D86" s="198" t="s">
        <v>1522</v>
      </c>
      <c r="E86" s="198" t="s">
        <v>1086</v>
      </c>
      <c r="F86" s="200" t="s">
        <v>1536</v>
      </c>
      <c r="G86" s="198" t="s">
        <v>1536</v>
      </c>
      <c r="H86" s="198" t="s">
        <v>1536</v>
      </c>
      <c r="I86" s="198" t="s">
        <v>118</v>
      </c>
      <c r="J86" s="198" t="s">
        <v>1536</v>
      </c>
      <c r="K86" s="201" t="s">
        <v>1522</v>
      </c>
      <c r="L86" s="275" t="s">
        <v>1536</v>
      </c>
      <c r="M86" s="198" t="s">
        <v>4463</v>
      </c>
    </row>
    <row r="87" spans="1:13" ht="28.5">
      <c r="A87" s="198" t="str">
        <f t="shared" si="1"/>
        <v>DefinitionsB16</v>
      </c>
      <c r="B87" s="198" t="s">
        <v>1841</v>
      </c>
      <c r="C87" s="198" t="s">
        <v>1855</v>
      </c>
      <c r="D87" s="198" t="s">
        <v>1922</v>
      </c>
      <c r="E87" s="200" t="s">
        <v>1984</v>
      </c>
      <c r="F87" s="200" t="s">
        <v>1985</v>
      </c>
      <c r="G87" s="198" t="s">
        <v>662</v>
      </c>
      <c r="H87" s="198" t="s">
        <v>1986</v>
      </c>
      <c r="I87" s="198" t="s">
        <v>119</v>
      </c>
      <c r="J87" s="198" t="s">
        <v>148</v>
      </c>
      <c r="K87" s="201" t="s">
        <v>294</v>
      </c>
      <c r="L87" s="275" t="s">
        <v>1155</v>
      </c>
      <c r="M87" s="198" t="s">
        <v>4464</v>
      </c>
    </row>
    <row r="88" spans="1:13" ht="28.5">
      <c r="A88" s="198" t="str">
        <f t="shared" si="1"/>
        <v>DefinitionsB17</v>
      </c>
      <c r="B88" s="198" t="s">
        <v>1841</v>
      </c>
      <c r="C88" s="198" t="s">
        <v>1856</v>
      </c>
      <c r="D88" s="198" t="s">
        <v>3605</v>
      </c>
      <c r="E88" s="200" t="s">
        <v>1087</v>
      </c>
      <c r="F88" s="200" t="s">
        <v>847</v>
      </c>
      <c r="G88" s="198" t="s">
        <v>663</v>
      </c>
      <c r="H88" s="198" t="s">
        <v>586</v>
      </c>
      <c r="I88" s="198" t="s">
        <v>120</v>
      </c>
      <c r="J88" s="198" t="s">
        <v>149</v>
      </c>
      <c r="K88" s="201" t="s">
        <v>295</v>
      </c>
      <c r="L88" s="275" t="s">
        <v>225</v>
      </c>
      <c r="M88" s="198" t="s">
        <v>4465</v>
      </c>
    </row>
    <row r="89" spans="1:13">
      <c r="A89" s="198" t="str">
        <f t="shared" si="1"/>
        <v>DefinitionsB18</v>
      </c>
      <c r="B89" s="198" t="s">
        <v>1841</v>
      </c>
      <c r="C89" s="198" t="s">
        <v>1857</v>
      </c>
      <c r="D89" s="198" t="s">
        <v>1924</v>
      </c>
      <c r="E89" s="200" t="s">
        <v>1088</v>
      </c>
      <c r="F89" s="200" t="s">
        <v>848</v>
      </c>
      <c r="G89" s="198" t="s">
        <v>664</v>
      </c>
      <c r="H89" s="198" t="s">
        <v>587</v>
      </c>
      <c r="I89" s="198" t="s">
        <v>121</v>
      </c>
      <c r="J89" s="198" t="s">
        <v>150</v>
      </c>
      <c r="K89" s="201" t="s">
        <v>296</v>
      </c>
      <c r="L89" s="275" t="s">
        <v>226</v>
      </c>
      <c r="M89" s="198" t="s">
        <v>4466</v>
      </c>
    </row>
    <row r="90" spans="1:13">
      <c r="A90" s="198" t="str">
        <f t="shared" si="1"/>
        <v>DefinitionsB19</v>
      </c>
      <c r="B90" s="198" t="s">
        <v>1841</v>
      </c>
      <c r="C90" s="198" t="s">
        <v>1858</v>
      </c>
      <c r="D90" s="198" t="s">
        <v>1925</v>
      </c>
      <c r="E90" s="200" t="s">
        <v>1089</v>
      </c>
      <c r="F90" s="200" t="s">
        <v>1925</v>
      </c>
      <c r="G90" s="198" t="s">
        <v>1925</v>
      </c>
      <c r="H90" s="198" t="s">
        <v>1925</v>
      </c>
      <c r="I90" s="198" t="s">
        <v>1925</v>
      </c>
      <c r="J90" s="198" t="s">
        <v>1925</v>
      </c>
      <c r="K90" s="201" t="s">
        <v>1925</v>
      </c>
      <c r="L90" s="275" t="s">
        <v>1925</v>
      </c>
      <c r="M90" s="198" t="s">
        <v>4467</v>
      </c>
    </row>
    <row r="91" spans="1:13" ht="28.5">
      <c r="A91" s="198" t="str">
        <f t="shared" si="1"/>
        <v>DefinitionsB20</v>
      </c>
      <c r="B91" s="198" t="s">
        <v>1841</v>
      </c>
      <c r="C91" s="198" t="s">
        <v>1859</v>
      </c>
      <c r="D91" s="198" t="s">
        <v>1927</v>
      </c>
      <c r="E91" s="200" t="s">
        <v>1090</v>
      </c>
      <c r="F91" s="200" t="s">
        <v>849</v>
      </c>
      <c r="G91" s="198" t="s">
        <v>665</v>
      </c>
      <c r="H91" s="198" t="s">
        <v>588</v>
      </c>
      <c r="I91" s="198" t="s">
        <v>122</v>
      </c>
      <c r="J91" s="198" t="s">
        <v>1927</v>
      </c>
      <c r="K91" s="201" t="s">
        <v>297</v>
      </c>
      <c r="L91" s="275" t="s">
        <v>1927</v>
      </c>
      <c r="M91" s="198" t="s">
        <v>4468</v>
      </c>
    </row>
    <row r="92" spans="1:13" ht="28.5">
      <c r="A92" s="198" t="str">
        <f t="shared" si="1"/>
        <v>DefinitionsB21</v>
      </c>
      <c r="B92" s="198" t="s">
        <v>1841</v>
      </c>
      <c r="C92" s="198" t="s">
        <v>1860</v>
      </c>
      <c r="D92" s="198" t="s">
        <v>1929</v>
      </c>
      <c r="E92" s="200" t="s">
        <v>1091</v>
      </c>
      <c r="F92" s="200" t="s">
        <v>850</v>
      </c>
      <c r="G92" s="198" t="s">
        <v>666</v>
      </c>
      <c r="H92" s="198" t="s">
        <v>589</v>
      </c>
      <c r="I92" s="198" t="s">
        <v>123</v>
      </c>
      <c r="J92" s="198" t="s">
        <v>151</v>
      </c>
      <c r="K92" s="201" t="s">
        <v>298</v>
      </c>
      <c r="L92" s="275" t="s">
        <v>227</v>
      </c>
      <c r="M92" s="198" t="s">
        <v>4469</v>
      </c>
    </row>
    <row r="93" spans="1:13" ht="28.5">
      <c r="A93" s="198" t="str">
        <f t="shared" si="1"/>
        <v>DefinitionsB22</v>
      </c>
      <c r="B93" s="198" t="s">
        <v>1841</v>
      </c>
      <c r="C93" s="198" t="s">
        <v>1861</v>
      </c>
      <c r="D93" s="198" t="s">
        <v>1112</v>
      </c>
      <c r="E93" s="200" t="s">
        <v>1092</v>
      </c>
      <c r="F93" s="200" t="s">
        <v>851</v>
      </c>
      <c r="G93" s="198" t="s">
        <v>667</v>
      </c>
      <c r="H93" s="198" t="s">
        <v>590</v>
      </c>
      <c r="I93" s="198" t="s">
        <v>124</v>
      </c>
      <c r="J93" s="198" t="s">
        <v>152</v>
      </c>
      <c r="K93" s="201" t="s">
        <v>299</v>
      </c>
      <c r="L93" s="275" t="s">
        <v>228</v>
      </c>
      <c r="M93" s="198" t="s">
        <v>4470</v>
      </c>
    </row>
    <row r="94" spans="1:13">
      <c r="A94" s="198" t="str">
        <f t="shared" si="1"/>
        <v>DefinitionsB23</v>
      </c>
      <c r="B94" s="198" t="s">
        <v>1841</v>
      </c>
      <c r="C94" s="198" t="s">
        <v>1862</v>
      </c>
      <c r="D94" s="198" t="s">
        <v>1524</v>
      </c>
      <c r="E94" s="198" t="s">
        <v>1093</v>
      </c>
      <c r="F94" s="200" t="s">
        <v>1987</v>
      </c>
      <c r="G94" s="198" t="s">
        <v>1524</v>
      </c>
      <c r="H94" s="198" t="s">
        <v>1988</v>
      </c>
      <c r="I94" s="198" t="s">
        <v>1988</v>
      </c>
      <c r="J94" s="198" t="s">
        <v>1524</v>
      </c>
      <c r="K94" s="201" t="s">
        <v>1524</v>
      </c>
      <c r="L94" s="275" t="s">
        <v>1524</v>
      </c>
      <c r="M94" s="198" t="s">
        <v>4471</v>
      </c>
    </row>
    <row r="95" spans="1:13">
      <c r="A95" s="198" t="str">
        <f t="shared" si="1"/>
        <v>DefinitionsB24</v>
      </c>
      <c r="B95" s="198" t="s">
        <v>1841</v>
      </c>
      <c r="C95" s="198" t="s">
        <v>1892</v>
      </c>
      <c r="D95" s="198" t="s">
        <v>1837</v>
      </c>
      <c r="E95" s="198" t="s">
        <v>1989</v>
      </c>
      <c r="F95" s="200" t="s">
        <v>1990</v>
      </c>
      <c r="G95" s="198" t="s">
        <v>1991</v>
      </c>
      <c r="H95" s="198" t="s">
        <v>1992</v>
      </c>
      <c r="I95" s="198" t="s">
        <v>1993</v>
      </c>
      <c r="J95" s="198" t="s">
        <v>1994</v>
      </c>
      <c r="K95" s="201" t="s">
        <v>2319</v>
      </c>
      <c r="L95" s="275" t="s">
        <v>1156</v>
      </c>
      <c r="M95" s="198" t="s">
        <v>4472</v>
      </c>
    </row>
    <row r="96" spans="1:13" ht="28.5">
      <c r="A96" s="198" t="str">
        <f t="shared" si="1"/>
        <v>DefinitionsB25</v>
      </c>
      <c r="B96" s="198" t="s">
        <v>1841</v>
      </c>
      <c r="C96" s="198" t="s">
        <v>910</v>
      </c>
      <c r="D96" s="198" t="s">
        <v>1116</v>
      </c>
      <c r="E96" s="198" t="s">
        <v>1094</v>
      </c>
      <c r="F96" s="200" t="s">
        <v>852</v>
      </c>
      <c r="G96" s="198" t="s">
        <v>668</v>
      </c>
      <c r="H96" s="200" t="s">
        <v>591</v>
      </c>
      <c r="I96" s="198" t="s">
        <v>125</v>
      </c>
      <c r="J96" s="198" t="s">
        <v>2604</v>
      </c>
      <c r="K96" s="201" t="s">
        <v>300</v>
      </c>
      <c r="L96" s="275" t="s">
        <v>1157</v>
      </c>
      <c r="M96" s="198" t="s">
        <v>4473</v>
      </c>
    </row>
    <row r="97" spans="1:13">
      <c r="A97" s="198" t="str">
        <f t="shared" si="1"/>
        <v>DefinitionsB26</v>
      </c>
      <c r="B97" s="198" t="s">
        <v>1841</v>
      </c>
      <c r="C97" s="198" t="s">
        <v>1117</v>
      </c>
      <c r="D97" s="198" t="s">
        <v>1523</v>
      </c>
      <c r="E97" s="200" t="s">
        <v>1995</v>
      </c>
      <c r="F97" s="200" t="s">
        <v>1996</v>
      </c>
      <c r="G97" s="198" t="s">
        <v>1997</v>
      </c>
      <c r="H97" s="198" t="s">
        <v>1523</v>
      </c>
      <c r="I97" s="198" t="s">
        <v>1523</v>
      </c>
      <c r="J97" s="198" t="s">
        <v>1523</v>
      </c>
      <c r="K97" s="201" t="s">
        <v>1523</v>
      </c>
      <c r="L97" s="275" t="s">
        <v>1523</v>
      </c>
      <c r="M97" s="198" t="s">
        <v>4474</v>
      </c>
    </row>
    <row r="98" spans="1:13" ht="27">
      <c r="A98" s="198" t="str">
        <f t="shared" si="1"/>
        <v>DefinitionsB27</v>
      </c>
      <c r="B98" s="198" t="s">
        <v>1841</v>
      </c>
      <c r="C98" s="198" t="s">
        <v>1120</v>
      </c>
      <c r="D98" s="198" t="s">
        <v>2042</v>
      </c>
      <c r="E98" s="198" t="s">
        <v>1998</v>
      </c>
      <c r="F98" s="200" t="s">
        <v>1547</v>
      </c>
      <c r="G98" s="198" t="s">
        <v>1999</v>
      </c>
      <c r="H98" s="198" t="s">
        <v>2000</v>
      </c>
      <c r="I98" s="198" t="s">
        <v>2001</v>
      </c>
      <c r="J98" s="198" t="s">
        <v>2002</v>
      </c>
      <c r="K98" s="201" t="s">
        <v>2320</v>
      </c>
      <c r="L98" s="275" t="s">
        <v>1158</v>
      </c>
      <c r="M98" s="198" t="s">
        <v>4475</v>
      </c>
    </row>
    <row r="99" spans="1:13">
      <c r="A99" s="198" t="str">
        <f>B99&amp;C99</f>
        <v>DefinitionsB28</v>
      </c>
      <c r="B99" s="198" t="s">
        <v>1841</v>
      </c>
      <c r="C99" s="198" t="s">
        <v>1123</v>
      </c>
      <c r="D99" s="198" t="s">
        <v>1128</v>
      </c>
      <c r="E99" s="200" t="s">
        <v>1095</v>
      </c>
      <c r="F99" s="200" t="s">
        <v>2383</v>
      </c>
      <c r="G99" s="198" t="s">
        <v>669</v>
      </c>
      <c r="H99" s="198" t="s">
        <v>592</v>
      </c>
      <c r="I99" s="198" t="s">
        <v>126</v>
      </c>
      <c r="J99" s="198" t="s">
        <v>153</v>
      </c>
      <c r="K99" s="201" t="s">
        <v>301</v>
      </c>
      <c r="L99" s="275" t="s">
        <v>229</v>
      </c>
      <c r="M99" s="198" t="s">
        <v>4476</v>
      </c>
    </row>
    <row r="100" spans="1:13" ht="27">
      <c r="A100" s="198" t="str">
        <f t="shared" si="1"/>
        <v>DefinitionsB29</v>
      </c>
      <c r="B100" s="198" t="s">
        <v>1841</v>
      </c>
      <c r="C100" s="198" t="s">
        <v>1126</v>
      </c>
      <c r="D100" s="198" t="s">
        <v>1130</v>
      </c>
      <c r="E100" s="200" t="s">
        <v>1096</v>
      </c>
      <c r="F100" s="200" t="s">
        <v>1548</v>
      </c>
      <c r="G100" s="198" t="s">
        <v>670</v>
      </c>
      <c r="H100" s="198" t="s">
        <v>2003</v>
      </c>
      <c r="I100" s="198" t="s">
        <v>127</v>
      </c>
      <c r="J100" s="198" t="s">
        <v>154</v>
      </c>
      <c r="K100" s="201" t="s">
        <v>302</v>
      </c>
      <c r="L100" s="275" t="s">
        <v>1159</v>
      </c>
      <c r="M100" s="198" t="s">
        <v>4477</v>
      </c>
    </row>
    <row r="101" spans="1:13" ht="27">
      <c r="A101" s="198" t="str">
        <f t="shared" si="1"/>
        <v>DefinitionsB30</v>
      </c>
      <c r="B101" s="198" t="s">
        <v>1841</v>
      </c>
      <c r="C101" s="198" t="s">
        <v>1131</v>
      </c>
      <c r="D101" s="198" t="s">
        <v>1134</v>
      </c>
      <c r="E101" s="200" t="s">
        <v>1097</v>
      </c>
      <c r="F101" s="200" t="s">
        <v>1549</v>
      </c>
      <c r="G101" s="198" t="s">
        <v>671</v>
      </c>
      <c r="H101" s="198" t="s">
        <v>2004</v>
      </c>
      <c r="I101" s="198" t="s">
        <v>128</v>
      </c>
      <c r="J101" s="198" t="s">
        <v>155</v>
      </c>
      <c r="K101" s="201" t="s">
        <v>303</v>
      </c>
      <c r="L101" s="275" t="s">
        <v>1160</v>
      </c>
      <c r="M101" s="198" t="s">
        <v>4478</v>
      </c>
    </row>
    <row r="102" spans="1:13" ht="27">
      <c r="A102" s="198" t="str">
        <f t="shared" si="1"/>
        <v>DefinitionsB31</v>
      </c>
      <c r="B102" s="198" t="s">
        <v>1841</v>
      </c>
      <c r="C102" s="198" t="s">
        <v>911</v>
      </c>
      <c r="D102" s="198" t="s">
        <v>1137</v>
      </c>
      <c r="E102" s="200" t="s">
        <v>1098</v>
      </c>
      <c r="F102" s="200" t="s">
        <v>1550</v>
      </c>
      <c r="G102" s="198" t="s">
        <v>672</v>
      </c>
      <c r="H102" s="198" t="s">
        <v>2005</v>
      </c>
      <c r="I102" s="198" t="s">
        <v>129</v>
      </c>
      <c r="J102" s="198" t="s">
        <v>156</v>
      </c>
      <c r="K102" s="201" t="s">
        <v>304</v>
      </c>
      <c r="L102" s="275" t="s">
        <v>1161</v>
      </c>
      <c r="M102" s="198" t="s">
        <v>4479</v>
      </c>
    </row>
    <row r="103" spans="1:13">
      <c r="A103" s="198" t="str">
        <f t="shared" si="1"/>
        <v>DefinitionsC2</v>
      </c>
      <c r="B103" s="198" t="s">
        <v>1841</v>
      </c>
      <c r="C103" s="198" t="s">
        <v>1893</v>
      </c>
      <c r="D103" s="198" t="s">
        <v>2006</v>
      </c>
      <c r="E103" s="200" t="s">
        <v>1099</v>
      </c>
      <c r="F103" s="200" t="s">
        <v>2025</v>
      </c>
      <c r="G103" s="198" t="s">
        <v>1539</v>
      </c>
      <c r="H103" s="198" t="s">
        <v>2006</v>
      </c>
      <c r="I103" s="198" t="s">
        <v>130</v>
      </c>
      <c r="J103" s="198" t="s">
        <v>2007</v>
      </c>
      <c r="K103" s="201" t="s">
        <v>2321</v>
      </c>
      <c r="L103" s="275" t="s">
        <v>1162</v>
      </c>
      <c r="M103" s="198" t="s">
        <v>4480</v>
      </c>
    </row>
    <row r="104" spans="1:13">
      <c r="A104" s="198" t="str">
        <f>B104&amp;C104</f>
        <v>DefinitionsC3</v>
      </c>
      <c r="B104" s="198" t="s">
        <v>1841</v>
      </c>
      <c r="C104" s="198" t="s">
        <v>1863</v>
      </c>
      <c r="D104" s="198" t="s">
        <v>1903</v>
      </c>
      <c r="E104" s="200" t="s">
        <v>1100</v>
      </c>
      <c r="F104" s="200" t="s">
        <v>853</v>
      </c>
      <c r="G104" s="198" t="s">
        <v>673</v>
      </c>
      <c r="H104" s="198" t="s">
        <v>593</v>
      </c>
      <c r="I104" s="198" t="s">
        <v>131</v>
      </c>
      <c r="J104" s="198" t="s">
        <v>157</v>
      </c>
      <c r="K104" s="201" t="s">
        <v>305</v>
      </c>
      <c r="L104" s="275" t="s">
        <v>230</v>
      </c>
      <c r="M104" s="198" t="s">
        <v>4481</v>
      </c>
    </row>
    <row r="105" spans="1:13" ht="114">
      <c r="A105" s="198" t="str">
        <f t="shared" si="1"/>
        <v>DefinitionsC4</v>
      </c>
      <c r="B105" s="198" t="s">
        <v>1841</v>
      </c>
      <c r="C105" s="198" t="s">
        <v>1864</v>
      </c>
      <c r="D105" s="198" t="s">
        <v>1905</v>
      </c>
      <c r="E105" s="200" t="s">
        <v>1101</v>
      </c>
      <c r="F105" s="200" t="s">
        <v>854</v>
      </c>
      <c r="G105" s="198" t="s">
        <v>4222</v>
      </c>
      <c r="H105" s="198" t="s">
        <v>594</v>
      </c>
      <c r="I105" s="198" t="s">
        <v>132</v>
      </c>
      <c r="J105" s="198" t="s">
        <v>2605</v>
      </c>
      <c r="K105" s="201" t="s">
        <v>306</v>
      </c>
      <c r="L105" s="275" t="s">
        <v>231</v>
      </c>
      <c r="M105" s="198" t="s">
        <v>4482</v>
      </c>
    </row>
    <row r="106" spans="1:13" ht="280.5">
      <c r="A106" s="198" t="str">
        <f t="shared" si="1"/>
        <v>DefinitionsC5</v>
      </c>
      <c r="B106" s="198" t="s">
        <v>1841</v>
      </c>
      <c r="C106" s="198" t="s">
        <v>1865</v>
      </c>
      <c r="D106" s="199" t="s">
        <v>2829</v>
      </c>
      <c r="E106" s="199" t="s">
        <v>2830</v>
      </c>
      <c r="F106" s="213" t="s">
        <v>2831</v>
      </c>
      <c r="G106" s="199" t="s">
        <v>4223</v>
      </c>
      <c r="H106" s="199" t="s">
        <v>2898</v>
      </c>
      <c r="I106" s="199" t="s">
        <v>2899</v>
      </c>
      <c r="J106" s="199" t="s">
        <v>2900</v>
      </c>
      <c r="K106" s="199" t="s">
        <v>2901</v>
      </c>
      <c r="L106" s="199" t="s">
        <v>2902</v>
      </c>
      <c r="M106" s="199" t="s">
        <v>4483</v>
      </c>
    </row>
    <row r="107" spans="1:13" ht="142.5">
      <c r="A107" s="198" t="str">
        <f t="shared" si="1"/>
        <v>DefinitionsC6</v>
      </c>
      <c r="B107" s="198" t="s">
        <v>1841</v>
      </c>
      <c r="C107" s="198" t="s">
        <v>1866</v>
      </c>
      <c r="D107" s="198" t="s">
        <v>1908</v>
      </c>
      <c r="E107" s="200" t="s">
        <v>1102</v>
      </c>
      <c r="F107" s="200" t="s">
        <v>855</v>
      </c>
      <c r="G107" s="198" t="s">
        <v>674</v>
      </c>
      <c r="H107" s="198" t="s">
        <v>419</v>
      </c>
      <c r="I107" s="198" t="s">
        <v>133</v>
      </c>
      <c r="J107" s="198" t="s">
        <v>2606</v>
      </c>
      <c r="K107" s="201" t="s">
        <v>536</v>
      </c>
      <c r="L107" s="275" t="s">
        <v>1163</v>
      </c>
      <c r="M107" s="198" t="s">
        <v>4484</v>
      </c>
    </row>
    <row r="108" spans="1:13" ht="384.75">
      <c r="A108" s="198" t="str">
        <f>B108&amp;C108</f>
        <v>DefinitionsC7</v>
      </c>
      <c r="B108" s="198" t="s">
        <v>1841</v>
      </c>
      <c r="C108" s="198" t="s">
        <v>1867</v>
      </c>
      <c r="D108" s="198" t="s">
        <v>1910</v>
      </c>
      <c r="E108" s="200" t="s">
        <v>1103</v>
      </c>
      <c r="F108" s="200" t="s">
        <v>856</v>
      </c>
      <c r="G108" s="198" t="s">
        <v>675</v>
      </c>
      <c r="H108" s="200" t="s">
        <v>420</v>
      </c>
      <c r="I108" s="198" t="s">
        <v>134</v>
      </c>
      <c r="J108" s="198" t="s">
        <v>2607</v>
      </c>
      <c r="K108" s="201" t="s">
        <v>537</v>
      </c>
      <c r="L108" s="275" t="s">
        <v>232</v>
      </c>
      <c r="M108" s="198" t="s">
        <v>4485</v>
      </c>
    </row>
    <row r="109" spans="1:13" ht="256.5">
      <c r="A109" s="198" t="str">
        <f t="shared" si="1"/>
        <v>DefinitionsC8</v>
      </c>
      <c r="B109" s="198" t="s">
        <v>1841</v>
      </c>
      <c r="C109" s="198" t="s">
        <v>1868</v>
      </c>
      <c r="D109" s="198" t="s">
        <v>2312</v>
      </c>
      <c r="E109" s="200" t="s">
        <v>1104</v>
      </c>
      <c r="F109" s="200" t="s">
        <v>857</v>
      </c>
      <c r="G109" s="198" t="s">
        <v>676</v>
      </c>
      <c r="H109" s="198" t="s">
        <v>421</v>
      </c>
      <c r="I109" s="198" t="s">
        <v>135</v>
      </c>
      <c r="J109" s="198" t="s">
        <v>2638</v>
      </c>
      <c r="K109" s="201" t="s">
        <v>538</v>
      </c>
      <c r="L109" s="275" t="s">
        <v>1164</v>
      </c>
      <c r="M109" s="198" t="s">
        <v>4486</v>
      </c>
    </row>
    <row r="110" spans="1:13" ht="185.25">
      <c r="A110" s="198" t="str">
        <f>B110&amp;C110</f>
        <v>DefinitionsC9</v>
      </c>
      <c r="B110" s="198" t="s">
        <v>1841</v>
      </c>
      <c r="C110" s="198" t="s">
        <v>1869</v>
      </c>
      <c r="D110" s="198" t="s">
        <v>1912</v>
      </c>
      <c r="E110" s="200" t="s">
        <v>1105</v>
      </c>
      <c r="F110" s="200" t="s">
        <v>858</v>
      </c>
      <c r="G110" s="198" t="s">
        <v>677</v>
      </c>
      <c r="H110" s="282" t="s">
        <v>422</v>
      </c>
      <c r="I110" s="198" t="s">
        <v>136</v>
      </c>
      <c r="J110" s="198" t="s">
        <v>2639</v>
      </c>
      <c r="K110" s="201" t="s">
        <v>539</v>
      </c>
      <c r="L110" s="275" t="s">
        <v>233</v>
      </c>
      <c r="M110" s="198" t="s">
        <v>4487</v>
      </c>
    </row>
    <row r="111" spans="1:13" ht="228">
      <c r="A111" s="198" t="str">
        <f t="shared" si="1"/>
        <v>DefinitionsC10</v>
      </c>
      <c r="B111" s="198" t="s">
        <v>1841</v>
      </c>
      <c r="C111" s="198" t="s">
        <v>1870</v>
      </c>
      <c r="D111" s="198" t="s">
        <v>1914</v>
      </c>
      <c r="E111" s="200" t="s">
        <v>1106</v>
      </c>
      <c r="F111" s="200" t="s">
        <v>859</v>
      </c>
      <c r="G111" s="198" t="s">
        <v>678</v>
      </c>
      <c r="H111" s="198" t="s">
        <v>423</v>
      </c>
      <c r="I111" s="198" t="s">
        <v>137</v>
      </c>
      <c r="J111" s="198" t="s">
        <v>2640</v>
      </c>
      <c r="K111" s="201" t="s">
        <v>540</v>
      </c>
      <c r="L111" s="275" t="s">
        <v>234</v>
      </c>
      <c r="M111" s="198" t="s">
        <v>4488</v>
      </c>
    </row>
    <row r="112" spans="1:13" ht="99.75">
      <c r="A112" s="198" t="str">
        <f t="shared" si="1"/>
        <v>DefinitionsC11</v>
      </c>
      <c r="B112" s="198" t="s">
        <v>1841</v>
      </c>
      <c r="C112" s="198" t="s">
        <v>1871</v>
      </c>
      <c r="D112" s="198" t="s">
        <v>1836</v>
      </c>
      <c r="E112" s="200" t="s">
        <v>1107</v>
      </c>
      <c r="F112" s="200" t="s">
        <v>860</v>
      </c>
      <c r="G112" s="198" t="s">
        <v>2008</v>
      </c>
      <c r="H112" s="198" t="s">
        <v>424</v>
      </c>
      <c r="I112" s="198" t="s">
        <v>138</v>
      </c>
      <c r="J112" s="198" t="s">
        <v>2009</v>
      </c>
      <c r="K112" s="201" t="s">
        <v>541</v>
      </c>
      <c r="L112" s="275" t="s">
        <v>1165</v>
      </c>
      <c r="M112" s="198" t="s">
        <v>4489</v>
      </c>
    </row>
    <row r="113" spans="1:13">
      <c r="A113" s="198" t="str">
        <f t="shared" si="1"/>
        <v>DefinitionsC12</v>
      </c>
      <c r="B113" s="198" t="s">
        <v>1841</v>
      </c>
      <c r="C113" s="198" t="s">
        <v>1872</v>
      </c>
      <c r="D113" s="198" t="s">
        <v>2446</v>
      </c>
      <c r="E113" s="198" t="s">
        <v>1534</v>
      </c>
      <c r="F113" s="200" t="s">
        <v>2026</v>
      </c>
      <c r="G113" s="198" t="s">
        <v>2010</v>
      </c>
      <c r="H113" s="198" t="s">
        <v>2011</v>
      </c>
      <c r="I113" s="198" t="s">
        <v>2012</v>
      </c>
      <c r="J113" s="198" t="s">
        <v>2013</v>
      </c>
      <c r="K113" s="201" t="s">
        <v>542</v>
      </c>
      <c r="L113" s="275" t="s">
        <v>1166</v>
      </c>
      <c r="M113" s="198" t="s">
        <v>4490</v>
      </c>
    </row>
    <row r="114" spans="1:13" ht="156.75">
      <c r="A114" s="198" t="str">
        <f t="shared" si="1"/>
        <v>DefinitionsC13</v>
      </c>
      <c r="B114" s="198" t="s">
        <v>1841</v>
      </c>
      <c r="C114" s="198" t="s">
        <v>1873</v>
      </c>
      <c r="D114" s="198" t="s">
        <v>1916</v>
      </c>
      <c r="E114" s="200" t="s">
        <v>1108</v>
      </c>
      <c r="F114" s="200" t="s">
        <v>861</v>
      </c>
      <c r="G114" s="198" t="s">
        <v>679</v>
      </c>
      <c r="H114" s="285" t="s">
        <v>425</v>
      </c>
      <c r="I114" s="198" t="s">
        <v>139</v>
      </c>
      <c r="J114" s="198" t="s">
        <v>2641</v>
      </c>
      <c r="K114" s="201" t="s">
        <v>543</v>
      </c>
      <c r="L114" s="275" t="s">
        <v>1167</v>
      </c>
      <c r="M114" s="198" t="s">
        <v>4491</v>
      </c>
    </row>
    <row r="115" spans="1:13" ht="42.75">
      <c r="A115" s="198" t="str">
        <f t="shared" si="1"/>
        <v>DefinitionsC14</v>
      </c>
      <c r="B115" s="198" t="s">
        <v>1841</v>
      </c>
      <c r="C115" s="198" t="s">
        <v>1874</v>
      </c>
      <c r="D115" s="198" t="s">
        <v>1917</v>
      </c>
      <c r="E115" s="198" t="s">
        <v>2014</v>
      </c>
      <c r="F115" s="200" t="s">
        <v>1919</v>
      </c>
      <c r="G115" s="198" t="s">
        <v>1918</v>
      </c>
      <c r="H115" s="198" t="s">
        <v>1917</v>
      </c>
      <c r="I115" s="198" t="s">
        <v>140</v>
      </c>
      <c r="J115" s="198" t="s">
        <v>1917</v>
      </c>
      <c r="K115" s="201" t="s">
        <v>544</v>
      </c>
      <c r="L115" s="275" t="s">
        <v>1917</v>
      </c>
      <c r="M115" s="198" t="s">
        <v>4492</v>
      </c>
    </row>
    <row r="116" spans="1:13" ht="42.75">
      <c r="A116" s="198" t="str">
        <f t="shared" si="1"/>
        <v>DefinitionsC15</v>
      </c>
      <c r="B116" s="198" t="s">
        <v>1841</v>
      </c>
      <c r="C116" s="198" t="s">
        <v>1875</v>
      </c>
      <c r="D116" s="198" t="s">
        <v>1528</v>
      </c>
      <c r="E116" s="198" t="s">
        <v>2015</v>
      </c>
      <c r="F116" s="200" t="s">
        <v>2027</v>
      </c>
      <c r="G116" s="198" t="s">
        <v>1540</v>
      </c>
      <c r="H116" s="198" t="s">
        <v>1528</v>
      </c>
      <c r="I116" s="198" t="s">
        <v>141</v>
      </c>
      <c r="J116" s="198" t="s">
        <v>1528</v>
      </c>
      <c r="K116" s="201" t="s">
        <v>1920</v>
      </c>
      <c r="L116" s="275" t="s">
        <v>1528</v>
      </c>
      <c r="M116" s="198" t="s">
        <v>4493</v>
      </c>
    </row>
    <row r="117" spans="1:13" ht="142.5">
      <c r="A117" s="198" t="str">
        <f t="shared" si="1"/>
        <v>DefinitionsC16</v>
      </c>
      <c r="B117" s="198" t="s">
        <v>1841</v>
      </c>
      <c r="C117" s="198" t="s">
        <v>1876</v>
      </c>
      <c r="D117" s="198" t="s">
        <v>1921</v>
      </c>
      <c r="E117" s="200" t="s">
        <v>1109</v>
      </c>
      <c r="F117" s="200" t="s">
        <v>862</v>
      </c>
      <c r="G117" s="198" t="s">
        <v>986</v>
      </c>
      <c r="H117" s="198" t="s">
        <v>426</v>
      </c>
      <c r="I117" s="198" t="s">
        <v>142</v>
      </c>
      <c r="J117" s="198" t="s">
        <v>2608</v>
      </c>
      <c r="K117" s="201" t="s">
        <v>545</v>
      </c>
      <c r="L117" s="275" t="s">
        <v>235</v>
      </c>
      <c r="M117" s="198" t="s">
        <v>4494</v>
      </c>
    </row>
    <row r="118" spans="1:13" ht="213.75">
      <c r="A118" s="198" t="str">
        <f t="shared" si="1"/>
        <v>DefinitionsC17</v>
      </c>
      <c r="B118" s="198" t="s">
        <v>1841</v>
      </c>
      <c r="C118" s="198" t="s">
        <v>1877</v>
      </c>
      <c r="D118" s="198" t="s">
        <v>3606</v>
      </c>
      <c r="E118" s="200" t="s">
        <v>1110</v>
      </c>
      <c r="F118" s="200" t="s">
        <v>4134</v>
      </c>
      <c r="G118" s="198" t="s">
        <v>4224</v>
      </c>
      <c r="H118" s="198" t="s">
        <v>2777</v>
      </c>
      <c r="I118" s="198" t="s">
        <v>143</v>
      </c>
      <c r="J118" s="198" t="s">
        <v>2609</v>
      </c>
      <c r="K118" s="201" t="s">
        <v>546</v>
      </c>
      <c r="L118" s="275" t="s">
        <v>236</v>
      </c>
      <c r="M118" s="198" t="s">
        <v>4495</v>
      </c>
    </row>
    <row r="119" spans="1:13" ht="409.5">
      <c r="A119" s="198" t="str">
        <f t="shared" si="1"/>
        <v>DefinitionsC18</v>
      </c>
      <c r="B119" s="198" t="s">
        <v>1841</v>
      </c>
      <c r="C119" s="198" t="s">
        <v>1878</v>
      </c>
      <c r="D119" s="198" t="s">
        <v>1923</v>
      </c>
      <c r="E119" s="200" t="s">
        <v>744</v>
      </c>
      <c r="F119" s="200" t="s">
        <v>4129</v>
      </c>
      <c r="G119" s="198" t="s">
        <v>987</v>
      </c>
      <c r="H119" s="285" t="s">
        <v>427</v>
      </c>
      <c r="I119" s="198" t="s">
        <v>307</v>
      </c>
      <c r="J119" s="198" t="s">
        <v>2610</v>
      </c>
      <c r="K119" s="201" t="s">
        <v>547</v>
      </c>
      <c r="L119" s="275" t="s">
        <v>237</v>
      </c>
      <c r="M119" s="198" t="s">
        <v>4496</v>
      </c>
    </row>
    <row r="120" spans="1:13" ht="327.75">
      <c r="A120" s="198" t="str">
        <f t="shared" si="1"/>
        <v>DefinitionsC19</v>
      </c>
      <c r="B120" s="198" t="s">
        <v>1841</v>
      </c>
      <c r="C120" s="198" t="s">
        <v>1879</v>
      </c>
      <c r="D120" s="198" t="s">
        <v>1926</v>
      </c>
      <c r="E120" s="200" t="s">
        <v>745</v>
      </c>
      <c r="F120" s="286" t="s">
        <v>863</v>
      </c>
      <c r="G120" s="198" t="s">
        <v>988</v>
      </c>
      <c r="H120" s="198" t="s">
        <v>428</v>
      </c>
      <c r="I120" s="198" t="s">
        <v>308</v>
      </c>
      <c r="J120" s="198" t="s">
        <v>2611</v>
      </c>
      <c r="K120" s="201" t="s">
        <v>548</v>
      </c>
      <c r="L120" s="275" t="s">
        <v>238</v>
      </c>
      <c r="M120" s="198" t="s">
        <v>4497</v>
      </c>
    </row>
    <row r="121" spans="1:13" ht="171">
      <c r="A121" s="198" t="str">
        <f t="shared" si="1"/>
        <v>DefinitionsC20</v>
      </c>
      <c r="B121" s="198" t="s">
        <v>1841</v>
      </c>
      <c r="C121" s="198" t="s">
        <v>1880</v>
      </c>
      <c r="D121" s="198" t="s">
        <v>1928</v>
      </c>
      <c r="E121" s="200" t="s">
        <v>746</v>
      </c>
      <c r="F121" s="286" t="s">
        <v>864</v>
      </c>
      <c r="G121" s="198" t="s">
        <v>989</v>
      </c>
      <c r="H121" s="198" t="s">
        <v>429</v>
      </c>
      <c r="I121" s="198" t="s">
        <v>309</v>
      </c>
      <c r="J121" s="198" t="s">
        <v>2612</v>
      </c>
      <c r="K121" s="201" t="s">
        <v>549</v>
      </c>
      <c r="L121" s="275" t="s">
        <v>239</v>
      </c>
      <c r="M121" s="198" t="s">
        <v>4498</v>
      </c>
    </row>
    <row r="122" spans="1:13" ht="358.5">
      <c r="A122" s="198" t="str">
        <f t="shared" si="1"/>
        <v>DefinitionsC21</v>
      </c>
      <c r="B122" s="198" t="s">
        <v>1841</v>
      </c>
      <c r="C122" s="198" t="s">
        <v>1881</v>
      </c>
      <c r="D122" s="198" t="s">
        <v>1930</v>
      </c>
      <c r="E122" s="200" t="s">
        <v>747</v>
      </c>
      <c r="F122" s="286" t="s">
        <v>595</v>
      </c>
      <c r="G122" s="198" t="s">
        <v>990</v>
      </c>
      <c r="H122" s="282" t="s">
        <v>2802</v>
      </c>
      <c r="I122" s="198" t="s">
        <v>310</v>
      </c>
      <c r="J122" s="198" t="s">
        <v>2613</v>
      </c>
      <c r="K122" s="201" t="s">
        <v>550</v>
      </c>
      <c r="L122" s="275" t="s">
        <v>240</v>
      </c>
      <c r="M122" s="198" t="s">
        <v>4499</v>
      </c>
    </row>
    <row r="123" spans="1:13" ht="327.75">
      <c r="A123" s="198" t="str">
        <f t="shared" si="1"/>
        <v>DefinitionsC22</v>
      </c>
      <c r="B123" s="198" t="s">
        <v>1841</v>
      </c>
      <c r="C123" s="198" t="s">
        <v>1882</v>
      </c>
      <c r="D123" s="198" t="s">
        <v>1111</v>
      </c>
      <c r="E123" s="200" t="s">
        <v>748</v>
      </c>
      <c r="F123" s="286" t="s">
        <v>596</v>
      </c>
      <c r="G123" s="198" t="s">
        <v>991</v>
      </c>
      <c r="H123" s="282" t="s">
        <v>430</v>
      </c>
      <c r="I123" s="198" t="s">
        <v>311</v>
      </c>
      <c r="J123" s="198" t="s">
        <v>2614</v>
      </c>
      <c r="K123" s="201" t="s">
        <v>551</v>
      </c>
      <c r="L123" s="275" t="s">
        <v>241</v>
      </c>
      <c r="M123" s="198" t="s">
        <v>4500</v>
      </c>
    </row>
    <row r="124" spans="1:13" ht="28.5">
      <c r="A124" s="198" t="str">
        <f t="shared" si="1"/>
        <v>DefinitionsC23</v>
      </c>
      <c r="B124" s="198" t="s">
        <v>1841</v>
      </c>
      <c r="C124" s="198" t="s">
        <v>1883</v>
      </c>
      <c r="D124" s="198" t="s">
        <v>1113</v>
      </c>
      <c r="E124" s="198" t="s">
        <v>1535</v>
      </c>
      <c r="F124" s="200" t="s">
        <v>2028</v>
      </c>
      <c r="G124" s="198" t="s">
        <v>1489</v>
      </c>
      <c r="H124" s="198" t="s">
        <v>1490</v>
      </c>
      <c r="I124" s="198" t="s">
        <v>312</v>
      </c>
      <c r="J124" s="198" t="s">
        <v>1491</v>
      </c>
      <c r="K124" s="201" t="s">
        <v>552</v>
      </c>
      <c r="L124" s="275" t="s">
        <v>1168</v>
      </c>
      <c r="M124" s="198" t="s">
        <v>4501</v>
      </c>
    </row>
    <row r="125" spans="1:13" ht="99.75">
      <c r="A125" s="198" t="str">
        <f t="shared" si="1"/>
        <v>DefinitionsC24</v>
      </c>
      <c r="B125" s="198" t="s">
        <v>1841</v>
      </c>
      <c r="C125" s="198" t="s">
        <v>1114</v>
      </c>
      <c r="D125" s="198" t="s">
        <v>1838</v>
      </c>
      <c r="E125" s="200" t="s">
        <v>749</v>
      </c>
      <c r="F125" s="200" t="s">
        <v>1492</v>
      </c>
      <c r="G125" s="198" t="s">
        <v>1493</v>
      </c>
      <c r="H125" s="198" t="s">
        <v>431</v>
      </c>
      <c r="I125" s="198" t="s">
        <v>313</v>
      </c>
      <c r="J125" s="198" t="s">
        <v>1494</v>
      </c>
      <c r="K125" s="201" t="s">
        <v>553</v>
      </c>
      <c r="L125" s="275" t="s">
        <v>1169</v>
      </c>
      <c r="M125" s="198" t="s">
        <v>4502</v>
      </c>
    </row>
    <row r="126" spans="1:13" ht="213.75">
      <c r="A126" s="198" t="str">
        <f t="shared" si="1"/>
        <v>DefinitionsC25</v>
      </c>
      <c r="B126" s="198" t="s">
        <v>1841</v>
      </c>
      <c r="C126" s="198" t="s">
        <v>1115</v>
      </c>
      <c r="D126" s="198" t="s">
        <v>1119</v>
      </c>
      <c r="E126" s="200" t="s">
        <v>750</v>
      </c>
      <c r="F126" s="200" t="s">
        <v>597</v>
      </c>
      <c r="G126" s="198" t="s">
        <v>992</v>
      </c>
      <c r="H126" s="198" t="s">
        <v>2803</v>
      </c>
      <c r="I126" s="198" t="s">
        <v>314</v>
      </c>
      <c r="J126" s="198" t="s">
        <v>2615</v>
      </c>
      <c r="K126" s="201" t="s">
        <v>554</v>
      </c>
      <c r="L126" s="275" t="s">
        <v>242</v>
      </c>
      <c r="M126" s="198" t="s">
        <v>4503</v>
      </c>
    </row>
    <row r="127" spans="1:13" ht="28.5">
      <c r="A127" s="198" t="str">
        <f t="shared" si="1"/>
        <v>DefinitionsC26</v>
      </c>
      <c r="B127" s="198" t="s">
        <v>1841</v>
      </c>
      <c r="C127" s="198" t="s">
        <v>1118</v>
      </c>
      <c r="D127" s="198" t="s">
        <v>1122</v>
      </c>
      <c r="E127" s="200" t="s">
        <v>751</v>
      </c>
      <c r="F127" s="200" t="s">
        <v>598</v>
      </c>
      <c r="G127" s="198" t="s">
        <v>2016</v>
      </c>
      <c r="H127" s="198" t="s">
        <v>1122</v>
      </c>
      <c r="I127" s="198" t="s">
        <v>315</v>
      </c>
      <c r="J127" s="198" t="s">
        <v>1122</v>
      </c>
      <c r="K127" s="201" t="s">
        <v>1122</v>
      </c>
      <c r="L127" s="275" t="s">
        <v>1122</v>
      </c>
      <c r="M127" s="198" t="s">
        <v>4504</v>
      </c>
    </row>
    <row r="128" spans="1:13" ht="189.75">
      <c r="A128" s="198" t="str">
        <f t="shared" si="1"/>
        <v>DefinitionsC27</v>
      </c>
      <c r="B128" s="198" t="s">
        <v>1841</v>
      </c>
      <c r="C128" s="198" t="s">
        <v>1121</v>
      </c>
      <c r="D128" s="198" t="s">
        <v>1125</v>
      </c>
      <c r="E128" s="200" t="s">
        <v>752</v>
      </c>
      <c r="F128" s="200" t="s">
        <v>599</v>
      </c>
      <c r="G128" s="198" t="s">
        <v>993</v>
      </c>
      <c r="H128" s="198" t="s">
        <v>2778</v>
      </c>
      <c r="I128" s="198" t="s">
        <v>316</v>
      </c>
      <c r="J128" s="198" t="s">
        <v>2642</v>
      </c>
      <c r="K128" s="201" t="s">
        <v>555</v>
      </c>
      <c r="L128" s="275" t="s">
        <v>243</v>
      </c>
      <c r="M128" s="198" t="s">
        <v>4505</v>
      </c>
    </row>
    <row r="129" spans="1:13" ht="128.25">
      <c r="A129" s="198" t="str">
        <f>B129&amp;C129</f>
        <v>DefinitionsC28</v>
      </c>
      <c r="B129" s="198" t="s">
        <v>1841</v>
      </c>
      <c r="C129" s="198" t="s">
        <v>1124</v>
      </c>
      <c r="D129" s="198" t="s">
        <v>1129</v>
      </c>
      <c r="E129" s="200" t="s">
        <v>753</v>
      </c>
      <c r="F129" s="200" t="s">
        <v>600</v>
      </c>
      <c r="G129" s="198" t="s">
        <v>994</v>
      </c>
      <c r="H129" s="198" t="s">
        <v>719</v>
      </c>
      <c r="I129" s="198" t="s">
        <v>317</v>
      </c>
      <c r="J129" s="198" t="s">
        <v>2643</v>
      </c>
      <c r="K129" s="201" t="s">
        <v>556</v>
      </c>
      <c r="L129" s="275" t="s">
        <v>244</v>
      </c>
      <c r="M129" s="198" t="s">
        <v>4506</v>
      </c>
    </row>
    <row r="130" spans="1:13" ht="252">
      <c r="A130" s="198" t="str">
        <f t="shared" si="1"/>
        <v>DefinitionsC29</v>
      </c>
      <c r="B130" s="198" t="s">
        <v>1841</v>
      </c>
      <c r="C130" s="198" t="s">
        <v>1127</v>
      </c>
      <c r="D130" s="198" t="s">
        <v>1133</v>
      </c>
      <c r="E130" s="200" t="s">
        <v>754</v>
      </c>
      <c r="F130" s="200" t="s">
        <v>4225</v>
      </c>
      <c r="G130" s="198" t="s">
        <v>995</v>
      </c>
      <c r="H130" s="198" t="s">
        <v>2779</v>
      </c>
      <c r="I130" s="198" t="s">
        <v>318</v>
      </c>
      <c r="J130" s="198" t="s">
        <v>2616</v>
      </c>
      <c r="K130" s="201" t="s">
        <v>557</v>
      </c>
      <c r="L130" s="275" t="s">
        <v>245</v>
      </c>
      <c r="M130" s="198" t="s">
        <v>4507</v>
      </c>
    </row>
    <row r="131" spans="1:13" ht="270.75">
      <c r="A131" s="198" t="str">
        <f t="shared" si="1"/>
        <v>DefinitionsC30</v>
      </c>
      <c r="B131" s="198" t="s">
        <v>1841</v>
      </c>
      <c r="C131" s="198" t="s">
        <v>1132</v>
      </c>
      <c r="D131" s="198" t="s">
        <v>1136</v>
      </c>
      <c r="E131" s="287" t="s">
        <v>4227</v>
      </c>
      <c r="F131" s="288" t="s">
        <v>4226</v>
      </c>
      <c r="G131" s="198" t="s">
        <v>996</v>
      </c>
      <c r="H131" s="200" t="s">
        <v>432</v>
      </c>
      <c r="I131" s="198" t="s">
        <v>319</v>
      </c>
      <c r="J131" s="198" t="s">
        <v>2617</v>
      </c>
      <c r="K131" s="201" t="s">
        <v>558</v>
      </c>
      <c r="L131" s="275" t="s">
        <v>246</v>
      </c>
      <c r="M131" s="198" t="s">
        <v>4508</v>
      </c>
    </row>
    <row r="132" spans="1:13" ht="256.5">
      <c r="A132" s="198" t="str">
        <f t="shared" si="1"/>
        <v>DefinitionsC31</v>
      </c>
      <c r="B132" s="198" t="s">
        <v>1841</v>
      </c>
      <c r="C132" s="198" t="s">
        <v>1135</v>
      </c>
      <c r="D132" s="198" t="s">
        <v>792</v>
      </c>
      <c r="E132" s="200" t="s">
        <v>755</v>
      </c>
      <c r="F132" s="200" t="s">
        <v>4228</v>
      </c>
      <c r="G132" s="198" t="s">
        <v>997</v>
      </c>
      <c r="H132" s="200" t="s">
        <v>433</v>
      </c>
      <c r="I132" s="198" t="s">
        <v>320</v>
      </c>
      <c r="J132" s="198" t="s">
        <v>2644</v>
      </c>
      <c r="K132" s="201" t="s">
        <v>559</v>
      </c>
      <c r="L132" s="275" t="s">
        <v>247</v>
      </c>
      <c r="M132" s="198" t="s">
        <v>4509</v>
      </c>
    </row>
    <row r="133" spans="1:13" ht="28.5">
      <c r="A133" s="198" t="str">
        <f t="shared" si="1"/>
        <v>DeclarationD2</v>
      </c>
      <c r="B133" s="198" t="s">
        <v>1884</v>
      </c>
      <c r="C133" s="198" t="s">
        <v>1894</v>
      </c>
      <c r="D133" s="198" t="s">
        <v>793</v>
      </c>
      <c r="E133" s="198" t="s">
        <v>793</v>
      </c>
      <c r="F133" s="200" t="s">
        <v>793</v>
      </c>
      <c r="G133" s="198" t="s">
        <v>793</v>
      </c>
      <c r="H133" s="198" t="s">
        <v>793</v>
      </c>
      <c r="I133" s="198" t="s">
        <v>793</v>
      </c>
      <c r="J133" s="198" t="s">
        <v>793</v>
      </c>
      <c r="K133" s="198" t="s">
        <v>793</v>
      </c>
      <c r="L133" s="275" t="s">
        <v>793</v>
      </c>
      <c r="M133" s="275" t="s">
        <v>793</v>
      </c>
    </row>
    <row r="134" spans="1:13" s="225" customFormat="1" ht="28.5">
      <c r="A134" s="198" t="str">
        <f t="shared" si="1"/>
        <v>DeclarationF3</v>
      </c>
      <c r="B134" s="198" t="s">
        <v>1884</v>
      </c>
      <c r="C134" s="198" t="s">
        <v>3600</v>
      </c>
      <c r="D134" s="198" t="s">
        <v>3601</v>
      </c>
      <c r="E134" s="198" t="s">
        <v>3617</v>
      </c>
      <c r="F134" s="198" t="s">
        <v>3618</v>
      </c>
      <c r="G134" s="198" t="s">
        <v>3619</v>
      </c>
      <c r="H134" s="198" t="s">
        <v>3620</v>
      </c>
      <c r="I134" s="198" t="s">
        <v>3621</v>
      </c>
      <c r="J134" s="198" t="s">
        <v>3622</v>
      </c>
      <c r="K134" s="198" t="s">
        <v>3623</v>
      </c>
      <c r="L134" s="198" t="s">
        <v>3624</v>
      </c>
      <c r="M134" s="198" t="s">
        <v>4510</v>
      </c>
    </row>
    <row r="135" spans="1:13" s="225" customFormat="1" ht="28.5">
      <c r="A135" s="198" t="str">
        <f t="shared" si="1"/>
        <v>DeclarationI3</v>
      </c>
      <c r="B135" s="198" t="s">
        <v>1884</v>
      </c>
      <c r="C135" s="198" t="s">
        <v>3602</v>
      </c>
      <c r="D135" s="198" t="s">
        <v>3603</v>
      </c>
      <c r="E135" s="198" t="s">
        <v>3625</v>
      </c>
      <c r="F135" s="198" t="s">
        <v>3626</v>
      </c>
      <c r="G135" s="198" t="s">
        <v>3627</v>
      </c>
      <c r="H135" s="198" t="s">
        <v>3628</v>
      </c>
      <c r="I135" s="198" t="s">
        <v>3629</v>
      </c>
      <c r="J135" s="198" t="s">
        <v>3630</v>
      </c>
      <c r="K135" s="198" t="s">
        <v>3631</v>
      </c>
      <c r="L135" s="198" t="s">
        <v>3632</v>
      </c>
      <c r="M135" s="198" t="s">
        <v>4511</v>
      </c>
    </row>
    <row r="136" spans="1:13" s="225" customFormat="1">
      <c r="A136" s="198" t="str">
        <f t="shared" si="1"/>
        <v>DeclarationI4</v>
      </c>
      <c r="B136" s="198" t="s">
        <v>1884</v>
      </c>
      <c r="C136" s="198" t="s">
        <v>2539</v>
      </c>
      <c r="D136" s="198" t="s">
        <v>1826</v>
      </c>
      <c r="E136" s="198" t="s">
        <v>3633</v>
      </c>
      <c r="F136" s="198" t="s">
        <v>3634</v>
      </c>
      <c r="G136" s="198" t="s">
        <v>3635</v>
      </c>
      <c r="H136" s="198" t="s">
        <v>3636</v>
      </c>
      <c r="I136" s="198" t="s">
        <v>3637</v>
      </c>
      <c r="J136" s="198" t="s">
        <v>3638</v>
      </c>
      <c r="K136" s="198" t="s">
        <v>3639</v>
      </c>
      <c r="L136" s="198" t="s">
        <v>3640</v>
      </c>
      <c r="M136" s="198" t="s">
        <v>4512</v>
      </c>
    </row>
    <row r="137" spans="1:13" ht="71.25">
      <c r="A137" s="198" t="str">
        <f t="shared" si="1"/>
        <v>DeclarationB4</v>
      </c>
      <c r="B137" s="198" t="s">
        <v>1884</v>
      </c>
      <c r="C137" s="198" t="s">
        <v>1843</v>
      </c>
      <c r="D137" s="198" t="s">
        <v>1502</v>
      </c>
      <c r="E137" s="198" t="s">
        <v>756</v>
      </c>
      <c r="F137" s="200" t="s">
        <v>2029</v>
      </c>
      <c r="G137" s="198" t="s">
        <v>1541</v>
      </c>
      <c r="H137" s="198" t="s">
        <v>680</v>
      </c>
      <c r="I137" s="198" t="s">
        <v>321</v>
      </c>
      <c r="J137" s="198" t="s">
        <v>2618</v>
      </c>
      <c r="K137" s="201" t="s">
        <v>560</v>
      </c>
      <c r="L137" s="275" t="s">
        <v>873</v>
      </c>
      <c r="M137" s="198" t="s">
        <v>4513</v>
      </c>
    </row>
    <row r="138" spans="1:13" ht="28.5">
      <c r="A138" s="198" t="str">
        <f t="shared" si="1"/>
        <v>DeclarationB6</v>
      </c>
      <c r="B138" s="198" t="s">
        <v>1884</v>
      </c>
      <c r="C138" s="198" t="s">
        <v>1845</v>
      </c>
      <c r="D138" s="198" t="s">
        <v>4948</v>
      </c>
      <c r="E138" s="198" t="s">
        <v>4956</v>
      </c>
      <c r="F138" s="200" t="s">
        <v>4962</v>
      </c>
      <c r="G138" s="198" t="s">
        <v>4968</v>
      </c>
      <c r="H138" s="198" t="s">
        <v>4974</v>
      </c>
      <c r="I138" s="198" t="s">
        <v>4980</v>
      </c>
      <c r="J138" s="198" t="s">
        <v>4986</v>
      </c>
      <c r="K138" s="201" t="s">
        <v>4992</v>
      </c>
      <c r="L138" s="275" t="s">
        <v>4998</v>
      </c>
      <c r="M138" s="198" t="s">
        <v>5004</v>
      </c>
    </row>
    <row r="139" spans="1:13" ht="99.75">
      <c r="A139" s="198" t="str">
        <f t="shared" si="1"/>
        <v>DeclarationB7</v>
      </c>
      <c r="B139" s="198" t="s">
        <v>1884</v>
      </c>
      <c r="C139" s="198" t="s">
        <v>1846</v>
      </c>
      <c r="D139" s="198" t="s">
        <v>1956</v>
      </c>
      <c r="E139" s="198" t="s">
        <v>1800</v>
      </c>
      <c r="F139" s="200" t="s">
        <v>1801</v>
      </c>
      <c r="G139" s="198" t="s">
        <v>1802</v>
      </c>
      <c r="H139" s="198" t="s">
        <v>681</v>
      </c>
      <c r="I139" s="198" t="s">
        <v>322</v>
      </c>
      <c r="J139" s="198" t="s">
        <v>2472</v>
      </c>
      <c r="K139" s="201" t="s">
        <v>561</v>
      </c>
      <c r="L139" s="275" t="s">
        <v>874</v>
      </c>
      <c r="M139" s="198" t="s">
        <v>4514</v>
      </c>
    </row>
    <row r="140" spans="1:13" ht="17.25">
      <c r="A140" s="198" t="str">
        <f t="shared" si="1"/>
        <v>DeclarationB8</v>
      </c>
      <c r="B140" s="198" t="s">
        <v>1884</v>
      </c>
      <c r="C140" s="198" t="s">
        <v>1847</v>
      </c>
      <c r="D140" s="198" t="s">
        <v>1499</v>
      </c>
      <c r="E140" s="198" t="s">
        <v>2780</v>
      </c>
      <c r="F140" s="200" t="s">
        <v>2032</v>
      </c>
      <c r="G140" s="198" t="s">
        <v>2017</v>
      </c>
      <c r="H140" s="198" t="s">
        <v>1542</v>
      </c>
      <c r="I140" s="198" t="s">
        <v>323</v>
      </c>
      <c r="J140" s="198" t="s">
        <v>1543</v>
      </c>
      <c r="K140" s="201" t="s">
        <v>562</v>
      </c>
      <c r="L140" s="275" t="s">
        <v>875</v>
      </c>
      <c r="M140" s="198" t="s">
        <v>4515</v>
      </c>
    </row>
    <row r="141" spans="1:13" ht="17.25">
      <c r="A141" s="198" t="str">
        <f t="shared" si="1"/>
        <v>DeclarationB9</v>
      </c>
      <c r="B141" s="198" t="s">
        <v>1884</v>
      </c>
      <c r="C141" s="198" t="s">
        <v>1848</v>
      </c>
      <c r="D141" s="198" t="s">
        <v>934</v>
      </c>
      <c r="E141" s="200" t="s">
        <v>478</v>
      </c>
      <c r="F141" s="200" t="s">
        <v>601</v>
      </c>
      <c r="G141" s="198" t="s">
        <v>998</v>
      </c>
      <c r="H141" s="198" t="s">
        <v>1544</v>
      </c>
      <c r="I141" s="198" t="s">
        <v>324</v>
      </c>
      <c r="J141" s="198" t="s">
        <v>4193</v>
      </c>
      <c r="K141" s="201" t="s">
        <v>563</v>
      </c>
      <c r="L141" s="275" t="s">
        <v>876</v>
      </c>
      <c r="M141" s="198" t="s">
        <v>4516</v>
      </c>
    </row>
    <row r="142" spans="1:13" ht="28.5">
      <c r="A142" s="198" t="str">
        <f t="shared" si="1"/>
        <v>DeclarationB10</v>
      </c>
      <c r="B142" s="198" t="s">
        <v>1884</v>
      </c>
      <c r="C142" s="198" t="s">
        <v>951</v>
      </c>
      <c r="D142" s="198" t="s">
        <v>948</v>
      </c>
      <c r="E142" s="198" t="s">
        <v>757</v>
      </c>
      <c r="F142" s="200" t="s">
        <v>602</v>
      </c>
      <c r="G142" s="198" t="s">
        <v>999</v>
      </c>
      <c r="H142" s="198" t="s">
        <v>952</v>
      </c>
      <c r="I142" s="198" t="s">
        <v>325</v>
      </c>
      <c r="J142" s="198" t="s">
        <v>4194</v>
      </c>
      <c r="K142" s="201" t="s">
        <v>564</v>
      </c>
      <c r="L142" s="275" t="s">
        <v>955</v>
      </c>
      <c r="M142" s="198" t="s">
        <v>4517</v>
      </c>
    </row>
    <row r="143" spans="1:13" ht="28.5">
      <c r="A143" s="198" t="str">
        <f>B143&amp;C143</f>
        <v>DeclarationB10A</v>
      </c>
      <c r="B143" s="198" t="s">
        <v>1884</v>
      </c>
      <c r="C143" s="198" t="s">
        <v>2781</v>
      </c>
      <c r="D143" s="198" t="s">
        <v>948</v>
      </c>
      <c r="E143" s="198" t="s">
        <v>757</v>
      </c>
      <c r="F143" s="200" t="s">
        <v>602</v>
      </c>
      <c r="G143" s="198" t="s">
        <v>999</v>
      </c>
      <c r="H143" s="198" t="s">
        <v>952</v>
      </c>
      <c r="I143" s="198" t="s">
        <v>325</v>
      </c>
      <c r="J143" s="198" t="s">
        <v>4194</v>
      </c>
      <c r="K143" s="201" t="s">
        <v>564</v>
      </c>
      <c r="L143" s="275" t="s">
        <v>955</v>
      </c>
      <c r="M143" s="198" t="s">
        <v>4517</v>
      </c>
    </row>
    <row r="144" spans="1:13" ht="28.5">
      <c r="A144" s="198" t="str">
        <f>B144&amp;C144</f>
        <v>DeclarationB10C</v>
      </c>
      <c r="B144" s="198" t="s">
        <v>1884</v>
      </c>
      <c r="C144" s="198" t="s">
        <v>2782</v>
      </c>
      <c r="D144" s="198" t="s">
        <v>949</v>
      </c>
      <c r="E144" s="198" t="s">
        <v>2783</v>
      </c>
      <c r="F144" s="200" t="s">
        <v>603</v>
      </c>
      <c r="G144" s="198" t="s">
        <v>1000</v>
      </c>
      <c r="H144" s="198" t="s">
        <v>953</v>
      </c>
      <c r="I144" s="198" t="s">
        <v>326</v>
      </c>
      <c r="J144" s="198" t="s">
        <v>4195</v>
      </c>
      <c r="K144" s="201" t="s">
        <v>565</v>
      </c>
      <c r="L144" s="275" t="s">
        <v>956</v>
      </c>
      <c r="M144" s="198" t="s">
        <v>4518</v>
      </c>
    </row>
    <row r="145" spans="1:13" ht="42.75">
      <c r="A145" s="198" t="str">
        <f>B145&amp;C145</f>
        <v>DeclarationB10B</v>
      </c>
      <c r="B145" s="198" t="s">
        <v>1884</v>
      </c>
      <c r="C145" s="198" t="s">
        <v>2784</v>
      </c>
      <c r="D145" s="198" t="s">
        <v>950</v>
      </c>
      <c r="E145" s="200" t="s">
        <v>758</v>
      </c>
      <c r="F145" s="200" t="s">
        <v>514</v>
      </c>
      <c r="G145" s="198" t="s">
        <v>1001</v>
      </c>
      <c r="H145" s="198" t="s">
        <v>682</v>
      </c>
      <c r="I145" s="198" t="s">
        <v>327</v>
      </c>
      <c r="J145" s="198" t="s">
        <v>954</v>
      </c>
      <c r="K145" s="201" t="s">
        <v>566</v>
      </c>
      <c r="L145" s="275" t="s">
        <v>957</v>
      </c>
      <c r="M145" s="198" t="s">
        <v>4519</v>
      </c>
    </row>
    <row r="146" spans="1:13" s="225" customFormat="1" ht="42.75">
      <c r="A146" s="198" t="str">
        <f>B146&amp;C146</f>
        <v>DeclarationD11</v>
      </c>
      <c r="B146" s="198" t="s">
        <v>1884</v>
      </c>
      <c r="C146" s="198" t="s">
        <v>3116</v>
      </c>
      <c r="D146" s="198" t="s">
        <v>3115</v>
      </c>
      <c r="E146" s="198" t="s">
        <v>3641</v>
      </c>
      <c r="F146" s="198" t="s">
        <v>3642</v>
      </c>
      <c r="G146" s="198" t="s">
        <v>3643</v>
      </c>
      <c r="H146" s="198" t="s">
        <v>3644</v>
      </c>
      <c r="I146" s="198" t="s">
        <v>3645</v>
      </c>
      <c r="J146" s="198" t="s">
        <v>3646</v>
      </c>
      <c r="K146" s="198" t="s">
        <v>3647</v>
      </c>
      <c r="L146" s="198" t="s">
        <v>3648</v>
      </c>
      <c r="M146" s="198" t="s">
        <v>4520</v>
      </c>
    </row>
    <row r="147" spans="1:13" ht="42.75">
      <c r="A147" s="198" t="str">
        <f t="shared" si="1"/>
        <v>DeclarationB12</v>
      </c>
      <c r="B147" s="198" t="s">
        <v>1884</v>
      </c>
      <c r="C147" s="198" t="s">
        <v>1851</v>
      </c>
      <c r="D147" s="198" t="s">
        <v>895</v>
      </c>
      <c r="E147" s="200" t="s">
        <v>759</v>
      </c>
      <c r="F147" s="200" t="s">
        <v>2033</v>
      </c>
      <c r="G147" s="198" t="s">
        <v>2018</v>
      </c>
      <c r="H147" s="198" t="s">
        <v>683</v>
      </c>
      <c r="I147" s="198" t="s">
        <v>328</v>
      </c>
      <c r="J147" s="198" t="s">
        <v>4196</v>
      </c>
      <c r="K147" s="201" t="s">
        <v>567</v>
      </c>
      <c r="L147" s="275" t="s">
        <v>877</v>
      </c>
      <c r="M147" s="198" t="s">
        <v>4521</v>
      </c>
    </row>
    <row r="148" spans="1:13" ht="28.5">
      <c r="A148" s="198" t="str">
        <f t="shared" si="1"/>
        <v>DeclarationB13</v>
      </c>
      <c r="B148" s="198" t="s">
        <v>1884</v>
      </c>
      <c r="C148" s="198" t="s">
        <v>1852</v>
      </c>
      <c r="D148" s="198" t="s">
        <v>896</v>
      </c>
      <c r="E148" s="200" t="s">
        <v>760</v>
      </c>
      <c r="F148" s="200" t="s">
        <v>604</v>
      </c>
      <c r="G148" s="198" t="s">
        <v>1002</v>
      </c>
      <c r="H148" s="198" t="s">
        <v>684</v>
      </c>
      <c r="I148" s="198" t="s">
        <v>329</v>
      </c>
      <c r="J148" s="198" t="s">
        <v>4197</v>
      </c>
      <c r="K148" s="201" t="s">
        <v>568</v>
      </c>
      <c r="L148" s="275" t="s">
        <v>79</v>
      </c>
      <c r="M148" s="198" t="s">
        <v>4522</v>
      </c>
    </row>
    <row r="149" spans="1:13" ht="28.5">
      <c r="A149" s="198" t="str">
        <f t="shared" si="1"/>
        <v>DeclarationB14</v>
      </c>
      <c r="B149" s="198" t="s">
        <v>1884</v>
      </c>
      <c r="C149" s="198" t="s">
        <v>1853</v>
      </c>
      <c r="D149" s="198" t="s">
        <v>1496</v>
      </c>
      <c r="E149" s="200" t="s">
        <v>761</v>
      </c>
      <c r="F149" s="200" t="s">
        <v>2034</v>
      </c>
      <c r="G149" s="198" t="s">
        <v>2019</v>
      </c>
      <c r="H149" s="198" t="s">
        <v>1545</v>
      </c>
      <c r="I149" s="198" t="s">
        <v>330</v>
      </c>
      <c r="J149" s="198" t="s">
        <v>1545</v>
      </c>
      <c r="K149" s="201" t="s">
        <v>569</v>
      </c>
      <c r="L149" s="275" t="s">
        <v>878</v>
      </c>
      <c r="M149" s="198" t="s">
        <v>4523</v>
      </c>
    </row>
    <row r="150" spans="1:13" ht="28.5">
      <c r="A150" s="198" t="str">
        <f t="shared" si="1"/>
        <v>DeclarationB15</v>
      </c>
      <c r="B150" s="198" t="s">
        <v>1884</v>
      </c>
      <c r="C150" s="198" t="s">
        <v>1854</v>
      </c>
      <c r="D150" s="198" t="s">
        <v>897</v>
      </c>
      <c r="E150" s="198" t="s">
        <v>2785</v>
      </c>
      <c r="F150" s="200" t="s">
        <v>605</v>
      </c>
      <c r="G150" s="198" t="s">
        <v>1546</v>
      </c>
      <c r="H150" s="198" t="s">
        <v>685</v>
      </c>
      <c r="I150" s="198" t="s">
        <v>331</v>
      </c>
      <c r="J150" s="198" t="s">
        <v>4198</v>
      </c>
      <c r="K150" s="201" t="s">
        <v>570</v>
      </c>
      <c r="L150" s="275" t="s">
        <v>248</v>
      </c>
      <c r="M150" s="198" t="s">
        <v>4524</v>
      </c>
    </row>
    <row r="151" spans="1:13" ht="28.5">
      <c r="A151" s="198" t="str">
        <f t="shared" si="1"/>
        <v>DeclarationB16</v>
      </c>
      <c r="B151" s="198" t="s">
        <v>1884</v>
      </c>
      <c r="C151" s="198" t="s">
        <v>1855</v>
      </c>
      <c r="D151" s="198" t="s">
        <v>898</v>
      </c>
      <c r="E151" s="198" t="s">
        <v>2786</v>
      </c>
      <c r="F151" s="200" t="s">
        <v>606</v>
      </c>
      <c r="G151" s="198" t="s">
        <v>2020</v>
      </c>
      <c r="H151" s="198" t="s">
        <v>686</v>
      </c>
      <c r="I151" s="198" t="s">
        <v>332</v>
      </c>
      <c r="J151" s="198" t="s">
        <v>4199</v>
      </c>
      <c r="K151" s="201" t="s">
        <v>571</v>
      </c>
      <c r="L151" s="275" t="s">
        <v>249</v>
      </c>
      <c r="M151" s="198" t="s">
        <v>4525</v>
      </c>
    </row>
    <row r="152" spans="1:13" ht="28.5">
      <c r="A152" s="198" t="str">
        <f t="shared" si="1"/>
        <v>DeclarationB17</v>
      </c>
      <c r="B152" s="198" t="s">
        <v>1884</v>
      </c>
      <c r="C152" s="198" t="s">
        <v>1856</v>
      </c>
      <c r="D152" s="198" t="s">
        <v>899</v>
      </c>
      <c r="E152" s="198" t="s">
        <v>2787</v>
      </c>
      <c r="F152" s="200" t="s">
        <v>607</v>
      </c>
      <c r="G152" s="198" t="s">
        <v>1003</v>
      </c>
      <c r="H152" s="198" t="s">
        <v>687</v>
      </c>
      <c r="I152" s="198" t="s">
        <v>333</v>
      </c>
      <c r="J152" s="198" t="s">
        <v>4200</v>
      </c>
      <c r="K152" s="201" t="s">
        <v>572</v>
      </c>
      <c r="L152" s="275" t="s">
        <v>250</v>
      </c>
      <c r="M152" s="198" t="s">
        <v>4526</v>
      </c>
    </row>
    <row r="153" spans="1:13" ht="28.5">
      <c r="A153" s="198" t="str">
        <f t="shared" si="1"/>
        <v>DeclarationB18</v>
      </c>
      <c r="B153" s="198" t="s">
        <v>1884</v>
      </c>
      <c r="C153" s="198" t="s">
        <v>1857</v>
      </c>
      <c r="D153" s="198" t="s">
        <v>938</v>
      </c>
      <c r="E153" s="198" t="s">
        <v>2788</v>
      </c>
      <c r="F153" s="200" t="s">
        <v>1895</v>
      </c>
      <c r="G153" s="198" t="s">
        <v>1004</v>
      </c>
      <c r="H153" s="198" t="s">
        <v>185</v>
      </c>
      <c r="I153" s="198" t="s">
        <v>334</v>
      </c>
      <c r="J153" s="198" t="s">
        <v>2649</v>
      </c>
      <c r="K153" s="201" t="s">
        <v>573</v>
      </c>
      <c r="L153" s="275" t="s">
        <v>251</v>
      </c>
      <c r="M153" s="198" t="s">
        <v>4527</v>
      </c>
    </row>
    <row r="154" spans="1:13" ht="28.5">
      <c r="A154" s="198" t="str">
        <f t="shared" si="1"/>
        <v>DeclarationB19</v>
      </c>
      <c r="B154" s="198" t="s">
        <v>1884</v>
      </c>
      <c r="C154" s="198" t="s">
        <v>1858</v>
      </c>
      <c r="D154" s="198" t="s">
        <v>939</v>
      </c>
      <c r="E154" s="198" t="s">
        <v>2789</v>
      </c>
      <c r="F154" s="200" t="s">
        <v>1896</v>
      </c>
      <c r="G154" s="198" t="s">
        <v>1005</v>
      </c>
      <c r="H154" s="198" t="s">
        <v>1198</v>
      </c>
      <c r="I154" s="198" t="s">
        <v>335</v>
      </c>
      <c r="J154" s="198" t="s">
        <v>4201</v>
      </c>
      <c r="K154" s="201" t="s">
        <v>574</v>
      </c>
      <c r="L154" s="275" t="s">
        <v>252</v>
      </c>
      <c r="M154" s="198" t="s">
        <v>4528</v>
      </c>
    </row>
    <row r="155" spans="1:13" ht="28.5">
      <c r="A155" s="198" t="str">
        <f t="shared" si="1"/>
        <v>DeclarationB20</v>
      </c>
      <c r="B155" s="198" t="s">
        <v>1884</v>
      </c>
      <c r="C155" s="198" t="s">
        <v>1859</v>
      </c>
      <c r="D155" s="198" t="s">
        <v>940</v>
      </c>
      <c r="E155" s="198" t="s">
        <v>2790</v>
      </c>
      <c r="F155" s="200" t="s">
        <v>1897</v>
      </c>
      <c r="G155" s="198" t="s">
        <v>1006</v>
      </c>
      <c r="H155" s="198" t="s">
        <v>688</v>
      </c>
      <c r="I155" s="198" t="s">
        <v>336</v>
      </c>
      <c r="J155" s="198" t="s">
        <v>4202</v>
      </c>
      <c r="K155" s="201" t="s">
        <v>575</v>
      </c>
      <c r="L155" s="275" t="s">
        <v>253</v>
      </c>
      <c r="M155" s="198" t="s">
        <v>4529</v>
      </c>
    </row>
    <row r="156" spans="1:13" ht="28.5">
      <c r="A156" s="198" t="str">
        <f t="shared" si="1"/>
        <v>DeclarationB21</v>
      </c>
      <c r="B156" s="198" t="s">
        <v>1884</v>
      </c>
      <c r="C156" s="198" t="s">
        <v>1860</v>
      </c>
      <c r="D156" s="198" t="s">
        <v>941</v>
      </c>
      <c r="E156" s="198" t="s">
        <v>2791</v>
      </c>
      <c r="F156" s="200" t="s">
        <v>608</v>
      </c>
      <c r="G156" s="198" t="s">
        <v>1007</v>
      </c>
      <c r="H156" s="198" t="s">
        <v>689</v>
      </c>
      <c r="I156" s="198" t="s">
        <v>337</v>
      </c>
      <c r="J156" s="198" t="s">
        <v>4203</v>
      </c>
      <c r="K156" s="201" t="s">
        <v>576</v>
      </c>
      <c r="L156" s="275" t="s">
        <v>254</v>
      </c>
      <c r="M156" s="198" t="s">
        <v>4530</v>
      </c>
    </row>
    <row r="157" spans="1:13" ht="28.5">
      <c r="A157" s="198" t="str">
        <f t="shared" si="1"/>
        <v>DeclarationB22</v>
      </c>
      <c r="B157" s="198" t="s">
        <v>1884</v>
      </c>
      <c r="C157" s="198" t="s">
        <v>1861</v>
      </c>
      <c r="D157" s="198" t="s">
        <v>900</v>
      </c>
      <c r="E157" s="198" t="s">
        <v>2792</v>
      </c>
      <c r="F157" s="200" t="s">
        <v>2035</v>
      </c>
      <c r="G157" s="198" t="s">
        <v>1008</v>
      </c>
      <c r="H157" s="198" t="s">
        <v>690</v>
      </c>
      <c r="I157" s="198" t="s">
        <v>338</v>
      </c>
      <c r="J157" s="198" t="s">
        <v>2650</v>
      </c>
      <c r="K157" s="201" t="s">
        <v>577</v>
      </c>
      <c r="L157" s="275" t="s">
        <v>255</v>
      </c>
      <c r="M157" s="198" t="s">
        <v>4531</v>
      </c>
    </row>
    <row r="158" spans="1:13" ht="42.75">
      <c r="A158" s="198" t="str">
        <f t="shared" si="1"/>
        <v>DeclarationB24</v>
      </c>
      <c r="B158" s="198" t="s">
        <v>1884</v>
      </c>
      <c r="C158" s="198" t="s">
        <v>1892</v>
      </c>
      <c r="D158" s="198" t="s">
        <v>2804</v>
      </c>
      <c r="E158" s="200" t="s">
        <v>762</v>
      </c>
      <c r="F158" s="200" t="s">
        <v>609</v>
      </c>
      <c r="G158" s="198" t="s">
        <v>1009</v>
      </c>
      <c r="H158" s="198" t="s">
        <v>691</v>
      </c>
      <c r="I158" s="198" t="s">
        <v>339</v>
      </c>
      <c r="J158" s="198" t="s">
        <v>4204</v>
      </c>
      <c r="K158" s="201" t="s">
        <v>578</v>
      </c>
      <c r="L158" s="275" t="s">
        <v>879</v>
      </c>
      <c r="M158" s="198" t="s">
        <v>4532</v>
      </c>
    </row>
    <row r="159" spans="1:13" ht="28.5">
      <c r="A159" s="198" t="str">
        <f>B159&amp;C159</f>
        <v>DeclarationB25</v>
      </c>
      <c r="B159" s="198" t="s">
        <v>1884</v>
      </c>
      <c r="C159" s="198" t="s">
        <v>910</v>
      </c>
      <c r="D159" s="199" t="s">
        <v>2832</v>
      </c>
      <c r="E159" s="199" t="s">
        <v>2903</v>
      </c>
      <c r="F159" s="213" t="s">
        <v>4130</v>
      </c>
      <c r="G159" s="199" t="s">
        <v>2904</v>
      </c>
      <c r="H159" s="199" t="s">
        <v>2905</v>
      </c>
      <c r="I159" s="199" t="s">
        <v>2906</v>
      </c>
      <c r="J159" s="199" t="s">
        <v>2907</v>
      </c>
      <c r="K159" s="199" t="s">
        <v>2908</v>
      </c>
      <c r="L159" s="199" t="s">
        <v>2909</v>
      </c>
      <c r="M159" s="199" t="s">
        <v>4533</v>
      </c>
    </row>
    <row r="160" spans="1:13" ht="63.75">
      <c r="A160" s="198" t="str">
        <f t="shared" si="1"/>
        <v>DeclarationB31</v>
      </c>
      <c r="B160" s="198" t="s">
        <v>1884</v>
      </c>
      <c r="C160" s="198" t="s">
        <v>911</v>
      </c>
      <c r="D160" s="199" t="s">
        <v>2833</v>
      </c>
      <c r="E160" s="199" t="s">
        <v>4262</v>
      </c>
      <c r="F160" s="213" t="s">
        <v>4258</v>
      </c>
      <c r="G160" s="199" t="s">
        <v>2910</v>
      </c>
      <c r="H160" s="199" t="s">
        <v>2911</v>
      </c>
      <c r="I160" s="199" t="s">
        <v>2912</v>
      </c>
      <c r="J160" s="199" t="s">
        <v>2913</v>
      </c>
      <c r="K160" s="199" t="s">
        <v>2914</v>
      </c>
      <c r="L160" s="199" t="s">
        <v>2915</v>
      </c>
      <c r="M160" s="199" t="s">
        <v>4534</v>
      </c>
    </row>
    <row r="161" spans="1:13" ht="51">
      <c r="A161" s="198" t="str">
        <f t="shared" si="1"/>
        <v>DeclarationB37</v>
      </c>
      <c r="B161" s="198" t="s">
        <v>1884</v>
      </c>
      <c r="C161" s="198" t="s">
        <v>912</v>
      </c>
      <c r="D161" s="199" t="s">
        <v>4394</v>
      </c>
      <c r="E161" s="260" t="s">
        <v>4824</v>
      </c>
      <c r="F161" s="213" t="s">
        <v>4825</v>
      </c>
      <c r="G161" s="260" t="s">
        <v>4826</v>
      </c>
      <c r="H161" s="260" t="s">
        <v>4827</v>
      </c>
      <c r="I161" s="260" t="s">
        <v>4828</v>
      </c>
      <c r="J161" s="289" t="s">
        <v>4829</v>
      </c>
      <c r="K161" s="260" t="s">
        <v>4830</v>
      </c>
      <c r="L161" s="260" t="s">
        <v>4831</v>
      </c>
      <c r="M161" s="261" t="s">
        <v>4832</v>
      </c>
    </row>
    <row r="162" spans="1:13" ht="51">
      <c r="A162" s="198" t="str">
        <f t="shared" si="1"/>
        <v>DeclarationB43</v>
      </c>
      <c r="B162" s="198" t="s">
        <v>1884</v>
      </c>
      <c r="C162" s="198" t="s">
        <v>913</v>
      </c>
      <c r="D162" s="199" t="s">
        <v>2946</v>
      </c>
      <c r="E162" s="199" t="s">
        <v>2950</v>
      </c>
      <c r="F162" s="213" t="s">
        <v>4259</v>
      </c>
      <c r="G162" s="199" t="s">
        <v>2954</v>
      </c>
      <c r="H162" s="199" t="s">
        <v>2957</v>
      </c>
      <c r="I162" s="199" t="s">
        <v>2961</v>
      </c>
      <c r="J162" s="199" t="s">
        <v>4254</v>
      </c>
      <c r="K162" s="199" t="s">
        <v>2965</v>
      </c>
      <c r="L162" s="199" t="s">
        <v>2969</v>
      </c>
      <c r="M162" s="199" t="s">
        <v>4535</v>
      </c>
    </row>
    <row r="163" spans="1:13" ht="51">
      <c r="A163" s="198" t="str">
        <f t="shared" si="1"/>
        <v>DeclarationB49</v>
      </c>
      <c r="B163" s="198" t="s">
        <v>1884</v>
      </c>
      <c r="C163" s="198" t="s">
        <v>914</v>
      </c>
      <c r="D163" s="199" t="s">
        <v>2947</v>
      </c>
      <c r="E163" s="199" t="s">
        <v>2951</v>
      </c>
      <c r="F163" s="213" t="s">
        <v>4837</v>
      </c>
      <c r="G163" s="199" t="s">
        <v>4215</v>
      </c>
      <c r="H163" s="199" t="s">
        <v>2958</v>
      </c>
      <c r="I163" s="199" t="s">
        <v>2962</v>
      </c>
      <c r="J163" s="199" t="s">
        <v>4255</v>
      </c>
      <c r="K163" s="199" t="s">
        <v>2966</v>
      </c>
      <c r="L163" s="199" t="s">
        <v>2970</v>
      </c>
      <c r="M163" s="199" t="s">
        <v>4536</v>
      </c>
    </row>
    <row r="164" spans="1:13" ht="38.25">
      <c r="A164" s="198" t="str">
        <f t="shared" si="1"/>
        <v>DeclarationB55</v>
      </c>
      <c r="B164" s="198" t="s">
        <v>1884</v>
      </c>
      <c r="C164" s="198" t="s">
        <v>915</v>
      </c>
      <c r="D164" s="199" t="s">
        <v>2948</v>
      </c>
      <c r="E164" s="199" t="s">
        <v>2952</v>
      </c>
      <c r="F164" s="213" t="s">
        <v>4260</v>
      </c>
      <c r="G164" s="199" t="s">
        <v>2955</v>
      </c>
      <c r="H164" s="199" t="s">
        <v>2959</v>
      </c>
      <c r="I164" s="199" t="s">
        <v>2963</v>
      </c>
      <c r="J164" s="199" t="s">
        <v>4256</v>
      </c>
      <c r="K164" s="199" t="s">
        <v>2967</v>
      </c>
      <c r="L164" s="199" t="s">
        <v>2971</v>
      </c>
      <c r="M164" s="199" t="s">
        <v>4537</v>
      </c>
    </row>
    <row r="165" spans="1:13" ht="51">
      <c r="A165" s="198" t="str">
        <f t="shared" si="1"/>
        <v>DeclarationB61</v>
      </c>
      <c r="B165" s="198" t="s">
        <v>1884</v>
      </c>
      <c r="C165" s="198" t="s">
        <v>1899</v>
      </c>
      <c r="D165" s="199" t="s">
        <v>2949</v>
      </c>
      <c r="E165" s="199" t="s">
        <v>2953</v>
      </c>
      <c r="F165" s="213" t="s">
        <v>4261</v>
      </c>
      <c r="G165" s="199" t="s">
        <v>2956</v>
      </c>
      <c r="H165" s="199" t="s">
        <v>2960</v>
      </c>
      <c r="I165" s="199" t="s">
        <v>2964</v>
      </c>
      <c r="J165" s="199" t="s">
        <v>4257</v>
      </c>
      <c r="K165" s="199" t="s">
        <v>2968</v>
      </c>
      <c r="L165" s="199" t="s">
        <v>2972</v>
      </c>
      <c r="M165" s="199" t="s">
        <v>4538</v>
      </c>
    </row>
    <row r="166" spans="1:13" ht="28.5">
      <c r="A166" s="198" t="str">
        <f t="shared" si="1"/>
        <v>DeclarationB67</v>
      </c>
      <c r="B166" s="198" t="s">
        <v>1884</v>
      </c>
      <c r="C166" s="198" t="s">
        <v>2478</v>
      </c>
      <c r="D166" s="198" t="s">
        <v>1957</v>
      </c>
      <c r="E166" s="200" t="s">
        <v>763</v>
      </c>
      <c r="F166" s="200" t="s">
        <v>1803</v>
      </c>
      <c r="G166" s="198" t="s">
        <v>1804</v>
      </c>
      <c r="H166" s="198" t="s">
        <v>2461</v>
      </c>
      <c r="I166" s="198" t="s">
        <v>340</v>
      </c>
      <c r="J166" s="198" t="s">
        <v>2473</v>
      </c>
      <c r="K166" s="201" t="s">
        <v>397</v>
      </c>
      <c r="L166" s="275" t="s">
        <v>1186</v>
      </c>
      <c r="M166" s="198" t="s">
        <v>4539</v>
      </c>
    </row>
    <row r="167" spans="1:13" ht="42.75">
      <c r="A167" s="198" t="str">
        <f t="shared" si="1"/>
        <v>DeclarationB69</v>
      </c>
      <c r="B167" s="198" t="s">
        <v>1884</v>
      </c>
      <c r="C167" s="198" t="s">
        <v>2496</v>
      </c>
      <c r="D167" s="198" t="s">
        <v>3105</v>
      </c>
      <c r="E167" s="200" t="s">
        <v>4206</v>
      </c>
      <c r="F167" s="200" t="s">
        <v>396</v>
      </c>
      <c r="G167" s="198" t="s">
        <v>1898</v>
      </c>
      <c r="H167" s="198" t="s">
        <v>692</v>
      </c>
      <c r="I167" s="198" t="s">
        <v>341</v>
      </c>
      <c r="J167" s="198" t="s">
        <v>4207</v>
      </c>
      <c r="K167" s="201" t="s">
        <v>398</v>
      </c>
      <c r="L167" s="275" t="s">
        <v>256</v>
      </c>
      <c r="M167" s="198" t="s">
        <v>4540</v>
      </c>
    </row>
    <row r="168" spans="1:13" ht="85.5">
      <c r="A168" s="198" t="str">
        <f t="shared" si="1"/>
        <v>DeclarationB71</v>
      </c>
      <c r="B168" s="198" t="s">
        <v>1884</v>
      </c>
      <c r="C168" s="198" t="s">
        <v>2497</v>
      </c>
      <c r="D168" s="198" t="s">
        <v>3106</v>
      </c>
      <c r="E168" s="200" t="s">
        <v>4205</v>
      </c>
      <c r="F168" s="200" t="s">
        <v>515</v>
      </c>
      <c r="G168" s="198" t="s">
        <v>1010</v>
      </c>
      <c r="H168" s="198" t="s">
        <v>693</v>
      </c>
      <c r="I168" s="198" t="s">
        <v>342</v>
      </c>
      <c r="J168" s="198" t="s">
        <v>4214</v>
      </c>
      <c r="K168" s="201" t="s">
        <v>399</v>
      </c>
      <c r="L168" s="275" t="s">
        <v>257</v>
      </c>
      <c r="M168" s="198" t="s">
        <v>4541</v>
      </c>
    </row>
    <row r="169" spans="1:13" ht="42.75">
      <c r="A169" s="198" t="str">
        <f t="shared" ref="A169:A188" si="2">B169&amp;C169</f>
        <v>DeclarationB73</v>
      </c>
      <c r="B169" s="198" t="s">
        <v>1884</v>
      </c>
      <c r="C169" s="198" t="s">
        <v>2501</v>
      </c>
      <c r="D169" s="198" t="s">
        <v>3107</v>
      </c>
      <c r="E169" s="200" t="s">
        <v>764</v>
      </c>
      <c r="F169" s="200" t="s">
        <v>516</v>
      </c>
      <c r="G169" s="198" t="s">
        <v>1011</v>
      </c>
      <c r="H169" s="198" t="s">
        <v>694</v>
      </c>
      <c r="I169" s="198" t="s">
        <v>343</v>
      </c>
      <c r="J169" s="198" t="s">
        <v>4208</v>
      </c>
      <c r="K169" s="201" t="s">
        <v>1900</v>
      </c>
      <c r="L169" s="275" t="s">
        <v>1901</v>
      </c>
      <c r="M169" s="198" t="s">
        <v>4542</v>
      </c>
    </row>
    <row r="170" spans="1:13" ht="63.75">
      <c r="A170" s="198" t="str">
        <f t="shared" si="2"/>
        <v>DeclarationB75</v>
      </c>
      <c r="B170" s="198" t="s">
        <v>1884</v>
      </c>
      <c r="C170" s="198" t="s">
        <v>2502</v>
      </c>
      <c r="D170" s="199" t="s">
        <v>3108</v>
      </c>
      <c r="E170" s="199" t="s">
        <v>2916</v>
      </c>
      <c r="F170" s="213" t="s">
        <v>2834</v>
      </c>
      <c r="G170" s="199" t="s">
        <v>4216</v>
      </c>
      <c r="H170" s="199" t="s">
        <v>2917</v>
      </c>
      <c r="I170" s="199" t="s">
        <v>2918</v>
      </c>
      <c r="J170" s="199" t="s">
        <v>4209</v>
      </c>
      <c r="K170" s="199" t="s">
        <v>2919</v>
      </c>
      <c r="L170" s="199" t="s">
        <v>2920</v>
      </c>
      <c r="M170" s="199" t="s">
        <v>4543</v>
      </c>
    </row>
    <row r="171" spans="1:13" ht="40.5">
      <c r="A171" s="198" t="str">
        <f t="shared" si="2"/>
        <v>DeclarationB77</v>
      </c>
      <c r="B171" s="198" t="s">
        <v>1884</v>
      </c>
      <c r="C171" s="198" t="s">
        <v>2504</v>
      </c>
      <c r="D171" s="199" t="s">
        <v>3109</v>
      </c>
      <c r="E171" s="200" t="s">
        <v>765</v>
      </c>
      <c r="F171" s="200" t="s">
        <v>517</v>
      </c>
      <c r="G171" s="199" t="s">
        <v>1012</v>
      </c>
      <c r="H171" s="199" t="s">
        <v>695</v>
      </c>
      <c r="I171" s="199" t="s">
        <v>344</v>
      </c>
      <c r="J171" s="199" t="s">
        <v>2656</v>
      </c>
      <c r="K171" s="201" t="s">
        <v>400</v>
      </c>
      <c r="L171" s="202" t="s">
        <v>2495</v>
      </c>
      <c r="M171" s="199" t="s">
        <v>4544</v>
      </c>
    </row>
    <row r="172" spans="1:13" s="225" customFormat="1" ht="114.75">
      <c r="A172" s="198" t="str">
        <f t="shared" si="2"/>
        <v>DeclarationB79</v>
      </c>
      <c r="B172" s="198" t="s">
        <v>1884</v>
      </c>
      <c r="C172" s="198" t="s">
        <v>917</v>
      </c>
      <c r="D172" s="199" t="s">
        <v>3110</v>
      </c>
      <c r="E172" s="199" t="s">
        <v>3649</v>
      </c>
      <c r="F172" s="213" t="s">
        <v>4131</v>
      </c>
      <c r="G172" s="199" t="s">
        <v>3650</v>
      </c>
      <c r="H172" s="199" t="s">
        <v>3651</v>
      </c>
      <c r="I172" s="199" t="s">
        <v>3652</v>
      </c>
      <c r="J172" s="199" t="s">
        <v>4210</v>
      </c>
      <c r="K172" s="199" t="s">
        <v>3653</v>
      </c>
      <c r="L172" s="199" t="s">
        <v>3654</v>
      </c>
      <c r="M172" s="199" t="s">
        <v>4545</v>
      </c>
    </row>
    <row r="173" spans="1:13" ht="40.5">
      <c r="A173" s="198" t="str">
        <f t="shared" si="2"/>
        <v>DeclarationB81</v>
      </c>
      <c r="B173" s="198" t="s">
        <v>1884</v>
      </c>
      <c r="C173" s="198" t="s">
        <v>918</v>
      </c>
      <c r="D173" s="198" t="s">
        <v>3111</v>
      </c>
      <c r="E173" s="200" t="s">
        <v>2498</v>
      </c>
      <c r="F173" s="200" t="s">
        <v>610</v>
      </c>
      <c r="G173" s="198" t="s">
        <v>1013</v>
      </c>
      <c r="H173" s="198" t="s">
        <v>2499</v>
      </c>
      <c r="I173" s="198" t="s">
        <v>345</v>
      </c>
      <c r="J173" s="198" t="s">
        <v>4211</v>
      </c>
      <c r="K173" s="201" t="s">
        <v>2500</v>
      </c>
      <c r="L173" s="275" t="s">
        <v>2465</v>
      </c>
      <c r="M173" s="198" t="s">
        <v>4546</v>
      </c>
    </row>
    <row r="174" spans="1:13" ht="57">
      <c r="A174" s="198" t="str">
        <f t="shared" si="2"/>
        <v>DeclarationB83</v>
      </c>
      <c r="B174" s="198" t="s">
        <v>1884</v>
      </c>
      <c r="C174" s="198" t="s">
        <v>919</v>
      </c>
      <c r="D174" s="198" t="s">
        <v>3112</v>
      </c>
      <c r="E174" s="200" t="s">
        <v>766</v>
      </c>
      <c r="F174" s="200" t="s">
        <v>518</v>
      </c>
      <c r="G174" s="198" t="s">
        <v>1014</v>
      </c>
      <c r="H174" s="198" t="s">
        <v>696</v>
      </c>
      <c r="I174" s="198" t="s">
        <v>346</v>
      </c>
      <c r="J174" s="198" t="s">
        <v>4212</v>
      </c>
      <c r="K174" s="201" t="s">
        <v>401</v>
      </c>
      <c r="L174" s="275" t="s">
        <v>258</v>
      </c>
      <c r="M174" s="198" t="s">
        <v>4547</v>
      </c>
    </row>
    <row r="175" spans="1:13" ht="40.5">
      <c r="A175" s="198" t="str">
        <f t="shared" si="2"/>
        <v>DeclarationB85</v>
      </c>
      <c r="B175" s="198" t="s">
        <v>1884</v>
      </c>
      <c r="C175" s="198" t="s">
        <v>920</v>
      </c>
      <c r="D175" s="198" t="s">
        <v>3113</v>
      </c>
      <c r="E175" s="200" t="s">
        <v>767</v>
      </c>
      <c r="F175" s="200" t="s">
        <v>611</v>
      </c>
      <c r="G175" s="198" t="s">
        <v>1015</v>
      </c>
      <c r="H175" s="198" t="s">
        <v>2503</v>
      </c>
      <c r="I175" s="198" t="s">
        <v>347</v>
      </c>
      <c r="J175" s="198" t="s">
        <v>4213</v>
      </c>
      <c r="K175" s="201" t="s">
        <v>171</v>
      </c>
      <c r="L175" s="275" t="s">
        <v>2466</v>
      </c>
      <c r="M175" s="198" t="s">
        <v>4548</v>
      </c>
    </row>
    <row r="176" spans="1:13" ht="42.75">
      <c r="A176" s="198" t="str">
        <f t="shared" si="2"/>
        <v>DeclarationB87</v>
      </c>
      <c r="B176" s="198" t="s">
        <v>1884</v>
      </c>
      <c r="C176" s="198" t="s">
        <v>921</v>
      </c>
      <c r="D176" s="198" t="s">
        <v>3114</v>
      </c>
      <c r="E176" s="200" t="s">
        <v>768</v>
      </c>
      <c r="F176" s="200" t="s">
        <v>612</v>
      </c>
      <c r="G176" s="198" t="s">
        <v>2505</v>
      </c>
      <c r="H176" s="198" t="s">
        <v>2506</v>
      </c>
      <c r="I176" s="198" t="s">
        <v>348</v>
      </c>
      <c r="J176" s="198" t="s">
        <v>2507</v>
      </c>
      <c r="K176" s="201" t="s">
        <v>402</v>
      </c>
      <c r="L176" s="275" t="s">
        <v>2467</v>
      </c>
      <c r="M176" s="198" t="s">
        <v>4549</v>
      </c>
    </row>
    <row r="177" spans="1:13" ht="28.5">
      <c r="A177" s="198" t="str">
        <f t="shared" si="2"/>
        <v>DeclarationD25</v>
      </c>
      <c r="B177" s="198" t="s">
        <v>1884</v>
      </c>
      <c r="C177" s="198" t="s">
        <v>966</v>
      </c>
      <c r="D177" s="198" t="s">
        <v>1498</v>
      </c>
      <c r="E177" s="200" t="s">
        <v>1530</v>
      </c>
      <c r="F177" s="200" t="s">
        <v>1530</v>
      </c>
      <c r="G177" s="198" t="s">
        <v>2021</v>
      </c>
      <c r="H177" s="198" t="s">
        <v>2462</v>
      </c>
      <c r="I177" s="198" t="s">
        <v>1805</v>
      </c>
      <c r="J177" s="198" t="s">
        <v>1806</v>
      </c>
      <c r="K177" s="201" t="s">
        <v>1807</v>
      </c>
      <c r="L177" s="275" t="s">
        <v>881</v>
      </c>
      <c r="M177" s="198" t="s">
        <v>4550</v>
      </c>
    </row>
    <row r="178" spans="1:13" ht="28.5">
      <c r="A178" s="198" t="str">
        <f t="shared" si="2"/>
        <v>DeclarationB68</v>
      </c>
      <c r="B178" s="198" t="s">
        <v>1884</v>
      </c>
      <c r="C178" s="198" t="s">
        <v>916</v>
      </c>
      <c r="D178" s="198" t="s">
        <v>1958</v>
      </c>
      <c r="E178" s="200" t="s">
        <v>1817</v>
      </c>
      <c r="F178" s="200" t="s">
        <v>1818</v>
      </c>
      <c r="G178" s="198" t="s">
        <v>1819</v>
      </c>
      <c r="H178" s="198" t="s">
        <v>1958</v>
      </c>
      <c r="I178" s="198" t="s">
        <v>1820</v>
      </c>
      <c r="J178" s="198" t="s">
        <v>1821</v>
      </c>
      <c r="K178" s="201" t="s">
        <v>1816</v>
      </c>
      <c r="L178" s="275" t="s">
        <v>880</v>
      </c>
      <c r="M178" s="198" t="s">
        <v>4551</v>
      </c>
    </row>
    <row r="179" spans="1:13" ht="28.5">
      <c r="A179" s="198" t="str">
        <f t="shared" si="2"/>
        <v>DeclarationG25</v>
      </c>
      <c r="B179" s="198" t="s">
        <v>1884</v>
      </c>
      <c r="C179" s="198" t="s">
        <v>967</v>
      </c>
      <c r="D179" s="198" t="s">
        <v>1497</v>
      </c>
      <c r="E179" s="200" t="s">
        <v>1531</v>
      </c>
      <c r="F179" s="200" t="s">
        <v>2030</v>
      </c>
      <c r="G179" s="198" t="s">
        <v>1808</v>
      </c>
      <c r="H179" s="198" t="s">
        <v>1809</v>
      </c>
      <c r="I179" s="198" t="s">
        <v>1810</v>
      </c>
      <c r="J179" s="198" t="s">
        <v>1941</v>
      </c>
      <c r="K179" s="201" t="s">
        <v>1811</v>
      </c>
      <c r="L179" s="275" t="s">
        <v>882</v>
      </c>
      <c r="M179" s="198" t="s">
        <v>4552</v>
      </c>
    </row>
    <row r="180" spans="1:13" ht="28.5">
      <c r="A180" s="198" t="str">
        <f t="shared" si="2"/>
        <v>DeclarationB26</v>
      </c>
      <c r="B180" s="198" t="s">
        <v>1884</v>
      </c>
      <c r="C180" s="198" t="s">
        <v>958</v>
      </c>
      <c r="D180" s="198" t="s">
        <v>2508</v>
      </c>
      <c r="E180" s="200" t="s">
        <v>2655</v>
      </c>
      <c r="F180" s="200" t="s">
        <v>2509</v>
      </c>
      <c r="G180" s="198" t="s">
        <v>2510</v>
      </c>
      <c r="H180" s="198" t="s">
        <v>2511</v>
      </c>
      <c r="I180" s="198" t="s">
        <v>349</v>
      </c>
      <c r="J180" s="198" t="s">
        <v>2512</v>
      </c>
      <c r="K180" s="201" t="s">
        <v>2513</v>
      </c>
      <c r="L180" s="275" t="s">
        <v>2513</v>
      </c>
      <c r="M180" s="198" t="s">
        <v>4553</v>
      </c>
    </row>
    <row r="181" spans="1:13" ht="28.5">
      <c r="A181" s="198" t="str">
        <f t="shared" si="2"/>
        <v>DeclarationB27</v>
      </c>
      <c r="B181" s="198" t="s">
        <v>1884</v>
      </c>
      <c r="C181" s="198" t="s">
        <v>959</v>
      </c>
      <c r="D181" s="198" t="s">
        <v>2514</v>
      </c>
      <c r="E181" s="200" t="s">
        <v>2654</v>
      </c>
      <c r="F181" s="200" t="s">
        <v>2515</v>
      </c>
      <c r="G181" s="198" t="s">
        <v>2516</v>
      </c>
      <c r="H181" s="198" t="s">
        <v>2517</v>
      </c>
      <c r="I181" s="198" t="s">
        <v>350</v>
      </c>
      <c r="J181" s="198" t="s">
        <v>2518</v>
      </c>
      <c r="K181" s="201" t="s">
        <v>2519</v>
      </c>
      <c r="L181" s="275" t="s">
        <v>2520</v>
      </c>
      <c r="M181" s="198" t="s">
        <v>4554</v>
      </c>
    </row>
    <row r="182" spans="1:13" ht="28.5">
      <c r="A182" s="198" t="str">
        <f t="shared" si="2"/>
        <v>DeclarationB28</v>
      </c>
      <c r="B182" s="198" t="s">
        <v>1884</v>
      </c>
      <c r="C182" s="198" t="s">
        <v>960</v>
      </c>
      <c r="D182" s="198" t="s">
        <v>2521</v>
      </c>
      <c r="E182" s="200" t="s">
        <v>2653</v>
      </c>
      <c r="F182" s="200" t="s">
        <v>2522</v>
      </c>
      <c r="G182" s="198" t="s">
        <v>2523</v>
      </c>
      <c r="H182" s="198" t="s">
        <v>2524</v>
      </c>
      <c r="I182" s="198" t="s">
        <v>351</v>
      </c>
      <c r="J182" s="198" t="s">
        <v>2521</v>
      </c>
      <c r="K182" s="201" t="s">
        <v>2525</v>
      </c>
      <c r="L182" s="275" t="s">
        <v>2525</v>
      </c>
      <c r="M182" s="198" t="s">
        <v>4555</v>
      </c>
    </row>
    <row r="183" spans="1:13" ht="28.5">
      <c r="A183" s="198" t="str">
        <f t="shared" si="2"/>
        <v>DeclarationB29</v>
      </c>
      <c r="B183" s="198" t="s">
        <v>1884</v>
      </c>
      <c r="C183" s="198" t="s">
        <v>961</v>
      </c>
      <c r="D183" s="198" t="s">
        <v>2526</v>
      </c>
      <c r="E183" s="200" t="s">
        <v>2652</v>
      </c>
      <c r="F183" s="200" t="s">
        <v>2527</v>
      </c>
      <c r="G183" s="198" t="s">
        <v>2528</v>
      </c>
      <c r="H183" s="198" t="s">
        <v>2529</v>
      </c>
      <c r="I183" s="198" t="s">
        <v>352</v>
      </c>
      <c r="J183" s="198" t="s">
        <v>2530</v>
      </c>
      <c r="K183" s="201" t="s">
        <v>2531</v>
      </c>
      <c r="L183" s="275" t="s">
        <v>2531</v>
      </c>
      <c r="M183" s="198" t="s">
        <v>4556</v>
      </c>
    </row>
    <row r="184" spans="1:13" ht="28.5">
      <c r="A184" s="198" t="str">
        <f t="shared" si="2"/>
        <v>DeclarationB38</v>
      </c>
      <c r="B184" s="198" t="s">
        <v>1884</v>
      </c>
      <c r="C184" s="198" t="s">
        <v>962</v>
      </c>
      <c r="D184" s="198" t="s">
        <v>2508</v>
      </c>
      <c r="E184" s="200" t="s">
        <v>2655</v>
      </c>
      <c r="F184" s="200" t="s">
        <v>2509</v>
      </c>
      <c r="G184" s="198" t="s">
        <v>2510</v>
      </c>
      <c r="H184" s="198" t="s">
        <v>2511</v>
      </c>
      <c r="I184" s="198" t="s">
        <v>349</v>
      </c>
      <c r="J184" s="198" t="s">
        <v>2512</v>
      </c>
      <c r="K184" s="201" t="s">
        <v>2513</v>
      </c>
      <c r="L184" s="275" t="s">
        <v>2513</v>
      </c>
      <c r="M184" s="198" t="s">
        <v>4553</v>
      </c>
    </row>
    <row r="185" spans="1:13" ht="28.5">
      <c r="A185" s="198" t="str">
        <f t="shared" si="2"/>
        <v>DeclarationB39</v>
      </c>
      <c r="B185" s="198" t="s">
        <v>1884</v>
      </c>
      <c r="C185" s="198" t="s">
        <v>963</v>
      </c>
      <c r="D185" s="198" t="s">
        <v>2514</v>
      </c>
      <c r="E185" s="200" t="s">
        <v>2654</v>
      </c>
      <c r="F185" s="200" t="s">
        <v>2515</v>
      </c>
      <c r="G185" s="198" t="s">
        <v>2516</v>
      </c>
      <c r="H185" s="198" t="s">
        <v>2517</v>
      </c>
      <c r="I185" s="198" t="s">
        <v>350</v>
      </c>
      <c r="J185" s="198" t="s">
        <v>2518</v>
      </c>
      <c r="K185" s="201" t="s">
        <v>2519</v>
      </c>
      <c r="L185" s="275" t="s">
        <v>2520</v>
      </c>
      <c r="M185" s="198" t="s">
        <v>4554</v>
      </c>
    </row>
    <row r="186" spans="1:13" ht="28.5">
      <c r="A186" s="198" t="str">
        <f t="shared" si="2"/>
        <v>DeclarationB40</v>
      </c>
      <c r="B186" s="198" t="s">
        <v>1884</v>
      </c>
      <c r="C186" s="198" t="s">
        <v>964</v>
      </c>
      <c r="D186" s="198" t="s">
        <v>2521</v>
      </c>
      <c r="E186" s="200" t="s">
        <v>2653</v>
      </c>
      <c r="F186" s="200" t="s">
        <v>2522</v>
      </c>
      <c r="G186" s="198" t="s">
        <v>2523</v>
      </c>
      <c r="H186" s="198" t="s">
        <v>2524</v>
      </c>
      <c r="I186" s="198" t="s">
        <v>351</v>
      </c>
      <c r="J186" s="198" t="s">
        <v>2521</v>
      </c>
      <c r="K186" s="201" t="s">
        <v>2525</v>
      </c>
      <c r="L186" s="275" t="s">
        <v>2525</v>
      </c>
      <c r="M186" s="198" t="s">
        <v>4555</v>
      </c>
    </row>
    <row r="187" spans="1:13" ht="28.5">
      <c r="A187" s="198" t="str">
        <f t="shared" si="2"/>
        <v>DeclarationB41</v>
      </c>
      <c r="B187" s="198" t="s">
        <v>1884</v>
      </c>
      <c r="C187" s="198" t="s">
        <v>965</v>
      </c>
      <c r="D187" s="198" t="s">
        <v>2526</v>
      </c>
      <c r="E187" s="200" t="s">
        <v>2652</v>
      </c>
      <c r="F187" s="200" t="s">
        <v>2527</v>
      </c>
      <c r="G187" s="198" t="s">
        <v>2528</v>
      </c>
      <c r="H187" s="198" t="s">
        <v>2529</v>
      </c>
      <c r="I187" s="198" t="s">
        <v>352</v>
      </c>
      <c r="J187" s="198" t="s">
        <v>2530</v>
      </c>
      <c r="K187" s="201" t="s">
        <v>2531</v>
      </c>
      <c r="L187" s="275" t="s">
        <v>2531</v>
      </c>
      <c r="M187" s="198" t="s">
        <v>4556</v>
      </c>
    </row>
    <row r="188" spans="1:13">
      <c r="A188" s="198" t="str">
        <f t="shared" si="2"/>
        <v>DeclarationAth</v>
      </c>
      <c r="B188" s="198" t="s">
        <v>1884</v>
      </c>
      <c r="C188" s="198" t="s">
        <v>2532</v>
      </c>
      <c r="D188" s="198" t="s">
        <v>1495</v>
      </c>
      <c r="E188" s="200" t="s">
        <v>769</v>
      </c>
      <c r="F188" s="200" t="s">
        <v>2031</v>
      </c>
      <c r="G188" s="198" t="s">
        <v>1812</v>
      </c>
      <c r="H188" s="198" t="s">
        <v>1813</v>
      </c>
      <c r="I188" s="198" t="s">
        <v>1814</v>
      </c>
      <c r="J188" s="198" t="s">
        <v>2474</v>
      </c>
      <c r="K188" s="201" t="s">
        <v>1815</v>
      </c>
      <c r="L188" s="275" t="s">
        <v>883</v>
      </c>
      <c r="M188" s="198" t="s">
        <v>4557</v>
      </c>
    </row>
    <row r="189" spans="1:13">
      <c r="D189" s="198" t="s">
        <v>924</v>
      </c>
      <c r="E189" s="200" t="s">
        <v>770</v>
      </c>
      <c r="F189" s="200" t="s">
        <v>613</v>
      </c>
      <c r="G189" s="198" t="s">
        <v>1016</v>
      </c>
      <c r="H189" s="198" t="s">
        <v>697</v>
      </c>
      <c r="I189" s="198" t="s">
        <v>353</v>
      </c>
      <c r="J189" s="198" t="s">
        <v>20</v>
      </c>
      <c r="K189" s="201" t="s">
        <v>403</v>
      </c>
      <c r="L189" s="275" t="s">
        <v>259</v>
      </c>
      <c r="M189" s="198" t="s">
        <v>4558</v>
      </c>
    </row>
    <row r="190" spans="1:13">
      <c r="D190" s="198" t="s">
        <v>925</v>
      </c>
      <c r="E190" s="200" t="s">
        <v>771</v>
      </c>
      <c r="F190" s="200" t="s">
        <v>614</v>
      </c>
      <c r="G190" s="198" t="s">
        <v>1017</v>
      </c>
      <c r="H190" s="198" t="s">
        <v>925</v>
      </c>
      <c r="I190" s="198" t="s">
        <v>354</v>
      </c>
      <c r="J190" s="198" t="s">
        <v>21</v>
      </c>
      <c r="K190" s="201" t="s">
        <v>925</v>
      </c>
      <c r="L190" s="275" t="s">
        <v>260</v>
      </c>
      <c r="M190" s="198" t="s">
        <v>4559</v>
      </c>
    </row>
    <row r="191" spans="1:13">
      <c r="D191" s="198" t="s">
        <v>926</v>
      </c>
      <c r="E191" s="200" t="s">
        <v>772</v>
      </c>
      <c r="F191" s="200" t="s">
        <v>615</v>
      </c>
      <c r="G191" s="198" t="s">
        <v>1018</v>
      </c>
      <c r="H191" s="198" t="s">
        <v>698</v>
      </c>
      <c r="I191" s="198" t="s">
        <v>355</v>
      </c>
      <c r="J191" s="198" t="s">
        <v>22</v>
      </c>
      <c r="K191" s="201" t="s">
        <v>404</v>
      </c>
      <c r="L191" s="275" t="s">
        <v>261</v>
      </c>
      <c r="M191" s="198" t="s">
        <v>4560</v>
      </c>
    </row>
    <row r="192" spans="1:13">
      <c r="D192" s="198" t="s">
        <v>927</v>
      </c>
      <c r="E192" s="200" t="s">
        <v>773</v>
      </c>
      <c r="F192" s="200" t="s">
        <v>616</v>
      </c>
      <c r="G192" s="198" t="s">
        <v>1019</v>
      </c>
      <c r="H192" s="198" t="s">
        <v>699</v>
      </c>
      <c r="I192" s="198" t="s">
        <v>356</v>
      </c>
      <c r="J192" s="198" t="s">
        <v>23</v>
      </c>
      <c r="K192" s="201" t="s">
        <v>405</v>
      </c>
      <c r="L192" s="275" t="s">
        <v>262</v>
      </c>
      <c r="M192" s="198" t="s">
        <v>4561</v>
      </c>
    </row>
    <row r="193" spans="1:13">
      <c r="D193" s="198" t="s">
        <v>928</v>
      </c>
      <c r="E193" s="200" t="s">
        <v>774</v>
      </c>
      <c r="F193" s="200" t="s">
        <v>617</v>
      </c>
      <c r="G193" s="198" t="s">
        <v>1020</v>
      </c>
      <c r="H193" s="198" t="s">
        <v>700</v>
      </c>
      <c r="I193" s="198" t="s">
        <v>357</v>
      </c>
      <c r="J193" s="198" t="s">
        <v>24</v>
      </c>
      <c r="K193" s="201" t="s">
        <v>406</v>
      </c>
      <c r="L193" s="275" t="s">
        <v>263</v>
      </c>
      <c r="M193" s="198" t="s">
        <v>4562</v>
      </c>
    </row>
    <row r="194" spans="1:13">
      <c r="D194" s="198" t="s">
        <v>929</v>
      </c>
      <c r="E194" s="200" t="s">
        <v>775</v>
      </c>
      <c r="F194" s="200" t="s">
        <v>618</v>
      </c>
      <c r="G194" s="198" t="s">
        <v>1021</v>
      </c>
      <c r="H194" s="198" t="s">
        <v>701</v>
      </c>
      <c r="I194" s="198" t="s">
        <v>358</v>
      </c>
      <c r="J194" s="198" t="s">
        <v>25</v>
      </c>
      <c r="K194" s="201" t="s">
        <v>407</v>
      </c>
      <c r="L194" s="275" t="s">
        <v>264</v>
      </c>
      <c r="M194" s="198" t="s">
        <v>4563</v>
      </c>
    </row>
    <row r="195" spans="1:13">
      <c r="D195" s="198" t="s">
        <v>930</v>
      </c>
      <c r="E195" s="200" t="s">
        <v>776</v>
      </c>
      <c r="F195" s="200" t="s">
        <v>619</v>
      </c>
      <c r="G195" s="198" t="s">
        <v>1022</v>
      </c>
      <c r="H195" s="198" t="s">
        <v>702</v>
      </c>
      <c r="I195" s="198" t="s">
        <v>359</v>
      </c>
      <c r="J195" s="198" t="s">
        <v>26</v>
      </c>
      <c r="K195" s="201" t="s">
        <v>408</v>
      </c>
      <c r="L195" s="275" t="s">
        <v>265</v>
      </c>
      <c r="M195" s="198" t="s">
        <v>4564</v>
      </c>
    </row>
    <row r="196" spans="1:13">
      <c r="D196" s="198" t="s">
        <v>932</v>
      </c>
      <c r="E196" s="200" t="s">
        <v>777</v>
      </c>
      <c r="F196" s="200" t="s">
        <v>620</v>
      </c>
      <c r="G196" s="198" t="s">
        <v>1023</v>
      </c>
      <c r="H196" s="198" t="s">
        <v>703</v>
      </c>
      <c r="I196" s="198" t="s">
        <v>360</v>
      </c>
      <c r="J196" s="198" t="s">
        <v>27</v>
      </c>
      <c r="K196" s="201" t="s">
        <v>409</v>
      </c>
      <c r="L196" s="275" t="s">
        <v>266</v>
      </c>
      <c r="M196" s="198" t="s">
        <v>4565</v>
      </c>
    </row>
    <row r="197" spans="1:13">
      <c r="D197" s="198" t="s">
        <v>931</v>
      </c>
      <c r="E197" s="200" t="s">
        <v>778</v>
      </c>
      <c r="F197" s="200" t="s">
        <v>621</v>
      </c>
      <c r="G197" s="198" t="s">
        <v>1024</v>
      </c>
      <c r="H197" s="198" t="s">
        <v>704</v>
      </c>
      <c r="I197" s="198" t="s">
        <v>361</v>
      </c>
      <c r="J197" s="198" t="s">
        <v>28</v>
      </c>
      <c r="K197" s="201" t="s">
        <v>410</v>
      </c>
      <c r="L197" s="275" t="s">
        <v>267</v>
      </c>
      <c r="M197" s="198" t="s">
        <v>4566</v>
      </c>
    </row>
    <row r="198" spans="1:13" s="225" customFormat="1" ht="369.75">
      <c r="A198" s="198" t="str">
        <f t="shared" ref="A198:A239" si="3">B198&amp;C198</f>
        <v>Smelter Reference ListA1</v>
      </c>
      <c r="B198" s="198" t="s">
        <v>2835</v>
      </c>
      <c r="C198" s="198" t="s">
        <v>1207</v>
      </c>
      <c r="D198" s="199" t="s">
        <v>3117</v>
      </c>
      <c r="E198" s="199" t="s">
        <v>3655</v>
      </c>
      <c r="F198" s="199" t="s">
        <v>4132</v>
      </c>
      <c r="G198" s="199" t="s">
        <v>3656</v>
      </c>
      <c r="H198" s="199" t="s">
        <v>3657</v>
      </c>
      <c r="I198" s="199" t="s">
        <v>3658</v>
      </c>
      <c r="J198" s="199" t="s">
        <v>3659</v>
      </c>
      <c r="K198" s="199" t="s">
        <v>3660</v>
      </c>
      <c r="L198" s="260" t="s">
        <v>4833</v>
      </c>
      <c r="M198" s="199" t="s">
        <v>4567</v>
      </c>
    </row>
    <row r="199" spans="1:13" ht="42.75">
      <c r="A199" s="198" t="str">
        <f t="shared" si="3"/>
        <v>Smelter Reference ListA4</v>
      </c>
      <c r="B199" s="198" t="s">
        <v>2835</v>
      </c>
      <c r="C199" s="198" t="s">
        <v>1210</v>
      </c>
      <c r="D199" s="198" t="s">
        <v>1510</v>
      </c>
      <c r="E199" s="200" t="s">
        <v>781</v>
      </c>
      <c r="F199" s="200" t="s">
        <v>2036</v>
      </c>
      <c r="G199" s="198" t="s">
        <v>2037</v>
      </c>
      <c r="H199" s="198" t="s">
        <v>2533</v>
      </c>
      <c r="I199" s="198" t="s">
        <v>1510</v>
      </c>
      <c r="J199" s="275" t="s">
        <v>1828</v>
      </c>
      <c r="K199" s="201" t="s">
        <v>1510</v>
      </c>
      <c r="L199" s="275" t="s">
        <v>888</v>
      </c>
      <c r="M199" s="198" t="s">
        <v>4568</v>
      </c>
    </row>
    <row r="200" spans="1:13" ht="42.75">
      <c r="A200" s="198" t="str">
        <f t="shared" si="3"/>
        <v>Smelter Reference ListB4</v>
      </c>
      <c r="B200" s="198" t="s">
        <v>2835</v>
      </c>
      <c r="C200" s="198" t="s">
        <v>1843</v>
      </c>
      <c r="D200" s="198" t="s">
        <v>2835</v>
      </c>
      <c r="E200" s="200" t="s">
        <v>2836</v>
      </c>
      <c r="F200" s="200" t="s">
        <v>2837</v>
      </c>
      <c r="G200" s="198" t="s">
        <v>2838</v>
      </c>
      <c r="H200" s="198" t="s">
        <v>2839</v>
      </c>
      <c r="I200" s="198" t="s">
        <v>2840</v>
      </c>
      <c r="J200" s="275" t="s">
        <v>2841</v>
      </c>
      <c r="K200" s="201" t="s">
        <v>2842</v>
      </c>
      <c r="L200" s="275" t="s">
        <v>889</v>
      </c>
      <c r="M200" s="198" t="s">
        <v>4569</v>
      </c>
    </row>
    <row r="201" spans="1:13" ht="42.75">
      <c r="A201" s="198" t="str">
        <f t="shared" si="3"/>
        <v>Smelter Reference List</v>
      </c>
      <c r="B201" s="198" t="s">
        <v>2835</v>
      </c>
      <c r="D201" s="198" t="s">
        <v>1784</v>
      </c>
      <c r="E201" s="200" t="s">
        <v>783</v>
      </c>
      <c r="F201" s="200" t="s">
        <v>2385</v>
      </c>
      <c r="G201" s="198" t="s">
        <v>1140</v>
      </c>
      <c r="H201" s="198" t="s">
        <v>707</v>
      </c>
      <c r="I201" s="198" t="s">
        <v>365</v>
      </c>
      <c r="J201" s="275" t="s">
        <v>2382</v>
      </c>
      <c r="K201" s="201" t="s">
        <v>2043</v>
      </c>
      <c r="L201" s="275" t="s">
        <v>1189</v>
      </c>
      <c r="M201" s="198" t="s">
        <v>4570</v>
      </c>
    </row>
    <row r="202" spans="1:13" ht="42.75">
      <c r="A202" s="198" t="str">
        <f t="shared" si="3"/>
        <v>Smelter Reference ListC4</v>
      </c>
      <c r="B202" s="198" t="s">
        <v>2835</v>
      </c>
      <c r="C202" s="198" t="s">
        <v>1864</v>
      </c>
      <c r="D202" s="198" t="s">
        <v>1783</v>
      </c>
      <c r="E202" s="200" t="s">
        <v>782</v>
      </c>
      <c r="F202" s="200" t="s">
        <v>2384</v>
      </c>
      <c r="G202" s="198" t="s">
        <v>1139</v>
      </c>
      <c r="H202" s="198" t="s">
        <v>706</v>
      </c>
      <c r="I202" s="198" t="s">
        <v>364</v>
      </c>
      <c r="J202" s="275" t="s">
        <v>2381</v>
      </c>
      <c r="K202" s="201" t="s">
        <v>413</v>
      </c>
      <c r="L202" s="275" t="s">
        <v>890</v>
      </c>
      <c r="M202" s="198" t="s">
        <v>4571</v>
      </c>
    </row>
    <row r="203" spans="1:13" ht="42.75">
      <c r="A203" s="198" t="str">
        <f t="shared" si="3"/>
        <v>Smelter Reference ListD4</v>
      </c>
      <c r="B203" s="198" t="s">
        <v>2835</v>
      </c>
      <c r="C203" s="198" t="s">
        <v>2535</v>
      </c>
      <c r="D203" s="198" t="s">
        <v>1782</v>
      </c>
      <c r="E203" s="200" t="s">
        <v>784</v>
      </c>
      <c r="F203" s="200" t="s">
        <v>1829</v>
      </c>
      <c r="G203" s="198" t="s">
        <v>1830</v>
      </c>
      <c r="H203" s="198" t="s">
        <v>708</v>
      </c>
      <c r="I203" s="198" t="s">
        <v>366</v>
      </c>
      <c r="J203" s="275" t="s">
        <v>2330</v>
      </c>
      <c r="K203" s="201" t="s">
        <v>414</v>
      </c>
      <c r="L203" s="275" t="s">
        <v>1188</v>
      </c>
      <c r="M203" s="198" t="s">
        <v>4572</v>
      </c>
    </row>
    <row r="204" spans="1:13" ht="42.75">
      <c r="A204" s="198" t="str">
        <f t="shared" si="3"/>
        <v>Smelter Reference List</v>
      </c>
      <c r="B204" s="198" t="s">
        <v>2835</v>
      </c>
      <c r="D204" s="198" t="s">
        <v>1232</v>
      </c>
      <c r="E204" s="200" t="s">
        <v>779</v>
      </c>
      <c r="F204" s="200" t="s">
        <v>637</v>
      </c>
      <c r="G204" s="198" t="s">
        <v>1039</v>
      </c>
      <c r="H204" s="198" t="s">
        <v>186</v>
      </c>
      <c r="I204" s="198" t="s">
        <v>362</v>
      </c>
      <c r="J204" s="275" t="s">
        <v>2619</v>
      </c>
      <c r="K204" s="201" t="s">
        <v>411</v>
      </c>
      <c r="L204" s="275" t="s">
        <v>80</v>
      </c>
      <c r="M204" s="198" t="s">
        <v>4573</v>
      </c>
    </row>
    <row r="205" spans="1:13" ht="42.75">
      <c r="A205" s="198" t="str">
        <f t="shared" si="3"/>
        <v>Smelter Reference ListE4</v>
      </c>
      <c r="B205" s="198" t="s">
        <v>2835</v>
      </c>
      <c r="C205" s="198" t="s">
        <v>2536</v>
      </c>
      <c r="D205" s="198" t="s">
        <v>1233</v>
      </c>
      <c r="E205" s="200" t="s">
        <v>780</v>
      </c>
      <c r="F205" s="200" t="s">
        <v>638</v>
      </c>
      <c r="G205" s="198" t="s">
        <v>1040</v>
      </c>
      <c r="H205" s="198" t="s">
        <v>187</v>
      </c>
      <c r="I205" s="198" t="s">
        <v>363</v>
      </c>
      <c r="J205" s="275" t="s">
        <v>2620</v>
      </c>
      <c r="K205" s="201" t="s">
        <v>412</v>
      </c>
      <c r="L205" s="275" t="s">
        <v>81</v>
      </c>
      <c r="M205" s="198" t="s">
        <v>4574</v>
      </c>
    </row>
    <row r="206" spans="1:13" ht="42.75">
      <c r="A206" s="198" t="str">
        <f t="shared" si="3"/>
        <v>Smelter Reference ListF4</v>
      </c>
      <c r="B206" s="198" t="s">
        <v>2835</v>
      </c>
      <c r="C206" s="198" t="s">
        <v>2546</v>
      </c>
      <c r="D206" s="198" t="s">
        <v>902</v>
      </c>
      <c r="E206" s="200" t="s">
        <v>468</v>
      </c>
      <c r="F206" s="200" t="s">
        <v>632</v>
      </c>
      <c r="G206" s="198" t="s">
        <v>1035</v>
      </c>
      <c r="H206" s="198" t="s">
        <v>713</v>
      </c>
      <c r="I206" s="198" t="s">
        <v>381</v>
      </c>
      <c r="J206" s="275" t="s">
        <v>2623</v>
      </c>
      <c r="K206" s="201" t="s">
        <v>166</v>
      </c>
      <c r="L206" s="275" t="s">
        <v>95</v>
      </c>
      <c r="M206" s="198" t="s">
        <v>4575</v>
      </c>
    </row>
    <row r="207" spans="1:13" ht="42.75">
      <c r="A207" s="198" t="str">
        <f t="shared" si="3"/>
        <v>Smelter Reference ListG4</v>
      </c>
      <c r="B207" s="198" t="s">
        <v>2835</v>
      </c>
      <c r="C207" s="198" t="s">
        <v>2537</v>
      </c>
      <c r="D207" s="198" t="s">
        <v>905</v>
      </c>
      <c r="E207" s="200" t="s">
        <v>2331</v>
      </c>
      <c r="F207" s="200" t="s">
        <v>624</v>
      </c>
      <c r="G207" s="198" t="s">
        <v>1027</v>
      </c>
      <c r="H207" s="198" t="s">
        <v>2332</v>
      </c>
      <c r="I207" s="198" t="s">
        <v>370</v>
      </c>
      <c r="J207" s="275" t="s">
        <v>1944</v>
      </c>
      <c r="K207" s="201" t="s">
        <v>417</v>
      </c>
      <c r="L207" s="290" t="s">
        <v>270</v>
      </c>
      <c r="M207" s="198" t="s">
        <v>4576</v>
      </c>
    </row>
    <row r="208" spans="1:13" ht="42.75">
      <c r="A208" s="198" t="str">
        <f t="shared" si="3"/>
        <v>Smelter Reference ListH4</v>
      </c>
      <c r="B208" s="198" t="s">
        <v>2835</v>
      </c>
      <c r="C208" s="198" t="s">
        <v>2538</v>
      </c>
      <c r="D208" s="198" t="s">
        <v>906</v>
      </c>
      <c r="E208" s="200" t="s">
        <v>2333</v>
      </c>
      <c r="F208" s="200" t="s">
        <v>625</v>
      </c>
      <c r="G208" s="198" t="s">
        <v>1028</v>
      </c>
      <c r="H208" s="198" t="s">
        <v>2334</v>
      </c>
      <c r="I208" s="198" t="s">
        <v>371</v>
      </c>
      <c r="J208" s="275" t="s">
        <v>1945</v>
      </c>
      <c r="K208" s="201" t="s">
        <v>418</v>
      </c>
      <c r="L208" s="290" t="s">
        <v>271</v>
      </c>
      <c r="M208" s="198" t="s">
        <v>4577</v>
      </c>
    </row>
    <row r="209" spans="1:13" ht="42.75">
      <c r="A209" s="198" t="str">
        <f t="shared" si="3"/>
        <v>Smelter Reference ListI4</v>
      </c>
      <c r="B209" s="198" t="s">
        <v>2835</v>
      </c>
      <c r="C209" s="198" t="s">
        <v>2539</v>
      </c>
      <c r="D209" s="198" t="s">
        <v>1781</v>
      </c>
      <c r="E209" s="200" t="s">
        <v>2335</v>
      </c>
      <c r="F209" s="200" t="s">
        <v>2336</v>
      </c>
      <c r="G209" s="198" t="s">
        <v>2337</v>
      </c>
      <c r="H209" s="198" t="s">
        <v>2338</v>
      </c>
      <c r="I209" s="198" t="s">
        <v>372</v>
      </c>
      <c r="J209" s="275" t="s">
        <v>1946</v>
      </c>
      <c r="K209" s="201" t="s">
        <v>160</v>
      </c>
      <c r="L209" s="290" t="s">
        <v>1187</v>
      </c>
      <c r="M209" s="198" t="s">
        <v>4578</v>
      </c>
    </row>
    <row r="210" spans="1:13" ht="28.5">
      <c r="A210" s="198" t="s">
        <v>4834</v>
      </c>
      <c r="B210" s="198" t="s">
        <v>2463</v>
      </c>
      <c r="C210" s="198" t="s">
        <v>1210</v>
      </c>
      <c r="D210" s="198" t="s">
        <v>4952</v>
      </c>
      <c r="E210" s="198" t="s">
        <v>4957</v>
      </c>
      <c r="F210" s="200" t="s">
        <v>4963</v>
      </c>
      <c r="G210" s="198" t="s">
        <v>4969</v>
      </c>
      <c r="H210" s="198" t="s">
        <v>4975</v>
      </c>
      <c r="I210" s="198" t="s">
        <v>4981</v>
      </c>
      <c r="J210" s="275" t="s">
        <v>4987</v>
      </c>
      <c r="K210" s="201" t="s">
        <v>4993</v>
      </c>
      <c r="L210" s="290" t="s">
        <v>4999</v>
      </c>
      <c r="M210" s="198" t="s">
        <v>5005</v>
      </c>
    </row>
    <row r="211" spans="1:13" ht="17.25">
      <c r="A211" s="198" t="str">
        <f t="shared" si="3"/>
        <v>Smelter ListB4</v>
      </c>
      <c r="B211" s="198" t="s">
        <v>2463</v>
      </c>
      <c r="C211" s="198" t="s">
        <v>1843</v>
      </c>
      <c r="D211" s="198" t="s">
        <v>1500</v>
      </c>
      <c r="E211" s="200" t="s">
        <v>2793</v>
      </c>
      <c r="F211" s="200" t="s">
        <v>1532</v>
      </c>
      <c r="G211" s="198" t="s">
        <v>2022</v>
      </c>
      <c r="H211" s="198" t="s">
        <v>2534</v>
      </c>
      <c r="I211" s="198" t="s">
        <v>2328</v>
      </c>
      <c r="J211" s="275" t="s">
        <v>2327</v>
      </c>
      <c r="K211" s="201" t="s">
        <v>2328</v>
      </c>
      <c r="L211" s="275" t="s">
        <v>884</v>
      </c>
      <c r="M211" s="198" t="s">
        <v>4579</v>
      </c>
    </row>
    <row r="212" spans="1:13" ht="28.5">
      <c r="A212" s="198" t="str">
        <f t="shared" si="3"/>
        <v>Smelter ListC4</v>
      </c>
      <c r="B212" s="198" t="s">
        <v>2463</v>
      </c>
      <c r="C212" s="198" t="s">
        <v>1864</v>
      </c>
      <c r="D212" s="198" t="s">
        <v>2044</v>
      </c>
      <c r="E212" s="200" t="s">
        <v>2794</v>
      </c>
      <c r="F212" s="200" t="s">
        <v>2045</v>
      </c>
      <c r="G212" s="198" t="s">
        <v>2046</v>
      </c>
      <c r="H212" s="198" t="s">
        <v>2047</v>
      </c>
      <c r="I212" s="198" t="s">
        <v>367</v>
      </c>
      <c r="J212" s="275" t="s">
        <v>2048</v>
      </c>
      <c r="K212" s="201" t="s">
        <v>2049</v>
      </c>
      <c r="L212" s="275" t="s">
        <v>889</v>
      </c>
      <c r="M212" s="198" t="s">
        <v>4580</v>
      </c>
    </row>
    <row r="213" spans="1:13" ht="28.5">
      <c r="A213" s="198" t="str">
        <f t="shared" si="3"/>
        <v>Smelter ListD4</v>
      </c>
      <c r="B213" s="198" t="s">
        <v>2463</v>
      </c>
      <c r="C213" s="198" t="s">
        <v>2535</v>
      </c>
      <c r="D213" s="198" t="s">
        <v>903</v>
      </c>
      <c r="E213" s="200" t="s">
        <v>2795</v>
      </c>
      <c r="F213" s="200" t="s">
        <v>622</v>
      </c>
      <c r="G213" s="198" t="s">
        <v>1025</v>
      </c>
      <c r="H213" s="198" t="s">
        <v>709</v>
      </c>
      <c r="I213" s="198" t="s">
        <v>368</v>
      </c>
      <c r="J213" s="275" t="s">
        <v>1942</v>
      </c>
      <c r="K213" s="201" t="s">
        <v>415</v>
      </c>
      <c r="L213" s="275" t="s">
        <v>268</v>
      </c>
      <c r="M213" s="198" t="s">
        <v>4581</v>
      </c>
    </row>
    <row r="214" spans="1:13" ht="17.25">
      <c r="A214" s="198" t="str">
        <f t="shared" si="3"/>
        <v>Smelter ListE4</v>
      </c>
      <c r="B214" s="198" t="s">
        <v>2463</v>
      </c>
      <c r="C214" s="198" t="s">
        <v>2536</v>
      </c>
      <c r="D214" s="198" t="s">
        <v>904</v>
      </c>
      <c r="E214" s="200" t="s">
        <v>2796</v>
      </c>
      <c r="F214" s="200" t="s">
        <v>623</v>
      </c>
      <c r="G214" s="198" t="s">
        <v>1026</v>
      </c>
      <c r="H214" s="198" t="s">
        <v>2329</v>
      </c>
      <c r="I214" s="198" t="s">
        <v>369</v>
      </c>
      <c r="J214" s="275" t="s">
        <v>1943</v>
      </c>
      <c r="K214" s="201" t="s">
        <v>416</v>
      </c>
      <c r="L214" s="275" t="s">
        <v>269</v>
      </c>
      <c r="M214" s="198" t="s">
        <v>4582</v>
      </c>
    </row>
    <row r="215" spans="1:13" ht="28.5">
      <c r="A215" s="198" t="str">
        <f t="shared" si="3"/>
        <v>Smelter ListH4</v>
      </c>
      <c r="B215" s="198" t="s">
        <v>2463</v>
      </c>
      <c r="C215" s="198" t="s">
        <v>2538</v>
      </c>
      <c r="D215" s="198" t="s">
        <v>905</v>
      </c>
      <c r="E215" s="200" t="s">
        <v>2331</v>
      </c>
      <c r="F215" s="200" t="s">
        <v>624</v>
      </c>
      <c r="G215" s="198" t="s">
        <v>1027</v>
      </c>
      <c r="H215" s="198" t="s">
        <v>2332</v>
      </c>
      <c r="I215" s="198" t="s">
        <v>370</v>
      </c>
      <c r="J215" s="275" t="s">
        <v>1944</v>
      </c>
      <c r="K215" s="201" t="s">
        <v>417</v>
      </c>
      <c r="L215" s="290" t="s">
        <v>270</v>
      </c>
      <c r="M215" s="198" t="s">
        <v>4576</v>
      </c>
    </row>
    <row r="216" spans="1:13">
      <c r="A216" s="198" t="str">
        <f t="shared" si="3"/>
        <v>Smelter ListI4</v>
      </c>
      <c r="B216" s="198" t="s">
        <v>2463</v>
      </c>
      <c r="C216" s="198" t="s">
        <v>2539</v>
      </c>
      <c r="D216" s="198" t="s">
        <v>906</v>
      </c>
      <c r="E216" s="200" t="s">
        <v>2333</v>
      </c>
      <c r="F216" s="200" t="s">
        <v>625</v>
      </c>
      <c r="G216" s="198" t="s">
        <v>1028</v>
      </c>
      <c r="H216" s="198" t="s">
        <v>2334</v>
      </c>
      <c r="I216" s="198" t="s">
        <v>371</v>
      </c>
      <c r="J216" s="275" t="s">
        <v>1945</v>
      </c>
      <c r="K216" s="201" t="s">
        <v>418</v>
      </c>
      <c r="L216" s="290" t="s">
        <v>271</v>
      </c>
      <c r="M216" s="198" t="s">
        <v>4577</v>
      </c>
    </row>
    <row r="217" spans="1:13" ht="28.5">
      <c r="A217" s="198" t="str">
        <f t="shared" si="3"/>
        <v>Smelter ListJ4</v>
      </c>
      <c r="B217" s="198" t="s">
        <v>2463</v>
      </c>
      <c r="C217" s="198" t="s">
        <v>2540</v>
      </c>
      <c r="D217" s="198" t="s">
        <v>1781</v>
      </c>
      <c r="E217" s="200" t="s">
        <v>2335</v>
      </c>
      <c r="F217" s="200" t="s">
        <v>2336</v>
      </c>
      <c r="G217" s="198" t="s">
        <v>2337</v>
      </c>
      <c r="H217" s="198" t="s">
        <v>2338</v>
      </c>
      <c r="I217" s="198" t="s">
        <v>372</v>
      </c>
      <c r="J217" s="275" t="s">
        <v>1946</v>
      </c>
      <c r="K217" s="201" t="s">
        <v>160</v>
      </c>
      <c r="L217" s="290" t="s">
        <v>1187</v>
      </c>
      <c r="M217" s="198" t="s">
        <v>4578</v>
      </c>
    </row>
    <row r="218" spans="1:13" ht="28.5">
      <c r="A218" s="198" t="str">
        <f t="shared" si="3"/>
        <v>Smelter ListK4</v>
      </c>
      <c r="B218" s="198" t="s">
        <v>2463</v>
      </c>
      <c r="C218" s="198" t="s">
        <v>2541</v>
      </c>
      <c r="D218" s="198" t="s">
        <v>907</v>
      </c>
      <c r="E218" s="200" t="s">
        <v>785</v>
      </c>
      <c r="F218" s="200" t="s">
        <v>626</v>
      </c>
      <c r="G218" s="198" t="s">
        <v>1029</v>
      </c>
      <c r="H218" s="198" t="s">
        <v>2339</v>
      </c>
      <c r="I218" s="198" t="s">
        <v>373</v>
      </c>
      <c r="J218" s="275" t="s">
        <v>1947</v>
      </c>
      <c r="K218" s="201" t="s">
        <v>2340</v>
      </c>
      <c r="L218" s="290" t="s">
        <v>885</v>
      </c>
      <c r="M218" s="198" t="s">
        <v>4583</v>
      </c>
    </row>
    <row r="219" spans="1:13" ht="28.5">
      <c r="A219" s="198" t="str">
        <f t="shared" si="3"/>
        <v>Smelter ListL4</v>
      </c>
      <c r="B219" s="198" t="s">
        <v>2463</v>
      </c>
      <c r="C219" s="198" t="s">
        <v>2542</v>
      </c>
      <c r="D219" s="198" t="s">
        <v>908</v>
      </c>
      <c r="E219" s="200" t="s">
        <v>786</v>
      </c>
      <c r="F219" s="200" t="s">
        <v>627</v>
      </c>
      <c r="G219" s="198" t="s">
        <v>1030</v>
      </c>
      <c r="H219" s="198" t="s">
        <v>2341</v>
      </c>
      <c r="I219" s="198" t="s">
        <v>374</v>
      </c>
      <c r="J219" s="275" t="s">
        <v>29</v>
      </c>
      <c r="K219" s="201" t="s">
        <v>2342</v>
      </c>
      <c r="L219" s="275" t="s">
        <v>886</v>
      </c>
      <c r="M219" s="198" t="s">
        <v>4584</v>
      </c>
    </row>
    <row r="220" spans="1:13" ht="28.5">
      <c r="A220" s="198" t="str">
        <f t="shared" si="3"/>
        <v>Smelter ListM4</v>
      </c>
      <c r="B220" s="198" t="s">
        <v>2463</v>
      </c>
      <c r="C220" s="198" t="s">
        <v>2543</v>
      </c>
      <c r="D220" s="198" t="s">
        <v>909</v>
      </c>
      <c r="E220" s="200" t="s">
        <v>787</v>
      </c>
      <c r="F220" s="200" t="s">
        <v>628</v>
      </c>
      <c r="G220" s="198" t="s">
        <v>1031</v>
      </c>
      <c r="H220" s="198" t="s">
        <v>2343</v>
      </c>
      <c r="I220" s="198" t="s">
        <v>375</v>
      </c>
      <c r="J220" s="275" t="s">
        <v>30</v>
      </c>
      <c r="K220" s="201" t="s">
        <v>161</v>
      </c>
      <c r="L220" s="275" t="s">
        <v>272</v>
      </c>
      <c r="M220" s="198" t="s">
        <v>4585</v>
      </c>
    </row>
    <row r="221" spans="1:13" ht="57">
      <c r="A221" s="198" t="str">
        <f t="shared" si="3"/>
        <v>Smelter ListN4</v>
      </c>
      <c r="B221" s="198" t="s">
        <v>2463</v>
      </c>
      <c r="C221" s="198" t="s">
        <v>2544</v>
      </c>
      <c r="D221" s="198" t="s">
        <v>944</v>
      </c>
      <c r="E221" s="200" t="s">
        <v>788</v>
      </c>
      <c r="F221" s="200" t="s">
        <v>629</v>
      </c>
      <c r="G221" s="198" t="s">
        <v>1032</v>
      </c>
      <c r="H221" s="200" t="s">
        <v>710</v>
      </c>
      <c r="I221" s="198" t="s">
        <v>376</v>
      </c>
      <c r="J221" s="275" t="s">
        <v>2621</v>
      </c>
      <c r="K221" s="201" t="s">
        <v>162</v>
      </c>
      <c r="L221" s="275" t="s">
        <v>273</v>
      </c>
      <c r="M221" s="198" t="s">
        <v>4586</v>
      </c>
    </row>
    <row r="222" spans="1:13" ht="71.25">
      <c r="A222" s="198" t="str">
        <f t="shared" si="3"/>
        <v>Smelter ListO4</v>
      </c>
      <c r="B222" s="198" t="s">
        <v>2463</v>
      </c>
      <c r="C222" s="198" t="s">
        <v>2545</v>
      </c>
      <c r="D222" s="198" t="s">
        <v>1885</v>
      </c>
      <c r="E222" s="200" t="s">
        <v>789</v>
      </c>
      <c r="F222" s="200" t="s">
        <v>630</v>
      </c>
      <c r="G222" s="198" t="s">
        <v>1033</v>
      </c>
      <c r="H222" s="198" t="s">
        <v>711</v>
      </c>
      <c r="I222" s="198" t="s">
        <v>377</v>
      </c>
      <c r="J222" s="275" t="s">
        <v>2645</v>
      </c>
      <c r="K222" s="201" t="s">
        <v>163</v>
      </c>
      <c r="L222" s="275" t="s">
        <v>274</v>
      </c>
      <c r="M222" s="198" t="s">
        <v>4587</v>
      </c>
    </row>
    <row r="223" spans="1:13" ht="71.25">
      <c r="A223" s="198" t="str">
        <f t="shared" si="3"/>
        <v>Smelter ListP4</v>
      </c>
      <c r="B223" s="198" t="s">
        <v>2463</v>
      </c>
      <c r="C223" s="198" t="s">
        <v>933</v>
      </c>
      <c r="D223" s="198" t="s">
        <v>943</v>
      </c>
      <c r="E223" s="200" t="s">
        <v>790</v>
      </c>
      <c r="F223" s="200" t="s">
        <v>631</v>
      </c>
      <c r="G223" s="198" t="s">
        <v>1034</v>
      </c>
      <c r="H223" s="282" t="s">
        <v>712</v>
      </c>
      <c r="I223" s="198" t="s">
        <v>378</v>
      </c>
      <c r="J223" s="275" t="s">
        <v>2622</v>
      </c>
      <c r="K223" s="201" t="s">
        <v>164</v>
      </c>
      <c r="L223" s="275" t="s">
        <v>275</v>
      </c>
      <c r="M223" s="198" t="s">
        <v>4588</v>
      </c>
    </row>
    <row r="224" spans="1:13" ht="28.5">
      <c r="A224" s="198" t="str">
        <f t="shared" si="3"/>
        <v>Smelter ListQ4</v>
      </c>
      <c r="B224" s="198" t="s">
        <v>2463</v>
      </c>
      <c r="C224" s="198" t="s">
        <v>942</v>
      </c>
      <c r="D224" s="198" t="s">
        <v>1497</v>
      </c>
      <c r="E224" s="200" t="s">
        <v>477</v>
      </c>
      <c r="F224" s="200" t="s">
        <v>2030</v>
      </c>
      <c r="G224" s="198" t="s">
        <v>1808</v>
      </c>
      <c r="H224" s="198" t="s">
        <v>1809</v>
      </c>
      <c r="I224" s="198" t="s">
        <v>1810</v>
      </c>
      <c r="J224" s="275" t="s">
        <v>1941</v>
      </c>
      <c r="K224" s="201" t="s">
        <v>1811</v>
      </c>
      <c r="L224" s="275" t="s">
        <v>882</v>
      </c>
      <c r="M224" s="198" t="s">
        <v>4552</v>
      </c>
    </row>
    <row r="225" spans="1:13" ht="42.75">
      <c r="A225" s="198" t="str">
        <f t="shared" si="3"/>
        <v>Smelter ListJ2</v>
      </c>
      <c r="B225" s="198" t="s">
        <v>2463</v>
      </c>
      <c r="C225" s="198" t="s">
        <v>1479</v>
      </c>
      <c r="D225" s="198" t="s">
        <v>181</v>
      </c>
      <c r="E225" s="200" t="s">
        <v>791</v>
      </c>
      <c r="F225" s="200" t="s">
        <v>2344</v>
      </c>
      <c r="G225" s="198" t="s">
        <v>480</v>
      </c>
      <c r="H225" s="198" t="s">
        <v>182</v>
      </c>
      <c r="I225" s="198" t="s">
        <v>379</v>
      </c>
      <c r="J225" s="275" t="s">
        <v>1948</v>
      </c>
      <c r="K225" s="201" t="s">
        <v>183</v>
      </c>
      <c r="L225" s="275" t="s">
        <v>887</v>
      </c>
      <c r="M225" s="198" t="s">
        <v>4589</v>
      </c>
    </row>
    <row r="226" spans="1:13" s="225" customFormat="1" ht="28.5">
      <c r="A226" s="198" t="str">
        <f t="shared" si="3"/>
        <v>Smelter ListB2</v>
      </c>
      <c r="B226" s="198" t="s">
        <v>2463</v>
      </c>
      <c r="C226" s="198" t="s">
        <v>1891</v>
      </c>
      <c r="D226" s="291" t="s">
        <v>4949</v>
      </c>
      <c r="E226" s="198" t="s">
        <v>4958</v>
      </c>
      <c r="F226" s="198" t="s">
        <v>4964</v>
      </c>
      <c r="G226" s="198" t="s">
        <v>4970</v>
      </c>
      <c r="H226" s="198" t="s">
        <v>4976</v>
      </c>
      <c r="I226" s="198" t="s">
        <v>4982</v>
      </c>
      <c r="J226" s="198" t="s">
        <v>4988</v>
      </c>
      <c r="K226" s="198" t="s">
        <v>4994</v>
      </c>
      <c r="L226" s="198" t="s">
        <v>5000</v>
      </c>
      <c r="M226" s="262" t="s">
        <v>5006</v>
      </c>
    </row>
    <row r="227" spans="1:13" s="225" customFormat="1" ht="409.5">
      <c r="A227" s="198" t="str">
        <f>B227&amp;C227</f>
        <v>Smelter ListB3</v>
      </c>
      <c r="B227" s="198" t="s">
        <v>2463</v>
      </c>
      <c r="C227" s="198" t="s">
        <v>1842</v>
      </c>
      <c r="D227" s="291" t="s">
        <v>4951</v>
      </c>
      <c r="E227" s="198" t="s">
        <v>4959</v>
      </c>
      <c r="F227" s="198" t="s">
        <v>4965</v>
      </c>
      <c r="G227" s="198" t="s">
        <v>4971</v>
      </c>
      <c r="H227" s="198" t="s">
        <v>4977</v>
      </c>
      <c r="I227" s="198" t="s">
        <v>4983</v>
      </c>
      <c r="J227" s="198" t="s">
        <v>4989</v>
      </c>
      <c r="K227" s="198" t="s">
        <v>4995</v>
      </c>
      <c r="L227" s="198" t="s">
        <v>5001</v>
      </c>
      <c r="M227" s="262" t="s">
        <v>5007</v>
      </c>
    </row>
    <row r="228" spans="1:13">
      <c r="A228" s="198" t="str">
        <f t="shared" si="3"/>
        <v>Smelter ListF4</v>
      </c>
      <c r="B228" s="198" t="s">
        <v>2463</v>
      </c>
      <c r="C228" s="198" t="s">
        <v>2546</v>
      </c>
      <c r="D228" s="198" t="s">
        <v>901</v>
      </c>
      <c r="E228" s="200" t="s">
        <v>467</v>
      </c>
      <c r="F228" s="200" t="s">
        <v>2383</v>
      </c>
      <c r="G228" s="198" t="s">
        <v>1138</v>
      </c>
      <c r="H228" s="198" t="s">
        <v>705</v>
      </c>
      <c r="I228" s="198" t="s">
        <v>380</v>
      </c>
      <c r="J228" s="275" t="s">
        <v>2380</v>
      </c>
      <c r="K228" s="201" t="s">
        <v>165</v>
      </c>
      <c r="L228" s="275" t="s">
        <v>94</v>
      </c>
      <c r="M228" s="198" t="s">
        <v>4590</v>
      </c>
    </row>
    <row r="229" spans="1:13" ht="28.5">
      <c r="A229" s="198" t="str">
        <f t="shared" si="3"/>
        <v>Smelter ListG4</v>
      </c>
      <c r="B229" s="198" t="s">
        <v>2463</v>
      </c>
      <c r="C229" s="198" t="s">
        <v>2537</v>
      </c>
      <c r="D229" s="198" t="s">
        <v>902</v>
      </c>
      <c r="E229" s="200" t="s">
        <v>468</v>
      </c>
      <c r="F229" s="200" t="s">
        <v>632</v>
      </c>
      <c r="G229" s="198" t="s">
        <v>1035</v>
      </c>
      <c r="H229" s="198" t="s">
        <v>713</v>
      </c>
      <c r="I229" s="198" t="s">
        <v>381</v>
      </c>
      <c r="J229" s="275" t="s">
        <v>2623</v>
      </c>
      <c r="K229" s="201" t="s">
        <v>166</v>
      </c>
      <c r="L229" s="275" t="s">
        <v>95</v>
      </c>
      <c r="M229" s="198" t="s">
        <v>4575</v>
      </c>
    </row>
    <row r="230" spans="1:13" ht="71.25">
      <c r="A230" s="198" t="str">
        <f t="shared" si="3"/>
        <v>CheckerA1</v>
      </c>
      <c r="B230" s="198" t="s">
        <v>2464</v>
      </c>
      <c r="C230" s="198" t="s">
        <v>1207</v>
      </c>
      <c r="D230" s="198" t="s">
        <v>1778</v>
      </c>
      <c r="E230" s="200" t="s">
        <v>469</v>
      </c>
      <c r="F230" s="200" t="s">
        <v>633</v>
      </c>
      <c r="G230" s="198" t="s">
        <v>2345</v>
      </c>
      <c r="H230" s="198" t="s">
        <v>714</v>
      </c>
      <c r="I230" s="198" t="s">
        <v>382</v>
      </c>
      <c r="J230" s="275" t="s">
        <v>2646</v>
      </c>
      <c r="K230" s="201" t="s">
        <v>2346</v>
      </c>
      <c r="L230" s="275" t="s">
        <v>2568</v>
      </c>
      <c r="M230" s="198" t="s">
        <v>4591</v>
      </c>
    </row>
    <row r="231" spans="1:13" ht="28.5">
      <c r="A231" s="198" t="str">
        <f t="shared" si="3"/>
        <v>CheckerD1</v>
      </c>
      <c r="B231" s="198" t="s">
        <v>2464</v>
      </c>
      <c r="C231" s="198" t="s">
        <v>2547</v>
      </c>
      <c r="D231" s="198" t="s">
        <v>1780</v>
      </c>
      <c r="E231" s="200" t="s">
        <v>470</v>
      </c>
      <c r="F231" s="200" t="s">
        <v>2347</v>
      </c>
      <c r="G231" s="198" t="s">
        <v>2348</v>
      </c>
      <c r="H231" s="198" t="s">
        <v>2349</v>
      </c>
      <c r="I231" s="198" t="s">
        <v>383</v>
      </c>
      <c r="J231" s="282" t="s">
        <v>2647</v>
      </c>
      <c r="K231" s="201" t="s">
        <v>2350</v>
      </c>
      <c r="L231" s="292" t="s">
        <v>2569</v>
      </c>
      <c r="M231" s="198" t="s">
        <v>4592</v>
      </c>
    </row>
    <row r="232" spans="1:13">
      <c r="A232" s="198" t="str">
        <f t="shared" si="3"/>
        <v>CheckerA3</v>
      </c>
      <c r="B232" s="198" t="s">
        <v>2464</v>
      </c>
      <c r="C232" s="198" t="s">
        <v>1209</v>
      </c>
      <c r="D232" s="198" t="s">
        <v>1552</v>
      </c>
      <c r="E232" s="200" t="s">
        <v>471</v>
      </c>
      <c r="F232" s="200" t="s">
        <v>2351</v>
      </c>
      <c r="G232" s="198" t="s">
        <v>2352</v>
      </c>
      <c r="H232" s="198" t="s">
        <v>2353</v>
      </c>
      <c r="I232" s="198" t="s">
        <v>2354</v>
      </c>
      <c r="J232" s="282" t="s">
        <v>2355</v>
      </c>
      <c r="K232" s="201" t="s">
        <v>2356</v>
      </c>
      <c r="L232" s="292" t="s">
        <v>2570</v>
      </c>
      <c r="M232" s="198" t="s">
        <v>4593</v>
      </c>
    </row>
    <row r="233" spans="1:13">
      <c r="A233" s="198" t="str">
        <f t="shared" si="3"/>
        <v>CheckerB3</v>
      </c>
      <c r="B233" s="198" t="s">
        <v>2464</v>
      </c>
      <c r="C233" s="198" t="s">
        <v>1842</v>
      </c>
      <c r="D233" s="198" t="s">
        <v>1553</v>
      </c>
      <c r="E233" s="200" t="s">
        <v>472</v>
      </c>
      <c r="F233" s="200" t="s">
        <v>1530</v>
      </c>
      <c r="G233" s="198" t="s">
        <v>2357</v>
      </c>
      <c r="H233" s="198" t="s">
        <v>2358</v>
      </c>
      <c r="I233" s="198" t="s">
        <v>2359</v>
      </c>
      <c r="J233" s="282" t="s">
        <v>2360</v>
      </c>
      <c r="K233" s="201" t="s">
        <v>2361</v>
      </c>
      <c r="L233" s="292" t="s">
        <v>2571</v>
      </c>
      <c r="M233" s="198" t="s">
        <v>4594</v>
      </c>
    </row>
    <row r="234" spans="1:13">
      <c r="A234" s="198" t="str">
        <f t="shared" si="3"/>
        <v>CheckerC3</v>
      </c>
      <c r="B234" s="198" t="s">
        <v>2464</v>
      </c>
      <c r="C234" s="198" t="s">
        <v>1863</v>
      </c>
      <c r="D234" s="198" t="s">
        <v>1776</v>
      </c>
      <c r="E234" s="200" t="s">
        <v>473</v>
      </c>
      <c r="F234" s="200" t="s">
        <v>2362</v>
      </c>
      <c r="G234" s="198" t="s">
        <v>2363</v>
      </c>
      <c r="H234" s="198" t="s">
        <v>2364</v>
      </c>
      <c r="I234" s="198" t="s">
        <v>2365</v>
      </c>
      <c r="J234" s="282" t="s">
        <v>2366</v>
      </c>
      <c r="K234" s="201" t="s">
        <v>2365</v>
      </c>
      <c r="L234" s="292" t="s">
        <v>2572</v>
      </c>
      <c r="M234" s="198" t="s">
        <v>4595</v>
      </c>
    </row>
    <row r="235" spans="1:13">
      <c r="A235" s="198" t="str">
        <f t="shared" si="3"/>
        <v>CheckerD3</v>
      </c>
      <c r="B235" s="198" t="s">
        <v>2464</v>
      </c>
      <c r="C235" s="198" t="s">
        <v>2548</v>
      </c>
      <c r="D235" s="198" t="s">
        <v>1777</v>
      </c>
      <c r="E235" s="200" t="s">
        <v>474</v>
      </c>
      <c r="F235" s="200" t="s">
        <v>1457</v>
      </c>
      <c r="G235" s="198" t="s">
        <v>1458</v>
      </c>
      <c r="H235" s="198" t="s">
        <v>1459</v>
      </c>
      <c r="I235" s="198" t="s">
        <v>384</v>
      </c>
      <c r="J235" s="282" t="s">
        <v>1469</v>
      </c>
      <c r="K235" s="201" t="s">
        <v>1460</v>
      </c>
      <c r="L235" s="292" t="s">
        <v>1461</v>
      </c>
      <c r="M235" s="198" t="s">
        <v>4596</v>
      </c>
    </row>
    <row r="236" spans="1:13" s="225" customFormat="1" ht="32.25" customHeight="1">
      <c r="A236" s="198" t="s">
        <v>2922</v>
      </c>
      <c r="B236" s="198" t="s">
        <v>2464</v>
      </c>
      <c r="C236" s="198" t="s">
        <v>2921</v>
      </c>
      <c r="D236" s="198" t="s">
        <v>2923</v>
      </c>
      <c r="E236" s="198" t="s">
        <v>4104</v>
      </c>
      <c r="F236" s="198" t="s">
        <v>4105</v>
      </c>
      <c r="G236" s="198" t="s">
        <v>4106</v>
      </c>
      <c r="H236" s="198" t="s">
        <v>4107</v>
      </c>
      <c r="I236" s="198" t="s">
        <v>4108</v>
      </c>
      <c r="J236" s="198" t="s">
        <v>4109</v>
      </c>
      <c r="K236" s="198" t="s">
        <v>4110</v>
      </c>
      <c r="L236" s="198" t="s">
        <v>4111</v>
      </c>
      <c r="M236" s="198" t="s">
        <v>4597</v>
      </c>
    </row>
    <row r="237" spans="1:13" s="225" customFormat="1" ht="32.25" customHeight="1">
      <c r="A237" s="198" t="str">
        <f t="shared" si="3"/>
        <v>CheckerB63</v>
      </c>
      <c r="B237" s="198" t="s">
        <v>2464</v>
      </c>
      <c r="C237" s="198" t="s">
        <v>3614</v>
      </c>
      <c r="D237" s="198" t="s">
        <v>2923</v>
      </c>
      <c r="E237" s="198" t="s">
        <v>4104</v>
      </c>
      <c r="F237" s="198" t="s">
        <v>4105</v>
      </c>
      <c r="G237" s="198" t="s">
        <v>4106</v>
      </c>
      <c r="H237" s="198" t="s">
        <v>4107</v>
      </c>
      <c r="I237" s="198" t="s">
        <v>4108</v>
      </c>
      <c r="J237" s="198" t="s">
        <v>4109</v>
      </c>
      <c r="K237" s="198" t="s">
        <v>4110</v>
      </c>
      <c r="L237" s="198" t="s">
        <v>4111</v>
      </c>
      <c r="M237" s="198" t="s">
        <v>4597</v>
      </c>
    </row>
    <row r="238" spans="1:13" s="225" customFormat="1" ht="32.25" customHeight="1">
      <c r="A238" s="198" t="str">
        <f t="shared" si="3"/>
        <v>CheckerB64</v>
      </c>
      <c r="B238" s="198" t="s">
        <v>2464</v>
      </c>
      <c r="C238" s="198" t="s">
        <v>3615</v>
      </c>
      <c r="D238" s="198" t="s">
        <v>2923</v>
      </c>
      <c r="E238" s="198" t="s">
        <v>4104</v>
      </c>
      <c r="F238" s="198" t="s">
        <v>4105</v>
      </c>
      <c r="G238" s="198" t="s">
        <v>4106</v>
      </c>
      <c r="H238" s="198" t="s">
        <v>4107</v>
      </c>
      <c r="I238" s="198" t="s">
        <v>4108</v>
      </c>
      <c r="J238" s="198" t="s">
        <v>4109</v>
      </c>
      <c r="K238" s="198" t="s">
        <v>4110</v>
      </c>
      <c r="L238" s="198" t="s">
        <v>4111</v>
      </c>
      <c r="M238" s="198" t="s">
        <v>4597</v>
      </c>
    </row>
    <row r="239" spans="1:13" s="225" customFormat="1" ht="32.25" customHeight="1">
      <c r="A239" s="198" t="str">
        <f t="shared" si="3"/>
        <v>CheckerB65</v>
      </c>
      <c r="B239" s="198" t="s">
        <v>2464</v>
      </c>
      <c r="C239" s="198" t="s">
        <v>3616</v>
      </c>
      <c r="D239" s="198" t="s">
        <v>2923</v>
      </c>
      <c r="E239" s="198" t="s">
        <v>4104</v>
      </c>
      <c r="F239" s="198" t="s">
        <v>4105</v>
      </c>
      <c r="G239" s="198" t="s">
        <v>4106</v>
      </c>
      <c r="H239" s="198" t="s">
        <v>4107</v>
      </c>
      <c r="I239" s="198" t="s">
        <v>4108</v>
      </c>
      <c r="J239" s="198" t="s">
        <v>4109</v>
      </c>
      <c r="K239" s="198" t="s">
        <v>4110</v>
      </c>
      <c r="L239" s="198" t="s">
        <v>4111</v>
      </c>
      <c r="M239" s="198" t="s">
        <v>4597</v>
      </c>
    </row>
    <row r="240" spans="1:13" s="225" customFormat="1" ht="32.25" customHeight="1">
      <c r="A240" s="198" t="s">
        <v>2943</v>
      </c>
      <c r="B240" s="198" t="s">
        <v>2464</v>
      </c>
      <c r="C240" s="198" t="s">
        <v>2942</v>
      </c>
      <c r="D240" s="198" t="s">
        <v>2944</v>
      </c>
      <c r="E240" s="198" t="s">
        <v>3661</v>
      </c>
      <c r="F240" s="198" t="s">
        <v>3662</v>
      </c>
      <c r="G240" s="198" t="s">
        <v>3663</v>
      </c>
      <c r="H240" s="198" t="s">
        <v>3664</v>
      </c>
      <c r="I240" s="198" t="s">
        <v>3665</v>
      </c>
      <c r="J240" s="198" t="s">
        <v>3666</v>
      </c>
      <c r="K240" s="198" t="s">
        <v>2944</v>
      </c>
      <c r="L240" s="198" t="s">
        <v>3667</v>
      </c>
      <c r="M240" s="198" t="s">
        <v>4598</v>
      </c>
    </row>
    <row r="241" spans="1:13" s="225" customFormat="1" ht="42.75">
      <c r="A241" s="198" t="s">
        <v>2924</v>
      </c>
      <c r="B241" s="198" t="s">
        <v>2464</v>
      </c>
      <c r="C241" s="198" t="s">
        <v>2540</v>
      </c>
      <c r="D241" s="198" t="s">
        <v>3098</v>
      </c>
      <c r="E241" s="198" t="s">
        <v>3668</v>
      </c>
      <c r="F241" s="198" t="s">
        <v>3669</v>
      </c>
      <c r="G241" s="198" t="s">
        <v>3670</v>
      </c>
      <c r="H241" s="198" t="s">
        <v>3671</v>
      </c>
      <c r="I241" s="198" t="s">
        <v>3672</v>
      </c>
      <c r="J241" s="198" t="s">
        <v>3673</v>
      </c>
      <c r="K241" s="198" t="s">
        <v>3674</v>
      </c>
      <c r="L241" s="198" t="s">
        <v>3675</v>
      </c>
      <c r="M241" s="198" t="s">
        <v>4599</v>
      </c>
    </row>
    <row r="242" spans="1:13" s="225" customFormat="1" ht="42.75">
      <c r="A242" s="198" t="s">
        <v>2945</v>
      </c>
      <c r="B242" s="198" t="s">
        <v>2464</v>
      </c>
      <c r="C242" s="198" t="s">
        <v>2925</v>
      </c>
      <c r="D242" s="198" t="s">
        <v>3097</v>
      </c>
      <c r="E242" s="198" t="s">
        <v>3676</v>
      </c>
      <c r="F242" s="198" t="s">
        <v>3677</v>
      </c>
      <c r="G242" s="198" t="s">
        <v>3678</v>
      </c>
      <c r="H242" s="198" t="s">
        <v>3679</v>
      </c>
      <c r="I242" s="198" t="s">
        <v>3680</v>
      </c>
      <c r="J242" s="198" t="s">
        <v>3681</v>
      </c>
      <c r="K242" s="198" t="s">
        <v>3682</v>
      </c>
      <c r="L242" s="198" t="s">
        <v>3683</v>
      </c>
      <c r="M242" s="198" t="s">
        <v>4600</v>
      </c>
    </row>
    <row r="243" spans="1:13" s="225" customFormat="1" ht="42.75">
      <c r="A243" s="198" t="s">
        <v>3032</v>
      </c>
      <c r="B243" s="198" t="s">
        <v>2464</v>
      </c>
      <c r="C243" s="198" t="s">
        <v>2926</v>
      </c>
      <c r="D243" s="198" t="s">
        <v>3103</v>
      </c>
      <c r="E243" s="198" t="s">
        <v>3684</v>
      </c>
      <c r="F243" s="198" t="s">
        <v>3685</v>
      </c>
      <c r="G243" s="198" t="s">
        <v>3686</v>
      </c>
      <c r="H243" s="198" t="s">
        <v>3687</v>
      </c>
      <c r="I243" s="198" t="s">
        <v>3688</v>
      </c>
      <c r="J243" s="198" t="s">
        <v>3689</v>
      </c>
      <c r="K243" s="198" t="s">
        <v>3690</v>
      </c>
      <c r="L243" s="198" t="s">
        <v>3691</v>
      </c>
      <c r="M243" s="198" t="s">
        <v>4601</v>
      </c>
    </row>
    <row r="244" spans="1:13" s="225" customFormat="1" ht="42.75">
      <c r="A244" s="198" t="s">
        <v>3033</v>
      </c>
      <c r="B244" s="198" t="s">
        <v>2464</v>
      </c>
      <c r="C244" s="198" t="s">
        <v>2927</v>
      </c>
      <c r="D244" s="198" t="s">
        <v>3006</v>
      </c>
      <c r="E244" s="198" t="s">
        <v>3692</v>
      </c>
      <c r="F244" s="198" t="s">
        <v>3693</v>
      </c>
      <c r="G244" s="198" t="s">
        <v>3694</v>
      </c>
      <c r="H244" s="198" t="s">
        <v>3695</v>
      </c>
      <c r="I244" s="198" t="s">
        <v>3696</v>
      </c>
      <c r="J244" s="198" t="s">
        <v>3697</v>
      </c>
      <c r="K244" s="198" t="s">
        <v>3698</v>
      </c>
      <c r="L244" s="198" t="s">
        <v>3699</v>
      </c>
      <c r="M244" s="198" t="s">
        <v>4602</v>
      </c>
    </row>
    <row r="245" spans="1:13" s="225" customFormat="1" ht="42.75">
      <c r="A245" s="198" t="s">
        <v>3048</v>
      </c>
      <c r="B245" s="198" t="s">
        <v>2464</v>
      </c>
      <c r="C245" s="198" t="s">
        <v>2928</v>
      </c>
      <c r="D245" s="198" t="s">
        <v>3007</v>
      </c>
      <c r="E245" s="198" t="s">
        <v>3700</v>
      </c>
      <c r="F245" s="198" t="s">
        <v>3701</v>
      </c>
      <c r="G245" s="198" t="s">
        <v>3702</v>
      </c>
      <c r="H245" s="198" t="s">
        <v>3703</v>
      </c>
      <c r="I245" s="198" t="s">
        <v>3704</v>
      </c>
      <c r="J245" s="198" t="s">
        <v>3705</v>
      </c>
      <c r="K245" s="198" t="s">
        <v>3706</v>
      </c>
      <c r="L245" s="198" t="s">
        <v>3707</v>
      </c>
      <c r="M245" s="198" t="s">
        <v>4603</v>
      </c>
    </row>
    <row r="246" spans="1:13" s="225" customFormat="1" ht="42.75">
      <c r="A246" s="198" t="s">
        <v>3049</v>
      </c>
      <c r="B246" s="198" t="s">
        <v>2464</v>
      </c>
      <c r="C246" s="198" t="s">
        <v>2929</v>
      </c>
      <c r="D246" s="198" t="s">
        <v>3008</v>
      </c>
      <c r="E246" s="198" t="s">
        <v>3708</v>
      </c>
      <c r="F246" s="198" t="s">
        <v>3709</v>
      </c>
      <c r="G246" s="198" t="s">
        <v>3710</v>
      </c>
      <c r="H246" s="198" t="s">
        <v>3711</v>
      </c>
      <c r="I246" s="198" t="s">
        <v>3712</v>
      </c>
      <c r="J246" s="198" t="s">
        <v>3713</v>
      </c>
      <c r="K246" s="198" t="s">
        <v>3714</v>
      </c>
      <c r="L246" s="198" t="s">
        <v>3715</v>
      </c>
      <c r="M246" s="198" t="s">
        <v>4604</v>
      </c>
    </row>
    <row r="247" spans="1:13" s="225" customFormat="1" ht="57">
      <c r="A247" s="198" t="s">
        <v>3050</v>
      </c>
      <c r="B247" s="198" t="s">
        <v>2464</v>
      </c>
      <c r="C247" s="198" t="s">
        <v>2930</v>
      </c>
      <c r="D247" s="198" t="s">
        <v>3009</v>
      </c>
      <c r="E247" s="198" t="s">
        <v>3716</v>
      </c>
      <c r="F247" s="198" t="s">
        <v>3717</v>
      </c>
      <c r="G247" s="198" t="s">
        <v>3718</v>
      </c>
      <c r="H247" s="198" t="s">
        <v>3719</v>
      </c>
      <c r="I247" s="198" t="s">
        <v>3720</v>
      </c>
      <c r="J247" s="198" t="s">
        <v>3721</v>
      </c>
      <c r="K247" s="198" t="s">
        <v>3722</v>
      </c>
      <c r="L247" s="198" t="s">
        <v>3723</v>
      </c>
      <c r="M247" s="198" t="s">
        <v>4605</v>
      </c>
    </row>
    <row r="248" spans="1:13" s="225" customFormat="1" ht="57">
      <c r="A248" s="198" t="s">
        <v>3051</v>
      </c>
      <c r="B248" s="198" t="s">
        <v>2464</v>
      </c>
      <c r="C248" s="198" t="s">
        <v>2931</v>
      </c>
      <c r="D248" s="198" t="s">
        <v>3010</v>
      </c>
      <c r="E248" s="198" t="s">
        <v>3724</v>
      </c>
      <c r="F248" s="198" t="s">
        <v>3725</v>
      </c>
      <c r="G248" s="198" t="s">
        <v>3726</v>
      </c>
      <c r="H248" s="198" t="s">
        <v>3727</v>
      </c>
      <c r="I248" s="198" t="s">
        <v>3728</v>
      </c>
      <c r="J248" s="198" t="s">
        <v>3729</v>
      </c>
      <c r="K248" s="198" t="s">
        <v>3730</v>
      </c>
      <c r="L248" s="198" t="s">
        <v>3731</v>
      </c>
      <c r="M248" s="198" t="s">
        <v>4606</v>
      </c>
    </row>
    <row r="249" spans="1:13" s="225" customFormat="1" ht="57">
      <c r="A249" s="198" t="s">
        <v>3052</v>
      </c>
      <c r="B249" s="198" t="s">
        <v>2464</v>
      </c>
      <c r="C249" s="198" t="s">
        <v>2932</v>
      </c>
      <c r="D249" s="198" t="s">
        <v>3011</v>
      </c>
      <c r="E249" s="198" t="s">
        <v>3732</v>
      </c>
      <c r="F249" s="198" t="s">
        <v>3733</v>
      </c>
      <c r="G249" s="198" t="s">
        <v>3734</v>
      </c>
      <c r="H249" s="198" t="s">
        <v>3735</v>
      </c>
      <c r="I249" s="198" t="s">
        <v>3736</v>
      </c>
      <c r="J249" s="198" t="s">
        <v>3737</v>
      </c>
      <c r="K249" s="198" t="s">
        <v>3738</v>
      </c>
      <c r="L249" s="198" t="s">
        <v>3739</v>
      </c>
      <c r="M249" s="198" t="s">
        <v>4607</v>
      </c>
    </row>
    <row r="250" spans="1:13" s="225" customFormat="1" ht="42.75">
      <c r="A250" s="198" t="s">
        <v>3053</v>
      </c>
      <c r="B250" s="198" t="s">
        <v>2464</v>
      </c>
      <c r="C250" s="198" t="s">
        <v>2933</v>
      </c>
      <c r="D250" s="198" t="s">
        <v>2973</v>
      </c>
      <c r="E250" s="198" t="s">
        <v>3740</v>
      </c>
      <c r="F250" s="198" t="s">
        <v>3741</v>
      </c>
      <c r="G250" s="198" t="s">
        <v>3742</v>
      </c>
      <c r="H250" s="198" t="s">
        <v>3743</v>
      </c>
      <c r="I250" s="198" t="s">
        <v>3744</v>
      </c>
      <c r="J250" s="198" t="s">
        <v>3745</v>
      </c>
      <c r="K250" s="198" t="s">
        <v>3746</v>
      </c>
      <c r="L250" s="198" t="s">
        <v>3747</v>
      </c>
      <c r="M250" s="198" t="s">
        <v>4608</v>
      </c>
    </row>
    <row r="251" spans="1:13" s="225" customFormat="1" ht="57">
      <c r="A251" s="198" t="s">
        <v>3054</v>
      </c>
      <c r="B251" s="198" t="s">
        <v>2464</v>
      </c>
      <c r="C251" s="198" t="s">
        <v>2934</v>
      </c>
      <c r="D251" s="198" t="s">
        <v>3099</v>
      </c>
      <c r="E251" s="198" t="s">
        <v>3748</v>
      </c>
      <c r="F251" s="198" t="s">
        <v>3749</v>
      </c>
      <c r="G251" s="198" t="s">
        <v>3750</v>
      </c>
      <c r="H251" s="198" t="s">
        <v>3751</v>
      </c>
      <c r="I251" s="198" t="s">
        <v>3752</v>
      </c>
      <c r="J251" s="198" t="s">
        <v>3753</v>
      </c>
      <c r="K251" s="198" t="s">
        <v>3754</v>
      </c>
      <c r="L251" s="198" t="s">
        <v>3755</v>
      </c>
      <c r="M251" s="198" t="s">
        <v>4609</v>
      </c>
    </row>
    <row r="252" spans="1:13" s="225" customFormat="1" ht="57">
      <c r="A252" s="198" t="s">
        <v>3055</v>
      </c>
      <c r="B252" s="198" t="s">
        <v>2464</v>
      </c>
      <c r="C252" s="198" t="s">
        <v>2935</v>
      </c>
      <c r="D252" s="198" t="s">
        <v>3100</v>
      </c>
      <c r="E252" s="198" t="s">
        <v>3756</v>
      </c>
      <c r="F252" s="198" t="s">
        <v>3757</v>
      </c>
      <c r="G252" s="198" t="s">
        <v>3758</v>
      </c>
      <c r="H252" s="198" t="s">
        <v>3759</v>
      </c>
      <c r="I252" s="198" t="s">
        <v>3760</v>
      </c>
      <c r="J252" s="198" t="s">
        <v>3761</v>
      </c>
      <c r="K252" s="198" t="s">
        <v>3762</v>
      </c>
      <c r="L252" s="198" t="s">
        <v>3763</v>
      </c>
      <c r="M252" s="198" t="s">
        <v>4610</v>
      </c>
    </row>
    <row r="253" spans="1:13" s="225" customFormat="1" ht="57">
      <c r="A253" s="198" t="s">
        <v>3056</v>
      </c>
      <c r="B253" s="198" t="s">
        <v>2464</v>
      </c>
      <c r="C253" s="198" t="s">
        <v>2936</v>
      </c>
      <c r="D253" s="198" t="s">
        <v>3101</v>
      </c>
      <c r="E253" s="198" t="s">
        <v>3764</v>
      </c>
      <c r="F253" s="198" t="s">
        <v>3765</v>
      </c>
      <c r="G253" s="198" t="s">
        <v>3766</v>
      </c>
      <c r="H253" s="198" t="s">
        <v>3767</v>
      </c>
      <c r="I253" s="198" t="s">
        <v>3768</v>
      </c>
      <c r="J253" s="198" t="s">
        <v>3769</v>
      </c>
      <c r="K253" s="198" t="s">
        <v>3770</v>
      </c>
      <c r="L253" s="198" t="s">
        <v>3771</v>
      </c>
      <c r="M253" s="198" t="s">
        <v>4611</v>
      </c>
    </row>
    <row r="254" spans="1:13" s="225" customFormat="1" ht="57">
      <c r="A254" s="198" t="s">
        <v>3057</v>
      </c>
      <c r="B254" s="198" t="s">
        <v>2464</v>
      </c>
      <c r="C254" s="198" t="s">
        <v>2937</v>
      </c>
      <c r="D254" s="198" t="s">
        <v>3102</v>
      </c>
      <c r="E254" s="198" t="s">
        <v>3772</v>
      </c>
      <c r="F254" s="198" t="s">
        <v>3773</v>
      </c>
      <c r="G254" s="198" t="s">
        <v>3774</v>
      </c>
      <c r="H254" s="198" t="s">
        <v>3775</v>
      </c>
      <c r="I254" s="198" t="s">
        <v>3776</v>
      </c>
      <c r="J254" s="198" t="s">
        <v>3777</v>
      </c>
      <c r="K254" s="198" t="s">
        <v>3778</v>
      </c>
      <c r="L254" s="198" t="s">
        <v>3779</v>
      </c>
      <c r="M254" s="198" t="s">
        <v>4612</v>
      </c>
    </row>
    <row r="255" spans="1:13" s="225" customFormat="1" ht="71.25">
      <c r="A255" s="198" t="s">
        <v>3058</v>
      </c>
      <c r="B255" s="198" t="s">
        <v>2464</v>
      </c>
      <c r="C255" s="198" t="s">
        <v>2938</v>
      </c>
      <c r="D255" s="198" t="s">
        <v>2974</v>
      </c>
      <c r="E255" s="198" t="s">
        <v>3780</v>
      </c>
      <c r="F255" s="198" t="s">
        <v>3781</v>
      </c>
      <c r="G255" s="198" t="s">
        <v>3782</v>
      </c>
      <c r="H255" s="198" t="s">
        <v>3783</v>
      </c>
      <c r="I255" s="198" t="s">
        <v>3784</v>
      </c>
      <c r="J255" s="198" t="s">
        <v>3785</v>
      </c>
      <c r="K255" s="198" t="s">
        <v>3786</v>
      </c>
      <c r="L255" s="198" t="s">
        <v>3787</v>
      </c>
      <c r="M255" s="198" t="s">
        <v>4613</v>
      </c>
    </row>
    <row r="256" spans="1:13" s="225" customFormat="1" ht="71.25">
      <c r="A256" s="198" t="s">
        <v>3059</v>
      </c>
      <c r="B256" s="198" t="s">
        <v>2464</v>
      </c>
      <c r="C256" s="198" t="s">
        <v>2939</v>
      </c>
      <c r="D256" s="198" t="s">
        <v>2975</v>
      </c>
      <c r="E256" s="198" t="s">
        <v>3788</v>
      </c>
      <c r="F256" s="198" t="s">
        <v>3789</v>
      </c>
      <c r="G256" s="198" t="s">
        <v>3790</v>
      </c>
      <c r="H256" s="198" t="s">
        <v>3791</v>
      </c>
      <c r="I256" s="198" t="s">
        <v>3792</v>
      </c>
      <c r="J256" s="198" t="s">
        <v>3793</v>
      </c>
      <c r="K256" s="198" t="s">
        <v>3794</v>
      </c>
      <c r="L256" s="198" t="s">
        <v>3795</v>
      </c>
      <c r="M256" s="198" t="s">
        <v>4614</v>
      </c>
    </row>
    <row r="257" spans="1:13" s="225" customFormat="1" ht="71.25">
      <c r="A257" s="198" t="s">
        <v>3060</v>
      </c>
      <c r="B257" s="198" t="s">
        <v>2464</v>
      </c>
      <c r="C257" s="198" t="s">
        <v>2940</v>
      </c>
      <c r="D257" s="198" t="s">
        <v>2976</v>
      </c>
      <c r="E257" s="198" t="s">
        <v>3796</v>
      </c>
      <c r="F257" s="198" t="s">
        <v>3797</v>
      </c>
      <c r="G257" s="198" t="s">
        <v>3798</v>
      </c>
      <c r="H257" s="198" t="s">
        <v>3799</v>
      </c>
      <c r="I257" s="198" t="s">
        <v>3800</v>
      </c>
      <c r="J257" s="198" t="s">
        <v>3801</v>
      </c>
      <c r="K257" s="198" t="s">
        <v>3802</v>
      </c>
      <c r="L257" s="198" t="s">
        <v>3803</v>
      </c>
      <c r="M257" s="198" t="s">
        <v>4615</v>
      </c>
    </row>
    <row r="258" spans="1:13" s="225" customFormat="1" ht="71.25">
      <c r="A258" s="198" t="s">
        <v>3061</v>
      </c>
      <c r="B258" s="198" t="s">
        <v>2464</v>
      </c>
      <c r="C258" s="198" t="s">
        <v>3005</v>
      </c>
      <c r="D258" s="198" t="s">
        <v>2977</v>
      </c>
      <c r="E258" s="198" t="s">
        <v>3804</v>
      </c>
      <c r="F258" s="198" t="s">
        <v>3805</v>
      </c>
      <c r="G258" s="198" t="s">
        <v>3806</v>
      </c>
      <c r="H258" s="198" t="s">
        <v>3807</v>
      </c>
      <c r="I258" s="198" t="s">
        <v>3808</v>
      </c>
      <c r="J258" s="198" t="s">
        <v>3809</v>
      </c>
      <c r="K258" s="198" t="s">
        <v>3810</v>
      </c>
      <c r="L258" s="198" t="s">
        <v>3811</v>
      </c>
      <c r="M258" s="198" t="s">
        <v>4616</v>
      </c>
    </row>
    <row r="259" spans="1:13" s="225" customFormat="1" ht="99.75">
      <c r="A259" s="198" t="s">
        <v>3062</v>
      </c>
      <c r="B259" s="198" t="s">
        <v>2464</v>
      </c>
      <c r="C259" s="198" t="s">
        <v>3012</v>
      </c>
      <c r="D259" s="198" t="s">
        <v>2978</v>
      </c>
      <c r="E259" s="198" t="s">
        <v>3812</v>
      </c>
      <c r="F259" s="198" t="s">
        <v>3813</v>
      </c>
      <c r="G259" s="198" t="s">
        <v>3814</v>
      </c>
      <c r="H259" s="198" t="s">
        <v>3815</v>
      </c>
      <c r="I259" s="198" t="s">
        <v>3816</v>
      </c>
      <c r="J259" s="198" t="s">
        <v>3817</v>
      </c>
      <c r="K259" s="198" t="s">
        <v>3818</v>
      </c>
      <c r="L259" s="198" t="s">
        <v>3819</v>
      </c>
      <c r="M259" s="198" t="s">
        <v>4617</v>
      </c>
    </row>
    <row r="260" spans="1:13" s="225" customFormat="1" ht="99.75">
      <c r="A260" s="198" t="s">
        <v>3063</v>
      </c>
      <c r="B260" s="198" t="s">
        <v>2464</v>
      </c>
      <c r="C260" s="198" t="s">
        <v>3013</v>
      </c>
      <c r="D260" s="198" t="s">
        <v>2979</v>
      </c>
      <c r="E260" s="198" t="s">
        <v>3820</v>
      </c>
      <c r="F260" s="198" t="s">
        <v>3821</v>
      </c>
      <c r="G260" s="198" t="s">
        <v>3822</v>
      </c>
      <c r="H260" s="198" t="s">
        <v>3823</v>
      </c>
      <c r="I260" s="198" t="s">
        <v>3824</v>
      </c>
      <c r="J260" s="198" t="s">
        <v>3825</v>
      </c>
      <c r="K260" s="198" t="s">
        <v>3826</v>
      </c>
      <c r="L260" s="198" t="s">
        <v>3827</v>
      </c>
      <c r="M260" s="198" t="s">
        <v>4618</v>
      </c>
    </row>
    <row r="261" spans="1:13" s="225" customFormat="1" ht="85.5">
      <c r="A261" s="198" t="s">
        <v>3064</v>
      </c>
      <c r="B261" s="198" t="s">
        <v>2464</v>
      </c>
      <c r="C261" s="198" t="s">
        <v>3014</v>
      </c>
      <c r="D261" s="198" t="s">
        <v>2980</v>
      </c>
      <c r="E261" s="198" t="s">
        <v>3828</v>
      </c>
      <c r="F261" s="198" t="s">
        <v>3829</v>
      </c>
      <c r="G261" s="198" t="s">
        <v>3830</v>
      </c>
      <c r="H261" s="198" t="s">
        <v>3831</v>
      </c>
      <c r="I261" s="198" t="s">
        <v>3832</v>
      </c>
      <c r="J261" s="198" t="s">
        <v>3833</v>
      </c>
      <c r="K261" s="198" t="s">
        <v>3834</v>
      </c>
      <c r="L261" s="198" t="s">
        <v>3835</v>
      </c>
      <c r="M261" s="198" t="s">
        <v>4619</v>
      </c>
    </row>
    <row r="262" spans="1:13" s="225" customFormat="1" ht="99.75">
      <c r="A262" s="198" t="s">
        <v>3065</v>
      </c>
      <c r="B262" s="198" t="s">
        <v>2464</v>
      </c>
      <c r="C262" s="198" t="s">
        <v>3015</v>
      </c>
      <c r="D262" s="198" t="s">
        <v>2981</v>
      </c>
      <c r="E262" s="198" t="s">
        <v>3836</v>
      </c>
      <c r="F262" s="198" t="s">
        <v>3837</v>
      </c>
      <c r="G262" s="198" t="s">
        <v>3838</v>
      </c>
      <c r="H262" s="198" t="s">
        <v>3839</v>
      </c>
      <c r="I262" s="198" t="s">
        <v>3840</v>
      </c>
      <c r="J262" s="198" t="s">
        <v>3841</v>
      </c>
      <c r="K262" s="198" t="s">
        <v>3842</v>
      </c>
      <c r="L262" s="198" t="s">
        <v>3843</v>
      </c>
      <c r="M262" s="198" t="s">
        <v>4620</v>
      </c>
    </row>
    <row r="263" spans="1:13" s="225" customFormat="1" ht="85.5">
      <c r="A263" s="198" t="s">
        <v>3066</v>
      </c>
      <c r="B263" s="198" t="s">
        <v>2464</v>
      </c>
      <c r="C263" s="198" t="s">
        <v>3016</v>
      </c>
      <c r="D263" s="198" t="s">
        <v>2982</v>
      </c>
      <c r="E263" s="198" t="s">
        <v>3844</v>
      </c>
      <c r="F263" s="198" t="s">
        <v>3845</v>
      </c>
      <c r="G263" s="198" t="s">
        <v>3846</v>
      </c>
      <c r="H263" s="198" t="s">
        <v>3847</v>
      </c>
      <c r="I263" s="198" t="s">
        <v>3848</v>
      </c>
      <c r="J263" s="198" t="s">
        <v>3849</v>
      </c>
      <c r="K263" s="198" t="s">
        <v>3850</v>
      </c>
      <c r="L263" s="198" t="s">
        <v>3851</v>
      </c>
      <c r="M263" s="198" t="s">
        <v>4621</v>
      </c>
    </row>
    <row r="264" spans="1:13" s="225" customFormat="1" ht="85.5">
      <c r="A264" s="198" t="s">
        <v>3067</v>
      </c>
      <c r="B264" s="198" t="s">
        <v>2464</v>
      </c>
      <c r="C264" s="226" t="s">
        <v>3017</v>
      </c>
      <c r="D264" s="226" t="s">
        <v>2983</v>
      </c>
      <c r="E264" s="226" t="s">
        <v>3852</v>
      </c>
      <c r="F264" s="226" t="s">
        <v>3853</v>
      </c>
      <c r="G264" s="226" t="s">
        <v>3854</v>
      </c>
      <c r="H264" s="226" t="s">
        <v>3855</v>
      </c>
      <c r="I264" s="226" t="s">
        <v>3856</v>
      </c>
      <c r="J264" s="226" t="s">
        <v>3857</v>
      </c>
      <c r="K264" s="226" t="s">
        <v>3858</v>
      </c>
      <c r="L264" s="226" t="s">
        <v>3859</v>
      </c>
      <c r="M264" s="226" t="s">
        <v>4622</v>
      </c>
    </row>
    <row r="265" spans="1:13" s="225" customFormat="1" ht="85.5">
      <c r="A265" s="198" t="s">
        <v>3068</v>
      </c>
      <c r="B265" s="198" t="s">
        <v>2464</v>
      </c>
      <c r="C265" s="226" t="s">
        <v>3018</v>
      </c>
      <c r="D265" s="198" t="s">
        <v>2984</v>
      </c>
      <c r="E265" s="198" t="s">
        <v>3860</v>
      </c>
      <c r="F265" s="198" t="s">
        <v>3861</v>
      </c>
      <c r="G265" s="198" t="s">
        <v>3862</v>
      </c>
      <c r="H265" s="198" t="s">
        <v>3863</v>
      </c>
      <c r="I265" s="198" t="s">
        <v>3864</v>
      </c>
      <c r="J265" s="198" t="s">
        <v>3865</v>
      </c>
      <c r="K265" s="198" t="s">
        <v>3866</v>
      </c>
      <c r="L265" s="198" t="s">
        <v>3867</v>
      </c>
      <c r="M265" s="198" t="s">
        <v>4623</v>
      </c>
    </row>
    <row r="266" spans="1:13" s="225" customFormat="1" ht="85.5">
      <c r="A266" s="198" t="s">
        <v>3069</v>
      </c>
      <c r="B266" s="198" t="s">
        <v>2464</v>
      </c>
      <c r="C266" s="198" t="s">
        <v>3019</v>
      </c>
      <c r="D266" s="198" t="s">
        <v>2985</v>
      </c>
      <c r="E266" s="198" t="s">
        <v>3868</v>
      </c>
      <c r="F266" s="198" t="s">
        <v>3869</v>
      </c>
      <c r="G266" s="198" t="s">
        <v>3870</v>
      </c>
      <c r="H266" s="198" t="s">
        <v>3871</v>
      </c>
      <c r="I266" s="198" t="s">
        <v>3872</v>
      </c>
      <c r="J266" s="198" t="s">
        <v>3873</v>
      </c>
      <c r="K266" s="198" t="s">
        <v>3874</v>
      </c>
      <c r="L266" s="198" t="s">
        <v>3875</v>
      </c>
      <c r="M266" s="198" t="s">
        <v>4624</v>
      </c>
    </row>
    <row r="267" spans="1:13" s="225" customFormat="1" ht="57">
      <c r="A267" s="198" t="s">
        <v>3070</v>
      </c>
      <c r="B267" s="198" t="s">
        <v>2464</v>
      </c>
      <c r="C267" s="198" t="s">
        <v>3020</v>
      </c>
      <c r="D267" s="198" t="s">
        <v>2485</v>
      </c>
      <c r="E267" s="198" t="s">
        <v>3876</v>
      </c>
      <c r="F267" s="198" t="s">
        <v>3877</v>
      </c>
      <c r="G267" s="198" t="s">
        <v>3878</v>
      </c>
      <c r="H267" s="198" t="s">
        <v>3879</v>
      </c>
      <c r="I267" s="198" t="s">
        <v>3880</v>
      </c>
      <c r="J267" s="198" t="s">
        <v>3881</v>
      </c>
      <c r="K267" s="198" t="s">
        <v>3882</v>
      </c>
      <c r="L267" s="198" t="s">
        <v>3883</v>
      </c>
      <c r="M267" s="198" t="s">
        <v>4625</v>
      </c>
    </row>
    <row r="268" spans="1:13" s="225" customFormat="1" ht="57">
      <c r="A268" s="198" t="s">
        <v>3071</v>
      </c>
      <c r="B268" s="198" t="s">
        <v>2464</v>
      </c>
      <c r="C268" s="198" t="s">
        <v>3021</v>
      </c>
      <c r="D268" s="198" t="s">
        <v>2486</v>
      </c>
      <c r="E268" s="198" t="s">
        <v>3884</v>
      </c>
      <c r="F268" s="198" t="s">
        <v>3885</v>
      </c>
      <c r="G268" s="198" t="s">
        <v>3886</v>
      </c>
      <c r="H268" s="198" t="s">
        <v>3887</v>
      </c>
      <c r="I268" s="198" t="s">
        <v>3888</v>
      </c>
      <c r="J268" s="198" t="s">
        <v>3889</v>
      </c>
      <c r="K268" s="198" t="s">
        <v>3890</v>
      </c>
      <c r="L268" s="198" t="s">
        <v>3891</v>
      </c>
      <c r="M268" s="198" t="s">
        <v>4626</v>
      </c>
    </row>
    <row r="269" spans="1:13" s="225" customFormat="1" ht="57">
      <c r="A269" s="198" t="s">
        <v>3072</v>
      </c>
      <c r="B269" s="198" t="s">
        <v>2464</v>
      </c>
      <c r="C269" s="198" t="s">
        <v>3022</v>
      </c>
      <c r="D269" s="198" t="s">
        <v>2487</v>
      </c>
      <c r="E269" s="198" t="s">
        <v>3892</v>
      </c>
      <c r="F269" s="198" t="s">
        <v>3893</v>
      </c>
      <c r="G269" s="198" t="s">
        <v>3894</v>
      </c>
      <c r="H269" s="198" t="s">
        <v>3895</v>
      </c>
      <c r="I269" s="198" t="s">
        <v>3896</v>
      </c>
      <c r="J269" s="198" t="s">
        <v>3897</v>
      </c>
      <c r="K269" s="198" t="s">
        <v>3898</v>
      </c>
      <c r="L269" s="198" t="s">
        <v>3899</v>
      </c>
      <c r="M269" s="198" t="s">
        <v>4627</v>
      </c>
    </row>
    <row r="270" spans="1:13" s="225" customFormat="1" ht="57">
      <c r="A270" s="198" t="s">
        <v>3073</v>
      </c>
      <c r="B270" s="198" t="s">
        <v>2464</v>
      </c>
      <c r="C270" s="198" t="s">
        <v>3023</v>
      </c>
      <c r="D270" s="198" t="s">
        <v>2488</v>
      </c>
      <c r="E270" s="198" t="s">
        <v>3900</v>
      </c>
      <c r="F270" s="198" t="s">
        <v>3901</v>
      </c>
      <c r="G270" s="198" t="s">
        <v>3902</v>
      </c>
      <c r="H270" s="198" t="s">
        <v>3903</v>
      </c>
      <c r="I270" s="198" t="s">
        <v>3904</v>
      </c>
      <c r="J270" s="198" t="s">
        <v>3905</v>
      </c>
      <c r="K270" s="198" t="s">
        <v>3906</v>
      </c>
      <c r="L270" s="198" t="s">
        <v>3907</v>
      </c>
      <c r="M270" s="198" t="s">
        <v>4628</v>
      </c>
    </row>
    <row r="271" spans="1:13" s="225" customFormat="1" ht="85.5">
      <c r="A271" s="198" t="s">
        <v>3074</v>
      </c>
      <c r="B271" s="198" t="s">
        <v>2464</v>
      </c>
      <c r="C271" s="198" t="s">
        <v>3024</v>
      </c>
      <c r="D271" s="198" t="s">
        <v>2986</v>
      </c>
      <c r="E271" s="198" t="s">
        <v>3908</v>
      </c>
      <c r="F271" s="198" t="s">
        <v>3909</v>
      </c>
      <c r="G271" s="198" t="s">
        <v>3910</v>
      </c>
      <c r="H271" s="198" t="s">
        <v>3911</v>
      </c>
      <c r="I271" s="198" t="s">
        <v>3912</v>
      </c>
      <c r="J271" s="198" t="s">
        <v>3913</v>
      </c>
      <c r="K271" s="198" t="s">
        <v>3914</v>
      </c>
      <c r="L271" s="198" t="s">
        <v>3915</v>
      </c>
      <c r="M271" s="198" t="s">
        <v>4629</v>
      </c>
    </row>
    <row r="272" spans="1:13" s="225" customFormat="1" ht="85.5">
      <c r="A272" s="198" t="s">
        <v>3075</v>
      </c>
      <c r="B272" s="198" t="s">
        <v>2464</v>
      </c>
      <c r="C272" s="198" t="s">
        <v>3025</v>
      </c>
      <c r="D272" s="198" t="s">
        <v>2987</v>
      </c>
      <c r="E272" s="198" t="s">
        <v>3916</v>
      </c>
      <c r="F272" s="198" t="s">
        <v>3917</v>
      </c>
      <c r="G272" s="198" t="s">
        <v>3918</v>
      </c>
      <c r="H272" s="198" t="s">
        <v>3919</v>
      </c>
      <c r="I272" s="198" t="s">
        <v>3920</v>
      </c>
      <c r="J272" s="198" t="s">
        <v>3921</v>
      </c>
      <c r="K272" s="198" t="s">
        <v>3922</v>
      </c>
      <c r="L272" s="198" t="s">
        <v>3923</v>
      </c>
      <c r="M272" s="198" t="s">
        <v>4630</v>
      </c>
    </row>
    <row r="273" spans="1:13" s="225" customFormat="1" ht="85.5">
      <c r="A273" s="198" t="s">
        <v>3076</v>
      </c>
      <c r="B273" s="198" t="s">
        <v>2464</v>
      </c>
      <c r="C273" s="198" t="s">
        <v>3026</v>
      </c>
      <c r="D273" s="198" t="s">
        <v>2988</v>
      </c>
      <c r="E273" s="198" t="s">
        <v>3924</v>
      </c>
      <c r="F273" s="198" t="s">
        <v>3925</v>
      </c>
      <c r="G273" s="198" t="s">
        <v>3926</v>
      </c>
      <c r="H273" s="198" t="s">
        <v>3927</v>
      </c>
      <c r="I273" s="198" t="s">
        <v>3928</v>
      </c>
      <c r="J273" s="198" t="s">
        <v>3929</v>
      </c>
      <c r="K273" s="198" t="s">
        <v>3930</v>
      </c>
      <c r="L273" s="198" t="s">
        <v>3931</v>
      </c>
      <c r="M273" s="198" t="s">
        <v>4631</v>
      </c>
    </row>
    <row r="274" spans="1:13" s="225" customFormat="1" ht="85.5">
      <c r="A274" s="198" t="s">
        <v>3077</v>
      </c>
      <c r="B274" s="198" t="s">
        <v>2464</v>
      </c>
      <c r="C274" s="198" t="s">
        <v>3027</v>
      </c>
      <c r="D274" s="198" t="s">
        <v>2989</v>
      </c>
      <c r="E274" s="198" t="s">
        <v>3932</v>
      </c>
      <c r="F274" s="198" t="s">
        <v>3933</v>
      </c>
      <c r="G274" s="198" t="s">
        <v>3934</v>
      </c>
      <c r="H274" s="198" t="s">
        <v>3935</v>
      </c>
      <c r="I274" s="198" t="s">
        <v>3936</v>
      </c>
      <c r="J274" s="198" t="s">
        <v>3937</v>
      </c>
      <c r="K274" s="198" t="s">
        <v>3938</v>
      </c>
      <c r="L274" s="198" t="s">
        <v>3939</v>
      </c>
      <c r="M274" s="198" t="s">
        <v>4632</v>
      </c>
    </row>
    <row r="275" spans="1:13" s="225" customFormat="1" ht="57">
      <c r="A275" s="198" t="s">
        <v>3078</v>
      </c>
      <c r="B275" s="198" t="s">
        <v>2464</v>
      </c>
      <c r="C275" s="198" t="s">
        <v>3028</v>
      </c>
      <c r="D275" s="198" t="s">
        <v>2990</v>
      </c>
      <c r="E275" s="198" t="s">
        <v>3940</v>
      </c>
      <c r="F275" s="198" t="s">
        <v>3941</v>
      </c>
      <c r="G275" s="198" t="s">
        <v>3942</v>
      </c>
      <c r="H275" s="198" t="s">
        <v>3943</v>
      </c>
      <c r="I275" s="198" t="s">
        <v>3944</v>
      </c>
      <c r="J275" s="198" t="s">
        <v>3945</v>
      </c>
      <c r="K275" s="198" t="s">
        <v>3946</v>
      </c>
      <c r="L275" s="198" t="s">
        <v>3947</v>
      </c>
      <c r="M275" s="198" t="s">
        <v>4633</v>
      </c>
    </row>
    <row r="276" spans="1:13" s="225" customFormat="1" ht="57">
      <c r="A276" s="198" t="s">
        <v>3079</v>
      </c>
      <c r="B276" s="198" t="s">
        <v>2464</v>
      </c>
      <c r="C276" s="198" t="s">
        <v>3029</v>
      </c>
      <c r="D276" s="198" t="s">
        <v>2991</v>
      </c>
      <c r="E276" s="198" t="s">
        <v>3948</v>
      </c>
      <c r="F276" s="198" t="s">
        <v>3949</v>
      </c>
      <c r="G276" s="198" t="s">
        <v>3950</v>
      </c>
      <c r="H276" s="198" t="s">
        <v>3951</v>
      </c>
      <c r="I276" s="198" t="s">
        <v>3952</v>
      </c>
      <c r="J276" s="198" t="s">
        <v>3953</v>
      </c>
      <c r="K276" s="198" t="s">
        <v>3954</v>
      </c>
      <c r="L276" s="198" t="s">
        <v>3955</v>
      </c>
      <c r="M276" s="198" t="s">
        <v>4634</v>
      </c>
    </row>
    <row r="277" spans="1:13" s="225" customFormat="1" ht="57">
      <c r="A277" s="198" t="s">
        <v>3080</v>
      </c>
      <c r="B277" s="198" t="s">
        <v>2464</v>
      </c>
      <c r="C277" s="198" t="s">
        <v>3030</v>
      </c>
      <c r="D277" s="198" t="s">
        <v>2992</v>
      </c>
      <c r="E277" s="198" t="s">
        <v>3956</v>
      </c>
      <c r="F277" s="198" t="s">
        <v>3957</v>
      </c>
      <c r="G277" s="198" t="s">
        <v>3958</v>
      </c>
      <c r="H277" s="198" t="s">
        <v>3959</v>
      </c>
      <c r="I277" s="198" t="s">
        <v>3960</v>
      </c>
      <c r="J277" s="198" t="s">
        <v>3961</v>
      </c>
      <c r="K277" s="198" t="s">
        <v>3962</v>
      </c>
      <c r="L277" s="198" t="s">
        <v>3963</v>
      </c>
      <c r="M277" s="198" t="s">
        <v>4635</v>
      </c>
    </row>
    <row r="278" spans="1:13" s="225" customFormat="1" ht="57">
      <c r="A278" s="198" t="s">
        <v>3081</v>
      </c>
      <c r="B278" s="198" t="s">
        <v>2464</v>
      </c>
      <c r="C278" s="198" t="s">
        <v>3031</v>
      </c>
      <c r="D278" s="198" t="s">
        <v>2993</v>
      </c>
      <c r="E278" s="198" t="s">
        <v>3964</v>
      </c>
      <c r="F278" s="198" t="s">
        <v>3965</v>
      </c>
      <c r="G278" s="198" t="s">
        <v>3966</v>
      </c>
      <c r="H278" s="198" t="s">
        <v>3967</v>
      </c>
      <c r="I278" s="198" t="s">
        <v>3968</v>
      </c>
      <c r="J278" s="198" t="s">
        <v>3969</v>
      </c>
      <c r="K278" s="198" t="s">
        <v>3970</v>
      </c>
      <c r="L278" s="198" t="s">
        <v>3971</v>
      </c>
      <c r="M278" s="198" t="s">
        <v>4636</v>
      </c>
    </row>
    <row r="279" spans="1:13" s="225" customFormat="1" ht="85.5">
      <c r="A279" s="198" t="s">
        <v>3082</v>
      </c>
      <c r="B279" s="198" t="s">
        <v>2464</v>
      </c>
      <c r="C279" s="198" t="s">
        <v>3035</v>
      </c>
      <c r="D279" s="198" t="s">
        <v>3034</v>
      </c>
      <c r="E279" s="198" t="s">
        <v>3972</v>
      </c>
      <c r="F279" s="198" t="s">
        <v>3973</v>
      </c>
      <c r="G279" s="198" t="s">
        <v>3974</v>
      </c>
      <c r="H279" s="198" t="s">
        <v>3975</v>
      </c>
      <c r="I279" s="198" t="s">
        <v>3976</v>
      </c>
      <c r="J279" s="198" t="s">
        <v>3977</v>
      </c>
      <c r="K279" s="198" t="s">
        <v>3978</v>
      </c>
      <c r="L279" s="198" t="s">
        <v>3979</v>
      </c>
      <c r="M279" s="198" t="s">
        <v>4637</v>
      </c>
    </row>
    <row r="280" spans="1:13" s="225" customFormat="1" ht="99.75">
      <c r="A280" s="198" t="s">
        <v>3083</v>
      </c>
      <c r="B280" s="198" t="s">
        <v>2464</v>
      </c>
      <c r="C280" s="198" t="s">
        <v>3036</v>
      </c>
      <c r="D280" s="198" t="s">
        <v>2995</v>
      </c>
      <c r="E280" s="198" t="s">
        <v>3980</v>
      </c>
      <c r="F280" s="198" t="s">
        <v>3981</v>
      </c>
      <c r="G280" s="198" t="s">
        <v>3982</v>
      </c>
      <c r="H280" s="198" t="s">
        <v>3983</v>
      </c>
      <c r="I280" s="198" t="s">
        <v>3984</v>
      </c>
      <c r="J280" s="198" t="s">
        <v>3985</v>
      </c>
      <c r="K280" s="198" t="s">
        <v>3986</v>
      </c>
      <c r="L280" s="198" t="s">
        <v>3987</v>
      </c>
      <c r="M280" s="198" t="s">
        <v>4638</v>
      </c>
    </row>
    <row r="281" spans="1:13" s="225" customFormat="1" ht="71.25">
      <c r="A281" s="198" t="s">
        <v>3084</v>
      </c>
      <c r="B281" s="198" t="s">
        <v>2464</v>
      </c>
      <c r="C281" s="198" t="s">
        <v>3037</v>
      </c>
      <c r="D281" s="198" t="s">
        <v>3104</v>
      </c>
      <c r="E281" s="198" t="s">
        <v>3988</v>
      </c>
      <c r="F281" s="198" t="s">
        <v>3989</v>
      </c>
      <c r="G281" s="198" t="s">
        <v>3990</v>
      </c>
      <c r="H281" s="198" t="s">
        <v>3991</v>
      </c>
      <c r="I281" s="198" t="s">
        <v>3992</v>
      </c>
      <c r="J281" s="198" t="s">
        <v>3993</v>
      </c>
      <c r="K281" s="198" t="s">
        <v>3994</v>
      </c>
      <c r="L281" s="198" t="s">
        <v>3995</v>
      </c>
      <c r="M281" s="198" t="s">
        <v>4639</v>
      </c>
    </row>
    <row r="282" spans="1:13" s="225" customFormat="1" ht="71.25">
      <c r="A282" s="198" t="s">
        <v>3085</v>
      </c>
      <c r="B282" s="198" t="s">
        <v>2464</v>
      </c>
      <c r="C282" s="198" t="s">
        <v>3038</v>
      </c>
      <c r="D282" s="198" t="s">
        <v>2996</v>
      </c>
      <c r="E282" s="198" t="s">
        <v>3996</v>
      </c>
      <c r="F282" s="198" t="s">
        <v>3997</v>
      </c>
      <c r="G282" s="198" t="s">
        <v>3998</v>
      </c>
      <c r="H282" s="198" t="s">
        <v>3999</v>
      </c>
      <c r="I282" s="198" t="s">
        <v>4000</v>
      </c>
      <c r="J282" s="198" t="s">
        <v>4001</v>
      </c>
      <c r="K282" s="198" t="s">
        <v>4002</v>
      </c>
      <c r="L282" s="198" t="s">
        <v>4003</v>
      </c>
      <c r="M282" s="198" t="s">
        <v>4640</v>
      </c>
    </row>
    <row r="283" spans="1:13" s="225" customFormat="1" ht="128.25">
      <c r="A283" s="198" t="s">
        <v>3086</v>
      </c>
      <c r="B283" s="198" t="s">
        <v>2464</v>
      </c>
      <c r="C283" s="198" t="s">
        <v>3039</v>
      </c>
      <c r="D283" s="198" t="s">
        <v>2997</v>
      </c>
      <c r="E283" s="198" t="s">
        <v>4004</v>
      </c>
      <c r="F283" s="198" t="s">
        <v>4005</v>
      </c>
      <c r="G283" s="198" t="s">
        <v>4006</v>
      </c>
      <c r="H283" s="198" t="s">
        <v>4007</v>
      </c>
      <c r="I283" s="198" t="s">
        <v>4008</v>
      </c>
      <c r="J283" s="198" t="s">
        <v>4009</v>
      </c>
      <c r="K283" s="198" t="s">
        <v>4010</v>
      </c>
      <c r="L283" s="198" t="s">
        <v>4011</v>
      </c>
      <c r="M283" s="198" t="s">
        <v>4641</v>
      </c>
    </row>
    <row r="284" spans="1:13" s="225" customFormat="1" ht="71.25">
      <c r="A284" s="198" t="s">
        <v>3087</v>
      </c>
      <c r="B284" s="198" t="s">
        <v>2464</v>
      </c>
      <c r="C284" s="198" t="s">
        <v>3040</v>
      </c>
      <c r="D284" s="198" t="s">
        <v>2994</v>
      </c>
      <c r="E284" s="198" t="s">
        <v>4012</v>
      </c>
      <c r="F284" s="198" t="s">
        <v>4013</v>
      </c>
      <c r="G284" s="198" t="s">
        <v>4014</v>
      </c>
      <c r="H284" s="198" t="s">
        <v>4015</v>
      </c>
      <c r="I284" s="198" t="s">
        <v>4016</v>
      </c>
      <c r="J284" s="198" t="s">
        <v>4017</v>
      </c>
      <c r="K284" s="198" t="s">
        <v>4018</v>
      </c>
      <c r="L284" s="198" t="s">
        <v>4019</v>
      </c>
      <c r="M284" s="198" t="s">
        <v>4642</v>
      </c>
    </row>
    <row r="285" spans="1:13" s="225" customFormat="1" ht="71.25">
      <c r="A285" s="198" t="s">
        <v>3088</v>
      </c>
      <c r="B285" s="198" t="s">
        <v>2464</v>
      </c>
      <c r="C285" s="198" t="s">
        <v>3041</v>
      </c>
      <c r="D285" s="198" t="s">
        <v>2998</v>
      </c>
      <c r="E285" s="198" t="s">
        <v>4020</v>
      </c>
      <c r="F285" s="198" t="s">
        <v>4021</v>
      </c>
      <c r="G285" s="198" t="s">
        <v>4022</v>
      </c>
      <c r="H285" s="198" t="s">
        <v>4023</v>
      </c>
      <c r="I285" s="198" t="s">
        <v>4024</v>
      </c>
      <c r="J285" s="198" t="s">
        <v>4025</v>
      </c>
      <c r="K285" s="198" t="s">
        <v>4026</v>
      </c>
      <c r="L285" s="198" t="s">
        <v>4027</v>
      </c>
      <c r="M285" s="198" t="s">
        <v>4643</v>
      </c>
    </row>
    <row r="286" spans="1:13" s="225" customFormat="1" ht="57">
      <c r="A286" s="198" t="s">
        <v>3089</v>
      </c>
      <c r="B286" s="198" t="s">
        <v>2464</v>
      </c>
      <c r="C286" s="198" t="s">
        <v>3042</v>
      </c>
      <c r="D286" s="198" t="s">
        <v>2999</v>
      </c>
      <c r="E286" s="198" t="s">
        <v>4028</v>
      </c>
      <c r="F286" s="198" t="s">
        <v>4029</v>
      </c>
      <c r="G286" s="198" t="s">
        <v>4030</v>
      </c>
      <c r="H286" s="198" t="s">
        <v>4031</v>
      </c>
      <c r="I286" s="198" t="s">
        <v>4032</v>
      </c>
      <c r="J286" s="198" t="s">
        <v>4033</v>
      </c>
      <c r="K286" s="198" t="s">
        <v>4034</v>
      </c>
      <c r="L286" s="198" t="s">
        <v>4035</v>
      </c>
      <c r="M286" s="198" t="s">
        <v>4644</v>
      </c>
    </row>
    <row r="287" spans="1:13" s="225" customFormat="1" ht="71.25">
      <c r="A287" s="198" t="s">
        <v>3090</v>
      </c>
      <c r="B287" s="198" t="s">
        <v>2464</v>
      </c>
      <c r="C287" s="198" t="s">
        <v>3043</v>
      </c>
      <c r="D287" s="198" t="s">
        <v>3000</v>
      </c>
      <c r="E287" s="198" t="s">
        <v>4036</v>
      </c>
      <c r="F287" s="198" t="s">
        <v>4037</v>
      </c>
      <c r="G287" s="198" t="s">
        <v>4038</v>
      </c>
      <c r="H287" s="198" t="s">
        <v>4039</v>
      </c>
      <c r="I287" s="198" t="s">
        <v>4040</v>
      </c>
      <c r="J287" s="198" t="s">
        <v>4041</v>
      </c>
      <c r="K287" s="198" t="s">
        <v>4042</v>
      </c>
      <c r="L287" s="198" t="s">
        <v>4043</v>
      </c>
      <c r="M287" s="198" t="s">
        <v>4645</v>
      </c>
    </row>
    <row r="288" spans="1:13" s="225" customFormat="1" ht="57">
      <c r="A288" s="198" t="s">
        <v>3091</v>
      </c>
      <c r="B288" s="198" t="s">
        <v>2464</v>
      </c>
      <c r="C288" s="198" t="s">
        <v>3044</v>
      </c>
      <c r="D288" s="198" t="s">
        <v>3001</v>
      </c>
      <c r="E288" s="198" t="s">
        <v>4044</v>
      </c>
      <c r="F288" s="198" t="s">
        <v>4045</v>
      </c>
      <c r="G288" s="198" t="s">
        <v>4046</v>
      </c>
      <c r="H288" s="198" t="s">
        <v>4047</v>
      </c>
      <c r="I288" s="198" t="s">
        <v>4048</v>
      </c>
      <c r="J288" s="198" t="s">
        <v>4049</v>
      </c>
      <c r="K288" s="198" t="s">
        <v>4050</v>
      </c>
      <c r="L288" s="198" t="s">
        <v>4051</v>
      </c>
      <c r="M288" s="198" t="s">
        <v>4646</v>
      </c>
    </row>
    <row r="289" spans="1:13" s="225" customFormat="1" ht="57">
      <c r="A289" s="198" t="s">
        <v>3092</v>
      </c>
      <c r="B289" s="198" t="s">
        <v>2464</v>
      </c>
      <c r="C289" s="198" t="s">
        <v>3045</v>
      </c>
      <c r="D289" s="198" t="s">
        <v>3002</v>
      </c>
      <c r="E289" s="198" t="s">
        <v>4052</v>
      </c>
      <c r="F289" s="198" t="s">
        <v>4053</v>
      </c>
      <c r="G289" s="198" t="s">
        <v>4054</v>
      </c>
      <c r="H289" s="198" t="s">
        <v>4055</v>
      </c>
      <c r="I289" s="198" t="s">
        <v>4056</v>
      </c>
      <c r="J289" s="198" t="s">
        <v>4057</v>
      </c>
      <c r="K289" s="198" t="s">
        <v>4058</v>
      </c>
      <c r="L289" s="198" t="s">
        <v>4059</v>
      </c>
      <c r="M289" s="198" t="s">
        <v>4647</v>
      </c>
    </row>
    <row r="290" spans="1:13" s="225" customFormat="1" ht="60" customHeight="1">
      <c r="A290" s="198" t="s">
        <v>3093</v>
      </c>
      <c r="B290" s="198" t="s">
        <v>2464</v>
      </c>
      <c r="C290" s="198" t="s">
        <v>3046</v>
      </c>
      <c r="D290" s="198" t="s">
        <v>3004</v>
      </c>
      <c r="E290" s="198" t="s">
        <v>4060</v>
      </c>
      <c r="F290" s="198" t="s">
        <v>4061</v>
      </c>
      <c r="G290" s="198" t="s">
        <v>4062</v>
      </c>
      <c r="H290" s="198" t="s">
        <v>4063</v>
      </c>
      <c r="I290" s="198" t="s">
        <v>4064</v>
      </c>
      <c r="J290" s="198" t="s">
        <v>4065</v>
      </c>
      <c r="K290" s="198" t="s">
        <v>4066</v>
      </c>
      <c r="L290" s="198" t="s">
        <v>4067</v>
      </c>
      <c r="M290" s="198" t="s">
        <v>4648</v>
      </c>
    </row>
    <row r="291" spans="1:13" s="225" customFormat="1" ht="60" customHeight="1">
      <c r="A291" s="198"/>
      <c r="B291" s="198"/>
      <c r="C291" s="198"/>
      <c r="D291" s="198" t="s">
        <v>3003</v>
      </c>
      <c r="E291" s="198" t="s">
        <v>4068</v>
      </c>
      <c r="F291" s="198" t="s">
        <v>4069</v>
      </c>
      <c r="G291" s="198" t="s">
        <v>4070</v>
      </c>
      <c r="H291" s="198" t="s">
        <v>4071</v>
      </c>
      <c r="I291" s="198" t="s">
        <v>4072</v>
      </c>
      <c r="J291" s="198" t="s">
        <v>4073</v>
      </c>
      <c r="K291" s="198" t="s">
        <v>4074</v>
      </c>
      <c r="L291" s="198" t="s">
        <v>4075</v>
      </c>
      <c r="M291" s="198" t="s">
        <v>4649</v>
      </c>
    </row>
    <row r="292" spans="1:13" s="225" customFormat="1" ht="57">
      <c r="A292" s="198" t="s">
        <v>3094</v>
      </c>
      <c r="B292" s="198" t="s">
        <v>2464</v>
      </c>
      <c r="C292" s="198" t="s">
        <v>3047</v>
      </c>
      <c r="D292" s="198" t="s">
        <v>3121</v>
      </c>
      <c r="E292" s="198" t="s">
        <v>4076</v>
      </c>
      <c r="F292" s="198" t="s">
        <v>4077</v>
      </c>
      <c r="G292" s="260" t="s">
        <v>4218</v>
      </c>
      <c r="H292" s="198" t="s">
        <v>4078</v>
      </c>
      <c r="I292" s="198" t="s">
        <v>4079</v>
      </c>
      <c r="J292" s="198" t="s">
        <v>4080</v>
      </c>
      <c r="K292" s="198" t="s">
        <v>4081</v>
      </c>
      <c r="L292" s="198" t="s">
        <v>4082</v>
      </c>
      <c r="M292" s="198" t="s">
        <v>4650</v>
      </c>
    </row>
    <row r="293" spans="1:13" s="225" customFormat="1" ht="57">
      <c r="A293" s="198" t="s">
        <v>3611</v>
      </c>
      <c r="B293" s="198" t="s">
        <v>2464</v>
      </c>
      <c r="C293" s="198" t="s">
        <v>3118</v>
      </c>
      <c r="D293" s="198" t="s">
        <v>3122</v>
      </c>
      <c r="E293" s="198" t="s">
        <v>4083</v>
      </c>
      <c r="F293" s="198" t="s">
        <v>4084</v>
      </c>
      <c r="G293" s="260" t="s">
        <v>4219</v>
      </c>
      <c r="H293" s="198" t="s">
        <v>4085</v>
      </c>
      <c r="I293" s="198" t="s">
        <v>4086</v>
      </c>
      <c r="J293" s="198" t="s">
        <v>4087</v>
      </c>
      <c r="K293" s="198" t="s">
        <v>4088</v>
      </c>
      <c r="L293" s="198" t="s">
        <v>4089</v>
      </c>
      <c r="M293" s="198" t="s">
        <v>4651</v>
      </c>
    </row>
    <row r="294" spans="1:13" s="225" customFormat="1" ht="57">
      <c r="A294" s="198" t="s">
        <v>3612</v>
      </c>
      <c r="B294" s="198" t="s">
        <v>2464</v>
      </c>
      <c r="C294" s="198" t="s">
        <v>3119</v>
      </c>
      <c r="D294" s="198" t="s">
        <v>3123</v>
      </c>
      <c r="E294" s="198" t="s">
        <v>4090</v>
      </c>
      <c r="F294" s="198" t="s">
        <v>4091</v>
      </c>
      <c r="G294" s="260" t="s">
        <v>4221</v>
      </c>
      <c r="H294" s="198" t="s">
        <v>4092</v>
      </c>
      <c r="I294" s="198" t="s">
        <v>4093</v>
      </c>
      <c r="J294" s="198" t="s">
        <v>4094</v>
      </c>
      <c r="K294" s="198" t="s">
        <v>4095</v>
      </c>
      <c r="L294" s="198" t="s">
        <v>4096</v>
      </c>
      <c r="M294" s="198" t="s">
        <v>4652</v>
      </c>
    </row>
    <row r="295" spans="1:13" s="225" customFormat="1" ht="71.25">
      <c r="A295" s="198" t="s">
        <v>3613</v>
      </c>
      <c r="B295" s="198" t="s">
        <v>2464</v>
      </c>
      <c r="C295" s="198" t="s">
        <v>3120</v>
      </c>
      <c r="D295" s="198" t="s">
        <v>3124</v>
      </c>
      <c r="E295" s="198" t="s">
        <v>4097</v>
      </c>
      <c r="F295" s="198" t="s">
        <v>4098</v>
      </c>
      <c r="G295" s="260" t="s">
        <v>4220</v>
      </c>
      <c r="H295" s="198" t="s">
        <v>4099</v>
      </c>
      <c r="I295" s="198" t="s">
        <v>4100</v>
      </c>
      <c r="J295" s="198" t="s">
        <v>4101</v>
      </c>
      <c r="K295" s="198" t="s">
        <v>4102</v>
      </c>
      <c r="L295" s="198" t="s">
        <v>4103</v>
      </c>
      <c r="M295" s="198" t="s">
        <v>4653</v>
      </c>
    </row>
    <row r="296" spans="1:13" s="225" customFormat="1" ht="30">
      <c r="A296" s="198" t="str">
        <f t="shared" ref="A296:A304" si="4">B296&amp;C296</f>
        <v>CheckerL62</v>
      </c>
      <c r="B296" s="198" t="s">
        <v>2464</v>
      </c>
      <c r="C296" s="198" t="s">
        <v>4116</v>
      </c>
      <c r="D296" s="198" t="s">
        <v>4115</v>
      </c>
      <c r="E296" s="293" t="s">
        <v>4120</v>
      </c>
      <c r="F296" s="127" t="s">
        <v>4121</v>
      </c>
      <c r="G296" s="289" t="s">
        <v>4217</v>
      </c>
      <c r="H296" s="198" t="s">
        <v>4122</v>
      </c>
      <c r="I296" s="198" t="s">
        <v>4123</v>
      </c>
      <c r="J296" s="198" t="s">
        <v>4124</v>
      </c>
      <c r="K296" s="289" t="s">
        <v>4125</v>
      </c>
      <c r="L296" s="289" t="s">
        <v>4126</v>
      </c>
      <c r="M296" s="198" t="s">
        <v>4654</v>
      </c>
    </row>
    <row r="297" spans="1:13" s="225" customFormat="1" ht="30">
      <c r="A297" s="198" t="str">
        <f t="shared" si="4"/>
        <v>CheckerL63</v>
      </c>
      <c r="B297" s="198" t="s">
        <v>2464</v>
      </c>
      <c r="C297" s="198" t="s">
        <v>4117</v>
      </c>
      <c r="D297" s="198" t="s">
        <v>4115</v>
      </c>
      <c r="E297" s="293" t="s">
        <v>4120</v>
      </c>
      <c r="F297" s="127" t="s">
        <v>4121</v>
      </c>
      <c r="G297" s="289" t="s">
        <v>4217</v>
      </c>
      <c r="H297" s="198" t="s">
        <v>4122</v>
      </c>
      <c r="I297" s="198" t="s">
        <v>4123</v>
      </c>
      <c r="J297" s="198" t="s">
        <v>4124</v>
      </c>
      <c r="K297" s="289" t="s">
        <v>4125</v>
      </c>
      <c r="L297" s="289" t="s">
        <v>4126</v>
      </c>
      <c r="M297" s="198" t="s">
        <v>4654</v>
      </c>
    </row>
    <row r="298" spans="1:13" ht="30">
      <c r="A298" s="198" t="str">
        <f t="shared" si="4"/>
        <v>CheckerL64</v>
      </c>
      <c r="B298" s="198" t="s">
        <v>2464</v>
      </c>
      <c r="C298" s="198" t="s">
        <v>4118</v>
      </c>
      <c r="D298" s="198" t="s">
        <v>4115</v>
      </c>
      <c r="E298" s="293" t="s">
        <v>4120</v>
      </c>
      <c r="F298" s="127" t="s">
        <v>4121</v>
      </c>
      <c r="G298" s="289" t="s">
        <v>4217</v>
      </c>
      <c r="H298" s="198" t="s">
        <v>4122</v>
      </c>
      <c r="I298" s="198" t="s">
        <v>4123</v>
      </c>
      <c r="J298" s="198" t="s">
        <v>4124</v>
      </c>
      <c r="K298" s="289" t="s">
        <v>4125</v>
      </c>
      <c r="L298" s="289" t="s">
        <v>4126</v>
      </c>
      <c r="M298" s="198" t="s">
        <v>4654</v>
      </c>
    </row>
    <row r="299" spans="1:13" ht="30">
      <c r="A299" s="198" t="str">
        <f t="shared" si="4"/>
        <v>CheckerL65</v>
      </c>
      <c r="B299" s="198" t="s">
        <v>2464</v>
      </c>
      <c r="C299" s="198" t="s">
        <v>4119</v>
      </c>
      <c r="D299" s="198" t="s">
        <v>4115</v>
      </c>
      <c r="E299" s="293" t="s">
        <v>4120</v>
      </c>
      <c r="F299" s="127" t="s">
        <v>4121</v>
      </c>
      <c r="G299" s="289" t="s">
        <v>4217</v>
      </c>
      <c r="H299" s="198" t="s">
        <v>4122</v>
      </c>
      <c r="I299" s="198" t="s">
        <v>4123</v>
      </c>
      <c r="J299" s="198" t="s">
        <v>4124</v>
      </c>
      <c r="K299" s="289" t="s">
        <v>4125</v>
      </c>
      <c r="L299" s="289" t="s">
        <v>4126</v>
      </c>
      <c r="M299" s="198" t="s">
        <v>4654</v>
      </c>
    </row>
    <row r="300" spans="1:13" ht="57">
      <c r="A300" s="198" t="str">
        <f t="shared" si="4"/>
        <v>Product ListA1</v>
      </c>
      <c r="B300" s="198" t="s">
        <v>2549</v>
      </c>
      <c r="C300" s="198" t="s">
        <v>1207</v>
      </c>
      <c r="D300" s="294" t="s">
        <v>1231</v>
      </c>
      <c r="E300" s="200" t="s">
        <v>475</v>
      </c>
      <c r="F300" s="200" t="s">
        <v>634</v>
      </c>
      <c r="G300" s="198" t="s">
        <v>1036</v>
      </c>
      <c r="H300" s="198" t="s">
        <v>715</v>
      </c>
      <c r="I300" s="198" t="s">
        <v>385</v>
      </c>
      <c r="J300" s="295" t="s">
        <v>2624</v>
      </c>
      <c r="K300" s="201" t="s">
        <v>167</v>
      </c>
      <c r="L300" s="292" t="s">
        <v>96</v>
      </c>
      <c r="M300" s="294" t="s">
        <v>4655</v>
      </c>
    </row>
    <row r="301" spans="1:13" ht="17.25">
      <c r="A301" s="198" t="str">
        <f t="shared" si="4"/>
        <v>Product ListB5</v>
      </c>
      <c r="B301" s="198" t="s">
        <v>2549</v>
      </c>
      <c r="C301" s="198" t="s">
        <v>1844</v>
      </c>
      <c r="D301" s="294" t="s">
        <v>945</v>
      </c>
      <c r="E301" s="200" t="s">
        <v>2797</v>
      </c>
      <c r="F301" s="200" t="s">
        <v>635</v>
      </c>
      <c r="G301" s="198" t="s">
        <v>1037</v>
      </c>
      <c r="H301" s="198" t="s">
        <v>716</v>
      </c>
      <c r="I301" s="198" t="s">
        <v>386</v>
      </c>
      <c r="J301" s="294" t="s">
        <v>2367</v>
      </c>
      <c r="K301" s="201" t="s">
        <v>168</v>
      </c>
      <c r="L301" s="296" t="s">
        <v>97</v>
      </c>
      <c r="M301" s="294" t="s">
        <v>4656</v>
      </c>
    </row>
    <row r="302" spans="1:13" ht="28.5">
      <c r="A302" s="198" t="str">
        <f t="shared" si="4"/>
        <v>Product ListC5</v>
      </c>
      <c r="B302" s="198" t="s">
        <v>2549</v>
      </c>
      <c r="C302" s="198" t="s">
        <v>1865</v>
      </c>
      <c r="D302" s="294" t="s">
        <v>946</v>
      </c>
      <c r="E302" s="200" t="s">
        <v>476</v>
      </c>
      <c r="F302" s="200" t="s">
        <v>636</v>
      </c>
      <c r="G302" s="198" t="s">
        <v>1038</v>
      </c>
      <c r="H302" s="198" t="s">
        <v>717</v>
      </c>
      <c r="I302" s="198" t="s">
        <v>387</v>
      </c>
      <c r="J302" s="294" t="s">
        <v>1827</v>
      </c>
      <c r="K302" s="201" t="s">
        <v>169</v>
      </c>
      <c r="L302" s="296" t="s">
        <v>98</v>
      </c>
      <c r="M302" s="294" t="s">
        <v>4657</v>
      </c>
    </row>
    <row r="303" spans="1:13">
      <c r="A303" s="198" t="str">
        <f t="shared" si="4"/>
        <v>Product ListD5</v>
      </c>
      <c r="B303" s="198" t="s">
        <v>2549</v>
      </c>
      <c r="C303" s="198" t="s">
        <v>2550</v>
      </c>
      <c r="D303" s="294" t="s">
        <v>1497</v>
      </c>
      <c r="E303" s="198" t="s">
        <v>477</v>
      </c>
      <c r="F303" s="200" t="s">
        <v>2030</v>
      </c>
      <c r="G303" s="198" t="s">
        <v>1808</v>
      </c>
      <c r="H303" s="198" t="s">
        <v>1809</v>
      </c>
      <c r="I303" s="198" t="s">
        <v>1810</v>
      </c>
      <c r="J303" s="294" t="s">
        <v>1941</v>
      </c>
      <c r="K303" s="201" t="s">
        <v>1811</v>
      </c>
      <c r="L303" s="296" t="s">
        <v>882</v>
      </c>
      <c r="M303" s="294" t="s">
        <v>4552</v>
      </c>
    </row>
    <row r="304" spans="1:13" ht="28.5">
      <c r="A304" s="198" t="str">
        <f t="shared" si="4"/>
        <v>GeneralCpy</v>
      </c>
      <c r="B304" s="198" t="s">
        <v>922</v>
      </c>
      <c r="C304" s="198" t="s">
        <v>923</v>
      </c>
      <c r="D304" s="198" t="s">
        <v>4777</v>
      </c>
      <c r="E304" s="198" t="s">
        <v>4777</v>
      </c>
      <c r="F304" s="198" t="s">
        <v>4777</v>
      </c>
      <c r="G304" s="198" t="s">
        <v>4777</v>
      </c>
      <c r="H304" s="198" t="s">
        <v>4777</v>
      </c>
      <c r="I304" s="198" t="s">
        <v>4777</v>
      </c>
      <c r="J304" s="198" t="s">
        <v>4777</v>
      </c>
      <c r="K304" s="198" t="s">
        <v>4777</v>
      </c>
      <c r="L304" s="275" t="s">
        <v>193</v>
      </c>
      <c r="M304" s="198" t="s">
        <v>4778</v>
      </c>
    </row>
    <row r="305" spans="1:13">
      <c r="A305" s="198" t="s">
        <v>2941</v>
      </c>
      <c r="B305" s="198" t="s">
        <v>922</v>
      </c>
      <c r="M305" s="198"/>
    </row>
    <row r="306" spans="1:13">
      <c r="M306" s="198"/>
    </row>
    <row r="307" spans="1:13" ht="99.75">
      <c r="A307" s="198" t="s">
        <v>1497</v>
      </c>
      <c r="D307" s="198" t="s">
        <v>481</v>
      </c>
      <c r="E307" s="198" t="s">
        <v>482</v>
      </c>
      <c r="F307" s="198" t="s">
        <v>483</v>
      </c>
      <c r="G307" s="198" t="s">
        <v>484</v>
      </c>
      <c r="H307" s="198" t="s">
        <v>720</v>
      </c>
      <c r="I307" s="198" t="s">
        <v>388</v>
      </c>
      <c r="J307" s="198" t="s">
        <v>2625</v>
      </c>
      <c r="K307" s="198" t="s">
        <v>170</v>
      </c>
      <c r="L307" s="275" t="s">
        <v>100</v>
      </c>
      <c r="M307" s="198" t="s">
        <v>4658</v>
      </c>
    </row>
    <row r="308" spans="1:13" ht="28.5">
      <c r="A308" s="198" t="s">
        <v>1497</v>
      </c>
      <c r="D308" s="198" t="s">
        <v>502</v>
      </c>
      <c r="E308" s="198" t="s">
        <v>521</v>
      </c>
      <c r="F308" s="198" t="s">
        <v>526</v>
      </c>
      <c r="G308" s="201" t="s">
        <v>522</v>
      </c>
      <c r="H308" s="198" t="s">
        <v>188</v>
      </c>
      <c r="I308" s="198" t="s">
        <v>390</v>
      </c>
      <c r="J308" s="198" t="s">
        <v>2626</v>
      </c>
      <c r="K308" s="198" t="s">
        <v>176</v>
      </c>
      <c r="L308" s="283" t="s">
        <v>519</v>
      </c>
      <c r="M308" s="198" t="s">
        <v>4659</v>
      </c>
    </row>
    <row r="309" spans="1:13" ht="42.75">
      <c r="A309" s="198" t="s">
        <v>1497</v>
      </c>
      <c r="D309" s="198" t="s">
        <v>503</v>
      </c>
      <c r="E309" s="198" t="s">
        <v>504</v>
      </c>
      <c r="F309" s="198" t="s">
        <v>527</v>
      </c>
      <c r="G309" s="201" t="s">
        <v>523</v>
      </c>
      <c r="H309" s="198" t="s">
        <v>189</v>
      </c>
      <c r="I309" s="198" t="s">
        <v>391</v>
      </c>
      <c r="J309" s="198" t="s">
        <v>2648</v>
      </c>
      <c r="K309" s="198" t="s">
        <v>177</v>
      </c>
      <c r="L309" s="283" t="s">
        <v>505</v>
      </c>
      <c r="M309" s="198" t="s">
        <v>4660</v>
      </c>
    </row>
    <row r="310" spans="1:13" ht="85.5">
      <c r="A310" s="198" t="s">
        <v>1497</v>
      </c>
      <c r="D310" s="198" t="s">
        <v>496</v>
      </c>
      <c r="E310" s="198" t="s">
        <v>497</v>
      </c>
      <c r="F310" s="198" t="s">
        <v>498</v>
      </c>
      <c r="G310" s="201" t="s">
        <v>524</v>
      </c>
      <c r="H310" s="198" t="s">
        <v>190</v>
      </c>
      <c r="I310" s="198" t="s">
        <v>392</v>
      </c>
      <c r="J310" s="198" t="s">
        <v>499</v>
      </c>
      <c r="K310" s="198" t="s">
        <v>500</v>
      </c>
      <c r="L310" s="283" t="s">
        <v>501</v>
      </c>
      <c r="M310" s="198" t="s">
        <v>4661</v>
      </c>
    </row>
    <row r="311" spans="1:13" ht="42.75">
      <c r="A311" s="198" t="s">
        <v>1497</v>
      </c>
      <c r="D311" s="198" t="s">
        <v>485</v>
      </c>
      <c r="E311" s="198" t="s">
        <v>486</v>
      </c>
      <c r="F311" s="198" t="s">
        <v>528</v>
      </c>
      <c r="G311" s="201" t="s">
        <v>487</v>
      </c>
      <c r="H311" s="198" t="s">
        <v>191</v>
      </c>
      <c r="I311" s="198" t="s">
        <v>393</v>
      </c>
      <c r="J311" s="198" t="s">
        <v>2627</v>
      </c>
      <c r="K311" s="198" t="s">
        <v>180</v>
      </c>
      <c r="L311" s="283" t="s">
        <v>520</v>
      </c>
      <c r="M311" s="198" t="s">
        <v>4662</v>
      </c>
    </row>
    <row r="312" spans="1:13" ht="42.75">
      <c r="A312" s="198" t="s">
        <v>1497</v>
      </c>
      <c r="D312" s="198" t="s">
        <v>488</v>
      </c>
      <c r="E312" s="198" t="s">
        <v>489</v>
      </c>
      <c r="F312" s="198" t="s">
        <v>529</v>
      </c>
      <c r="G312" s="201" t="s">
        <v>490</v>
      </c>
      <c r="H312" s="198" t="s">
        <v>192</v>
      </c>
      <c r="I312" s="198" t="s">
        <v>394</v>
      </c>
      <c r="J312" s="198" t="s">
        <v>2628</v>
      </c>
      <c r="K312" s="198" t="s">
        <v>178</v>
      </c>
      <c r="L312" s="283" t="s">
        <v>491</v>
      </c>
      <c r="M312" s="198" t="s">
        <v>4663</v>
      </c>
    </row>
    <row r="313" spans="1:13" ht="156.75">
      <c r="A313" s="198" t="s">
        <v>1497</v>
      </c>
      <c r="D313" s="198" t="s">
        <v>495</v>
      </c>
      <c r="E313" s="198" t="s">
        <v>492</v>
      </c>
      <c r="F313" s="198" t="s">
        <v>530</v>
      </c>
      <c r="G313" s="201" t="s">
        <v>525</v>
      </c>
      <c r="H313" s="198" t="s">
        <v>493</v>
      </c>
      <c r="I313" s="198" t="s">
        <v>395</v>
      </c>
      <c r="J313" s="198" t="s">
        <v>2629</v>
      </c>
      <c r="K313" s="198" t="s">
        <v>179</v>
      </c>
      <c r="L313" s="283" t="s">
        <v>494</v>
      </c>
      <c r="M313" s="198" t="s">
        <v>4664</v>
      </c>
    </row>
  </sheetData>
  <phoneticPr fontId="29"/>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Reference List</vt:lpstr>
      <vt:lpstr>L</vt:lpstr>
      <vt:lpstr>C</vt:lpstr>
      <vt:lpstr>Sheet1</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David</cp:lastModifiedBy>
  <cp:lastPrinted>2015-04-21T20:47:43Z</cp:lastPrinted>
  <dcterms:created xsi:type="dcterms:W3CDTF">2010-06-21T21:00:23Z</dcterms:created>
  <dcterms:modified xsi:type="dcterms:W3CDTF">2017-05-19T10:53:35Z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